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15.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6.xml"/>
  <Override ContentType="application/vnd.openxmlformats-officedocument.spreadsheetml.comments+xml" PartName="/xl/comments13.xml"/>
  <Override ContentType="application/vnd.openxmlformats-officedocument.spreadsheetml.comments+xml" PartName="/xl/comments4.xml"/>
  <Override ContentType="application/vnd.openxmlformats-officedocument.spreadsheetml.comments+xml" PartName="/xl/comments2.xml"/>
  <Override ContentType="application/vnd.openxmlformats-officedocument.spreadsheetml.comments+xml" PartName="/xl/comments8.xml"/>
  <Override ContentType="application/vnd.openxmlformats-officedocument.spreadsheetml.comments+xml" PartName="/xl/comments14.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Settings" sheetId="1" r:id="rId3"/>
    <sheet state="hidden" name="Interest" sheetId="2" r:id="rId4"/>
    <sheet state="hidden" name="Account" sheetId="3" r:id="rId5"/>
    <sheet state="hidden" name="Result" sheetId="4" r:id="rId6"/>
    <sheet state="hidden" name="ISIN" sheetId="5" r:id="rId7"/>
    <sheet state="hidden" name="Alert" sheetId="6" r:id="rId8"/>
    <sheet state="hidden" name="DateTime" sheetId="7" r:id="rId9"/>
    <sheet state="hidden" name="HistoricSummary" sheetId="8" r:id="rId10"/>
    <sheet state="visible" name="Dashboard" sheetId="9" r:id="rId11"/>
    <sheet state="visible" name="Investment" sheetId="10" r:id="rId12"/>
    <sheet state="visible" name="Historic" sheetId="11" r:id="rId13"/>
    <sheet state="visible" name="Evolution" sheetId="12" r:id="rId14"/>
    <sheet state="visible" name="Allocation" sheetId="13" r:id="rId15"/>
    <sheet state="visible" name="AllocationHistoric" sheetId="14" r:id="rId16"/>
    <sheet state="visible" name="Expenses" sheetId="15" r:id="rId17"/>
    <sheet state="visible" name="ExpensesHistoric" sheetId="16" r:id="rId18"/>
    <sheet state="visible" name="BankAccount" sheetId="17" r:id="rId19"/>
    <sheet state="visible" name="Budget" sheetId="18" r:id="rId20"/>
    <sheet state="visible" name="Price" sheetId="19" r:id="rId21"/>
    <sheet state="visible" name="Associate" sheetId="20" r:id="rId22"/>
    <sheet state="visible" name="AssociateHistoric" sheetId="21" r:id="rId23"/>
    <sheet state="visible" name="FAQ" sheetId="22" r:id="rId24"/>
    <sheet state="hidden" name="Boubou" sheetId="23" r:id="rId25"/>
    <sheet state="hidden" name="Paclone" sheetId="24" r:id="rId26"/>
    <sheet state="hidden" name="Philo" sheetId="25" r:id="rId27"/>
    <sheet state="hidden" name="AssociateModel" sheetId="26" r:id="rId28"/>
  </sheets>
  <definedNames>
    <definedName hidden="1" localSheetId="10" name="_xlnm._FilterDatabase">Historic!$A$1:$J$1059</definedName>
    <definedName hidden="1" localSheetId="15" name="_xlnm._FilterDatabase">ExpensesHistoric!$A$1:$D$527</definedName>
    <definedName hidden="1" localSheetId="20" name="_xlnm._FilterDatabase">AssociateHistoric!$A$1:$C$31</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A18">
      <text>
        <t xml:space="preserve">"Total portefeuille" DEGIRO</t>
      </text>
    </comment>
    <comment authorId="0" ref="B18">
      <text>
        <t xml:space="preserve">"Valeur des titres" DEGIRO</t>
      </text>
    </comment>
    <comment authorId="0" ref="C18">
      <text>
        <t xml:space="preserve">"Fond Monétaires EUR" DEGIRO</t>
      </text>
    </comment>
    <comment authorId="0" ref="D18">
      <text>
        <t xml:space="preserve">"Variation journalière" DEGIRO</t>
      </text>
    </comment>
    <comment authorId="0" ref="E18">
      <text>
        <t xml:space="preserve">"Variation cumulée" DEGIRO</t>
      </text>
    </comment>
    <comment authorId="0" ref="F18">
      <text>
        <t xml:space="preserve">"Espace libre" DEGIRO</t>
      </text>
    </comment>
  </commentList>
</comments>
</file>

<file path=xl/comments2.xml><?xml version="1.0" encoding="utf-8"?>
<comments xmlns:r="http://schemas.openxmlformats.org/officeDocument/2006/relationships" xmlns="http://schemas.openxmlformats.org/spreadsheetml/2006/main">
  <authors>
    <author/>
  </authors>
  <commentList>
    <comment authorId="0" ref="B1">
      <text>
        <t xml:space="preserve">Current portfolio cash from Dashboard</t>
      </text>
    </comment>
    <comment authorId="0" ref="D1">
      <text>
        <t xml:space="preserve">Interest rate (EONIA+1.25%) from Dashboard</t>
      </text>
    </comment>
  </commentList>
</comments>
</file>

<file path=xl/comments3.xml><?xml version="1.0" encoding="utf-8"?>
<comments xmlns:r="http://schemas.openxmlformats.org/officeDocument/2006/relationships" xmlns="http://schemas.openxmlformats.org/spreadsheetml/2006/main">
  <authors>
    <author/>
  </authors>
  <commentList>
    <comment authorId="0" ref="A2">
      <text>
        <t xml:space="preserve">Stock to rebalance</t>
      </text>
    </comment>
    <comment authorId="0" ref="A3">
      <text>
        <t xml:space="preserve">Value not updated</t>
      </text>
    </comment>
    <comment authorId="0" ref="A4">
      <text>
        <t xml:space="preserve">Temporary row to reload</t>
      </text>
    </comment>
    <comment authorId="0" ref="A5">
      <text>
        <t xml:space="preserve">New Allocation to set</t>
      </text>
    </comment>
  </commentList>
</comments>
</file>

<file path=xl/comments4.xml><?xml version="1.0" encoding="utf-8"?>
<comments xmlns:r="http://schemas.openxmlformats.org/officeDocument/2006/relationships" xmlns="http://schemas.openxmlformats.org/spreadsheetml/2006/main">
  <authors>
    <author/>
  </authors>
  <commentList>
    <comment authorId="0" ref="B11">
      <text>
        <t xml:space="preserve">If positive, independence have been reached !!</t>
      </text>
    </comment>
    <comment authorId="0" ref="B12">
      <text>
        <t xml:space="preserve">If positive, independence have been reached !!</t>
      </text>
    </comment>
    <comment authorId="0" ref="B20">
      <text>
        <t xml:space="preserve">Money that has to be put (if posititve) or withdrawed (if negative) from investment account</t>
      </text>
    </comment>
    <comment authorId="0" ref="B29">
      <text>
        <t xml:space="preserve">Sum own by / due to others</t>
      </text>
    </comment>
    <comment authorId="0" ref="A35">
      <text>
        <t xml:space="preserve">"Valeur des titres" DEGIRO</t>
      </text>
    </comment>
    <comment authorId="0" ref="A36">
      <text>
        <t xml:space="preserve">"Fond Monétaires EUR" DEGIRO</t>
      </text>
    </comment>
    <comment authorId="0" ref="A37">
      <text>
        <t xml:space="preserve">"Total portefeuille" DEGIRO</t>
      </text>
    </comment>
    <comment authorId="0" ref="A38">
      <text>
        <t xml:space="preserve">"Variation cumulée" DEGIRO</t>
      </text>
    </comment>
    <comment authorId="0" ref="A48">
      <text>
        <t xml:space="preserve">Earn / Loss from past performances (without current portfolio)</t>
      </text>
    </comment>
    <comment authorId="0" ref="A51">
      <text>
        <t xml:space="preserve">"Espace libre" DEGIRO</t>
      </text>
    </comment>
    <comment authorId="0" ref="A56">
      <text>
        <t xml:space="preserve">EONIA+1.25%</t>
      </text>
    </comment>
    <comment authorId="0" ref="A58">
      <text>
        <t xml:space="preserve">Money left that can be invested</t>
      </text>
    </comment>
    <comment authorId="0" ref="B70">
      <text>
        <t xml:space="preserve">WARNING !  Should always be the one before last (Dirty hack)</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Stock type.</t>
      </text>
    </comment>
    <comment authorId="0" ref="B1">
      <text>
        <t xml:space="preserve">Target distribution.</t>
      </text>
    </comment>
    <comment authorId="0" ref="C1">
      <text>
        <t xml:space="preserve">Has free transaction fee offered by DEGIRO (list available on https://www.degiro.fr/data/pdf/fr/S%C3%A9lection%20ETF%20gratuits.pdf)</t>
      </text>
    </comment>
    <comment authorId="0" ref="D1">
      <text>
        <t xml:space="preserve">Investing.com quote webage link</t>
      </text>
    </comment>
    <comment authorId="0" ref="E1">
      <text>
        <t xml:space="preserve">Webpage title</t>
      </text>
    </comment>
    <comment authorId="0" ref="F1">
      <text>
        <t xml:space="preserve">ISIN code.</t>
      </text>
    </comment>
    <comment authorId="0" ref="G1">
      <text>
        <t xml:space="preserve">Stock code.</t>
      </text>
    </comment>
    <comment authorId="0" ref="H1">
      <text>
        <t xml:space="preserve">Stock name.</t>
      </text>
    </comment>
    <comment authorId="0" ref="J1">
      <text>
        <t xml:space="preserve">Market code.</t>
      </text>
    </comment>
    <comment authorId="0" ref="K1">
      <text>
        <t xml:space="preserve">Number of stock shares bought.</t>
      </text>
    </comment>
    <comment authorId="0" ref="L1">
      <text>
        <t xml:space="preserve">Hack : main formula to get price values from various websites</t>
      </text>
    </comment>
    <comment authorId="0" ref="M1">
      <text>
        <t xml:space="preserve">Cached value of the current stock price</t>
      </text>
    </comment>
    <comment authorId="0" ref="N1">
      <text>
        <t xml:space="preserve">Bought stock value.</t>
      </text>
    </comment>
    <comment authorId="0" ref="O1">
      <text>
        <t xml:space="preserve">Current stock value.</t>
      </text>
    </comment>
    <comment authorId="0" ref="P1">
      <text>
        <t xml:space="preserve">Estimated amount to invest.</t>
      </text>
    </comment>
    <comment authorId="0" ref="Q1">
      <text>
        <t xml:space="preserve">Amount of trade for the current month.</t>
      </text>
    </comment>
    <comment authorId="0" ref="R1">
      <text>
        <t xml:space="preserve">Rebalance order from 0 to end.</t>
      </text>
    </comment>
    <comment authorId="0" ref="S1">
      <text>
        <t xml:space="preserve">Number of stock to buy/sell to rebalance the portfolio.</t>
      </text>
    </comment>
    <comment authorId="0" ref="T1">
      <text>
        <t xml:space="preserve">Stock amount to buy/sell to rebalance the portfolio.</t>
      </text>
    </comment>
    <comment authorId="0" ref="U1">
      <text>
        <t xml:space="preserve">Amount to add to rebalance to be the closest to target rebalance total amount
OLD FORMULA : =ROUNDDOWN((INDEX($U:$U,ROWS($U:$U))-SUMIFS(U:U,R:R,"&lt;"&amp;R2))/$M2)*$M2</t>
      </text>
    </comment>
    <comment authorId="0" ref="W1">
      <text>
        <t xml:space="preserve">3 days tendency.</t>
      </text>
    </comment>
    <comment authorId="0" ref="X1">
      <text>
        <t xml:space="preserve">Daily progression.</t>
      </text>
    </comment>
    <comment authorId="0" ref="Y1">
      <text>
        <t xml:space="preserve">Daily progression rate.</t>
      </text>
    </comment>
    <comment authorId="0" ref="Z1">
      <text>
        <t xml:space="preserve">Dividend profit.</t>
      </text>
    </comment>
    <comment authorId="0" ref="AA1">
      <text>
        <t xml:space="preserve">Dividend profit rate.</t>
      </text>
    </comment>
    <comment authorId="0" ref="AB1">
      <text>
        <t xml:space="preserve">Stock profit.</t>
      </text>
    </comment>
    <comment authorId="0" ref="AC1">
      <text>
        <t xml:space="preserve">Stock profit rate.</t>
      </text>
    </comment>
    <comment authorId="0" ref="AD1">
      <text>
        <t xml:space="preserve">Dividend + Stock profit.</t>
      </text>
    </comment>
    <comment authorId="0" ref="AE1">
      <text>
        <t xml:space="preserve">Dividend + Stock profit rate.</t>
      </text>
    </comment>
    <comment authorId="0" ref="AF1">
      <text>
        <t xml:space="preserve">Cost to buy/sell stocks</t>
      </text>
    </comment>
    <comment authorId="0" ref="AG1">
      <text>
        <t xml:space="preserve">Estimated average profit if the current transaction is made</t>
      </text>
    </comment>
    <comment authorId="0" ref="AH1">
      <text>
        <t xml:space="preserve">Difference between the current and the desired ratio.</t>
      </text>
    </comment>
    <comment authorId="0" ref="AI1">
      <text>
        <t xml:space="preserve">Average price for last year</t>
      </text>
    </comment>
    <comment authorId="0" ref="AJ1">
      <text>
        <t xml:space="preserve">Difference between average price paid and current price (green =current price is lower [BUY], red = current price is higher [SELL])</t>
      </text>
    </comment>
    <comment authorId="0" ref="AL1">
      <text>
        <t xml:space="preserve">Monthly average progress for the last month</t>
      </text>
    </comment>
    <comment authorId="0" ref="AM1">
      <text>
        <t xml:space="preserve">Rectification of the price compared to the real one</t>
      </text>
    </comment>
    <comment authorId="0" ref="AN1">
      <text>
        <t xml:space="preserve">Stock value left to buy</t>
      </text>
    </comment>
    <comment authorId="0" ref="AO1">
      <text>
        <t xml:space="preserve">Average value if stock were costing the average price</t>
      </text>
    </comment>
    <comment authorId="0" ref="AP1">
      <text>
        <t xml:space="preserve">Average Price paid for the current stock detained</t>
      </text>
    </comment>
    <comment authorId="0" ref="AQ1">
      <text>
        <t xml:space="preserve">Last time price was updated</t>
      </text>
    </comment>
    <comment authorId="0" ref="AR1">
      <text>
        <t xml:space="preserve">When last dividend has been paid</t>
      </text>
    </comment>
    <comment authorId="0" ref="AS1">
      <text>
        <t xml:space="preserve">When next dividend will be paid</t>
      </text>
    </comment>
    <comment authorId="0" ref="AT1">
      <text>
        <t xml:space="preserve">Number of day (months) before next dividend is paid</t>
      </text>
    </comment>
    <comment authorId="0" ref="AU1">
      <text>
        <t xml:space="preserve">Estimated dividend corresponding to current share owned</t>
      </text>
    </comment>
    <comment authorId="0" ref="AV1">
      <text>
        <t xml:space="preserve">Dividend paid averaged on a month basis</t>
      </text>
    </comment>
    <comment authorId="0" ref="AW2">
      <text>
        <t xml:space="preserve">Target = 40%</t>
      </text>
    </comment>
    <comment authorId="0" ref="AW3">
      <text>
        <t xml:space="preserve">Target = 30%</t>
      </text>
    </comment>
    <comment authorId="0" ref="AW4">
      <text>
        <t xml:space="preserve">Target = 15%</t>
      </text>
    </comment>
    <comment authorId="0" ref="AW5">
      <text>
        <t xml:space="preserve">Target = 7.5%</t>
      </text>
    </comment>
    <comment authorId="0" ref="AW6">
      <text>
        <t xml:space="preserve">Target = 7.5%</t>
      </text>
    </comment>
    <comment authorId="0" ref="L7">
      <text>
        <t xml:space="preserve">Hack : main formula to get close price values when market closes from various websites
</t>
      </text>
    </comment>
    <comment authorId="0" ref="M7">
      <text>
        <t xml:space="preserve">WARNING : Put here any value to block the update price process (to test different prices for example)</t>
      </text>
    </comment>
    <comment authorId="0" ref="S7">
      <text>
        <t xml:space="preserve">Amount left to use for rebalance</t>
      </text>
    </comment>
    <comment authorId="0" ref="U7">
      <text>
        <t xml:space="preserve">Remaining value after rebalancing (used to buy some stocks).</t>
      </text>
    </comment>
    <comment authorId="0" ref="AF7">
      <text>
        <t xml:space="preserve">Trading total cost.</t>
      </text>
    </comment>
    <comment authorId="0" ref="AM7">
      <text>
        <t xml:space="preserve">Use to adjust "Current portfolio stock"</t>
      </text>
    </comment>
    <comment authorId="0" ref="AU7">
      <text>
        <t xml:space="preserve">Dividend left to paid soon (next 15 days)</t>
      </text>
    </comment>
  </commentList>
</comments>
</file>

<file path=xl/comments6.xml><?xml version="1.0" encoding="utf-8"?>
<comments xmlns:r="http://schemas.openxmlformats.org/officeDocument/2006/relationships" xmlns="http://schemas.openxmlformats.org/spreadsheetml/2006/main">
  <authors>
    <author/>
  </authors>
  <commentList>
    <comment authorId="0" ref="H1">
      <text>
        <t xml:space="preserve">=IF(D2&lt;&gt;"",C2 &amp; "@" &amp; D2 &amp; "@" &amp; E2 &amp; "@" &amp; G2,"")</t>
      </text>
    </comment>
    <comment authorId="0" ref="I1">
      <text>
        <t xml:space="preserve">Compared with current stock price</t>
      </text>
    </comment>
    <comment authorId="0" ref="J1">
      <text>
        <t xml:space="preserve">Compared with average stock price (based on 52 weeks)</t>
      </text>
    </comment>
    <comment authorId="0" ref="G209">
      <text>
        <t xml:space="preserve">Use to adjust "Current portfolio cash"</t>
      </text>
    </comment>
    <comment authorId="0" ref="G213">
      <text>
        <t xml:space="preserve">Use to adjust "Current portfolio total profit"</t>
      </text>
    </comment>
    <comment authorId="0" ref="G214">
      <text>
        <t xml:space="preserve">Use to adjust "Current portfolio total profit"</t>
      </text>
    </comment>
    <comment authorId="0" ref="G926">
      <text>
        <t xml:space="preserve">Use to adjust "Current portfolio total profit"</t>
      </text>
    </comment>
  </commentList>
</comments>
</file>

<file path=xl/comments7.xml><?xml version="1.0" encoding="utf-8"?>
<comments xmlns:r="http://schemas.openxmlformats.org/officeDocument/2006/relationships" xmlns="http://schemas.openxmlformats.org/spreadsheetml/2006/main">
  <authors>
    <author/>
  </authors>
  <commentList>
    <comment authorId="0" ref="H1">
      <text>
        <t xml:space="preserve">Total profit between bought and sell values</t>
      </text>
    </comment>
    <comment authorId="0" ref="I1">
      <text>
        <t xml:space="preserve">Compared with average stock price (based on 52 weeks)</t>
      </text>
    </comment>
    <comment authorId="0" ref="J1">
      <text>
        <t xml:space="preserve">Stock value owned</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Allocation used</t>
      </text>
    </comment>
    <comment authorId="0" ref="E1">
      <text>
        <t xml:space="preserve">Use ratio of the allocation
Cash / Allocation</t>
      </text>
    </comment>
    <comment authorId="0" ref="F1">
      <text>
        <t xml:space="preserve">Portfolio + Cash</t>
      </text>
    </comment>
    <comment authorId="0" ref="G1">
      <text>
        <t xml:space="preserve">Ratio between allocation and portfolio
Portfolio / (Portfolio + Allocation)</t>
      </text>
    </comment>
    <comment authorId="0" ref="H1">
      <text>
        <t xml:space="preserve">Monthly progress on total value</t>
      </text>
    </comment>
    <comment authorId="0" ref="I1">
      <text>
        <t xml:space="preserve">Progress ratio
Progress / Portfolio</t>
      </text>
    </comment>
    <comment authorId="0" ref="J1">
      <text>
        <t xml:space="preserve">Interest based on an estimate until real value is taken from the account</t>
      </text>
    </comment>
    <comment authorId="0" ref="K1">
      <text>
        <t xml:space="preserve">Interest ratio
Interest / Allocation</t>
      </text>
    </comment>
    <comment authorId="0" ref="L1">
      <text>
        <t xml:space="preserve">Money wasted by not using full allocation</t>
      </text>
    </comment>
    <comment authorId="0" ref="M1">
      <text>
        <t xml:space="preserve">Dividend received during the month</t>
      </text>
    </comment>
    <comment authorId="0" ref="N1">
      <text>
        <t xml:space="preserve">Average monthly income on a year basis.</t>
      </text>
    </comment>
    <comment authorId="0" ref="O1">
      <text>
        <t xml:space="preserve">Monthly progress on average monthly income</t>
      </text>
    </comment>
    <comment authorId="0" ref="P1">
      <text>
        <t xml:space="preserve">Income ratio per year
Income / Portfolio * 12</t>
      </text>
    </comment>
  </commentList>
</comments>
</file>

<file path=xl/comments9.xml><?xml version="1.0" encoding="utf-8"?>
<comments xmlns:r="http://schemas.openxmlformats.org/officeDocument/2006/relationships" xmlns="http://schemas.openxmlformats.org/spreadsheetml/2006/main">
  <authors>
    <author/>
  </authors>
  <commentList>
    <comment authorId="0" ref="B1">
      <text>
        <t xml:space="preserve">Change here if money is added/removed from account</t>
      </text>
    </comment>
    <comment authorId="0" ref="A2">
      <text>
        <t xml:space="preserve">Courant</t>
      </text>
    </comment>
    <comment authorId="0" ref="A3">
      <text>
        <t xml:space="preserve">Number26</t>
      </text>
    </comment>
  </commentList>
</comments>
</file>

<file path=xl/comments10.xml><?xml version="1.0" encoding="utf-8"?>
<comments xmlns:r="http://schemas.openxmlformats.org/officeDocument/2006/relationships" xmlns="http://schemas.openxmlformats.org/spreadsheetml/2006/main">
  <authors>
    <author/>
  </authors>
  <commentList>
    <comment authorId="0" ref="A1">
      <text>
        <t xml:space="preserve">WARNING : Should be the same as the spreadsheet name with account data historic</t>
      </text>
    </comment>
    <comment authorId="0" ref="B1">
      <text>
        <t xml:space="preserve">Set a value if the movement is recurrent (happening every month), can only be negative (withdraw)</t>
      </text>
    </comment>
    <comment authorId="0" ref="C1">
      <text>
        <t xml:space="preserve">Money collected for charity</t>
      </text>
    </comment>
    <comment authorId="0" ref="D1">
      <text>
        <t xml:space="preserve">Money donated to charity</t>
      </text>
    </comment>
    <comment authorId="0" ref="E1">
      <text>
        <t xml:space="preserve">Time since first investment</t>
      </text>
    </comment>
    <comment authorId="0" ref="H1">
      <text>
        <t xml:space="preserve">Cumulated gain since the beginning of saving</t>
      </text>
    </comment>
    <comment authorId="0" ref="I1">
      <text>
        <t xml:space="preserve">The cumulated rate adjusted to one year</t>
      </text>
    </comment>
    <comment authorId="0" ref="J1">
      <text>
        <t xml:space="preserve">Total amount saved</t>
      </text>
    </comment>
  </commentList>
</comments>
</file>

<file path=xl/comments11.xml><?xml version="1.0" encoding="utf-8"?>
<comments xmlns:r="http://schemas.openxmlformats.org/officeDocument/2006/relationships" xmlns="http://schemas.openxmlformats.org/spreadsheetml/2006/main">
  <authors>
    <author/>
  </authors>
  <commentList>
    <comment authorId="0" ref="B1">
      <text>
        <t xml:space="preserve">WARNING : Should be the same as the spreadsheet name with account data historic</t>
      </text>
    </comment>
    <comment authorId="0" ref="C1">
      <text>
        <t xml:space="preserve">Amount added/withdrawed by the client (positive if added, negative if withdrawed)</t>
      </text>
    </comment>
    <comment authorId="0" ref="C8">
      <text>
        <t xml:space="preserve">Chèque Robot</t>
      </text>
    </comment>
    <comment authorId="0" ref="C9">
      <text>
        <t xml:space="preserve">Inclus dans -1000 car 700 de crédit</t>
      </text>
    </comment>
    <comment authorId="0" ref="C13">
      <text>
        <t xml:space="preserve">Inclus dans -1000 car 700 de crédit</t>
      </text>
    </comment>
    <comment authorId="0" ref="C22">
      <text>
        <t xml:space="preserve">Non paiement du crédit</t>
      </text>
    </comment>
    <comment authorId="0" ref="C23">
      <text>
        <t xml:space="preserve">Inclus dans -13600</t>
      </text>
    </comment>
  </commentList>
</comments>
</file>

<file path=xl/comments12.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13.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14.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15.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sharedStrings.xml><?xml version="1.0" encoding="utf-8"?>
<sst xmlns="http://schemas.openxmlformats.org/spreadsheetml/2006/main" count="5784" uniqueCount="1812">
  <si>
    <t>Savings</t>
  </si>
  <si>
    <t>Cumulated saving</t>
  </si>
  <si>
    <t>Savings available</t>
  </si>
  <si>
    <t>Owing</t>
  </si>
  <si>
    <t>Loan</t>
  </si>
  <si>
    <t>Client</t>
  </si>
  <si>
    <t>Expenses</t>
  </si>
  <si>
    <t>Current expense</t>
  </si>
  <si>
    <t>Monthly expenses</t>
  </si>
  <si>
    <t xml:space="preserve">Expense gap </t>
  </si>
  <si>
    <t>Monthly payment</t>
  </si>
  <si>
    <t>Monthly interest</t>
  </si>
  <si>
    <t>Account</t>
  </si>
  <si>
    <t>Total Approvisionnement</t>
  </si>
  <si>
    <t>Previous profit</t>
  </si>
  <si>
    <t>Current Approvisionnement</t>
  </si>
  <si>
    <t>Today's result</t>
  </si>
  <si>
    <t>Last year daily average progress</t>
  </si>
  <si>
    <t>Portfolio</t>
  </si>
  <si>
    <t>Current portfolio stock</t>
  </si>
  <si>
    <t>Current portfolio cash</t>
  </si>
  <si>
    <t>Current portfolio value</t>
  </si>
  <si>
    <t>Current portfolio total profit</t>
  </si>
  <si>
    <t>Current portfolio total profit rate</t>
  </si>
  <si>
    <t>Allocations</t>
  </si>
  <si>
    <t>Current Allocation</t>
  </si>
  <si>
    <t>Margin</t>
  </si>
  <si>
    <t>Next Allocation</t>
  </si>
  <si>
    <t>Current Allocation ratio (instant)</t>
  </si>
  <si>
    <t>Interest rate</t>
  </si>
  <si>
    <t>Performances</t>
  </si>
  <si>
    <t>Average profit per transaction</t>
  </si>
  <si>
    <t>Transaction per month</t>
  </si>
  <si>
    <t>Average profit per month</t>
  </si>
  <si>
    <t>Current monthly dividend</t>
  </si>
  <si>
    <t>Total profit per month</t>
  </si>
  <si>
    <t>Monthly</t>
  </si>
  <si>
    <t>Monthly investment progress average</t>
  </si>
  <si>
    <t>Monthly profit</t>
  </si>
  <si>
    <t>Next portfolio objective</t>
  </si>
  <si>
    <t>Next portfolio objective spread</t>
  </si>
  <si>
    <t>Next portfolio objective ratio</t>
  </si>
  <si>
    <t>Stock value</t>
  </si>
  <si>
    <t>Cash Fund</t>
  </si>
  <si>
    <t>Total portfolio</t>
  </si>
  <si>
    <t>Cumulated result</t>
  </si>
  <si>
    <t>Date</t>
  </si>
  <si>
    <t>Cash balance</t>
  </si>
  <si>
    <t>Currency</t>
  </si>
  <si>
    <t>Allocated rate</t>
  </si>
  <si>
    <t>Non-allocated rate</t>
  </si>
  <si>
    <t>Day count</t>
  </si>
  <si>
    <t>Day interest</t>
  </si>
  <si>
    <t>Allocated</t>
  </si>
  <si>
    <t>Over allocation</t>
  </si>
  <si>
    <t>Cumulative interest</t>
  </si>
  <si>
    <t>Heure</t>
  </si>
  <si>
    <t>Date de</t>
  </si>
  <si>
    <t>Produit</t>
  </si>
  <si>
    <t>Code ISIN</t>
  </si>
  <si>
    <t>Description</t>
  </si>
  <si>
    <t>FX</t>
  </si>
  <si>
    <t>Mouvements</t>
  </si>
  <si>
    <t>Solde</t>
  </si>
  <si>
    <t>ID Ordre</t>
  </si>
  <si>
    <t>Type</t>
  </si>
  <si>
    <t>Label</t>
  </si>
  <si>
    <t>Transaction</t>
  </si>
  <si>
    <t>Quantity</t>
  </si>
  <si>
    <t>Price</t>
  </si>
  <si>
    <t>Value</t>
  </si>
  <si>
    <t>09-11-2020</t>
  </si>
  <si>
    <t>14:45</t>
  </si>
  <si>
    <t>ISHARES $ TREASURY BOND 20+YR UCITS E...</t>
  </si>
  <si>
    <t>IE00BSKRJZ44</t>
  </si>
  <si>
    <t>Frais de courtage</t>
  </si>
  <si>
    <t>EUR</t>
  </si>
  <si>
    <t>-2,00</t>
  </si>
  <si>
    <t>-880317,55</t>
  </si>
  <si>
    <t>93f004c2-19e8-4fde-b71e-624a382cac60</t>
  </si>
  <si>
    <t>-1,14</t>
  </si>
  <si>
    <t>-880315,55</t>
  </si>
  <si>
    <t>Achat 1 160 iShares $ Treasury Bond 20+yr UCITS ETF USD (Dist)@4,92 EUR (IE00BSKRJZ44)</t>
  </si>
  <si>
    <t>-5707,20</t>
  </si>
  <si>
    <t>-880314,41</t>
  </si>
  <si>
    <t>14:44</t>
  </si>
  <si>
    <t>ISHARES US T 7-10</t>
  </si>
  <si>
    <t>IE00B1FZS798</t>
  </si>
  <si>
    <t>Achat 6 ISHARES US T 7-10@185,1 EUR (IE00B1FZS798)</t>
  </si>
  <si>
    <t>-1110,60</t>
  </si>
  <si>
    <t>-874607,21</t>
  </si>
  <si>
    <t>7f1595cd-4d65-4770-b8a4-c80a8ec9cfcb</t>
  </si>
  <si>
    <t>14:43</t>
  </si>
  <si>
    <t>VANGUARD S&amp;P500</t>
  </si>
  <si>
    <t>IE00B3XXRP09</t>
  </si>
  <si>
    <t>Vente 29 VANGUARD S&amp;P500@58,68 EUR (IE00B3XXRP09)</t>
  </si>
  <si>
    <t>1701,72</t>
  </si>
  <si>
    <t>-873496,61</t>
  </si>
  <si>
    <t>da43574f-bc0e-4b27-aec0-5cafdda8b950</t>
  </si>
  <si>
    <t>Vente 1 VANGUARD S&amp;P500@58,68 EUR (IE00B3XXRP09)</t>
  </si>
  <si>
    <t>58,68</t>
  </si>
  <si>
    <t>-875198,33</t>
  </si>
  <si>
    <t>14:42</t>
  </si>
  <si>
    <t>Vente 28 VANGUARD S&amp;P500@58,68 EUR (IE00B3XXRP09)</t>
  </si>
  <si>
    <t>1643,04</t>
  </si>
  <si>
    <t>-875257,01</t>
  </si>
  <si>
    <t>14:37</t>
  </si>
  <si>
    <t>Achat 6 ISHARES US T 7-10@185,15 EUR (IE00B1FZS798)</t>
  </si>
  <si>
    <t>-1110,90</t>
  </si>
  <si>
    <t>-876900,05</t>
  </si>
  <si>
    <t>7a4e274f-a177-42b5-929f-8ccf799d13ab</t>
  </si>
  <si>
    <t>14:29</t>
  </si>
  <si>
    <t>-1,50</t>
  </si>
  <si>
    <t>-875789,15</t>
  </si>
  <si>
    <t>afccd5e8-7258-47ba-bd35-c9d77ec24897</t>
  </si>
  <si>
    <t>Achat 1 521 iShares $ Treasury Bond 20+yr UCITS ETF USD (Dist)@4,94 EUR (IE00BSKRJZ44)</t>
  </si>
  <si>
    <t>-7513,74</t>
  </si>
  <si>
    <t>-875787,65</t>
  </si>
  <si>
    <t>14:26</t>
  </si>
  <si>
    <t>Vente 64 VANGUARD S&amp;P500@58,43 EUR (IE00B3XXRP09)</t>
  </si>
  <si>
    <t>3739,52</t>
  </si>
  <si>
    <t>-868273,91</t>
  </si>
  <si>
    <t>58c09fb2-23e3-44f9-b2ab-d13ace545181</t>
  </si>
  <si>
    <t>14:04</t>
  </si>
  <si>
    <t>-872013,43</t>
  </si>
  <si>
    <t>-0,11</t>
  </si>
  <si>
    <t>-872011,43</t>
  </si>
  <si>
    <t>Achat 108 iShares $ Treasury Bond 20+yr UCITS ETF USD (Dist)@4,91 EUR (IE00BSKRJZ44)</t>
  </si>
  <si>
    <t>-530,28</t>
  </si>
  <si>
    <t>-872011,32</t>
  </si>
  <si>
    <t>13:58</t>
  </si>
  <si>
    <t>Vente 230 VANGUARD S&amp;P500@58,25 EUR (IE00B3XXRP09)</t>
  </si>
  <si>
    <t>13397,50</t>
  </si>
  <si>
    <t>-871481,04</t>
  </si>
  <si>
    <t>77ccafae-a05c-4d55-bf1d-78955bfaa82e</t>
  </si>
  <si>
    <t>13:30</t>
  </si>
  <si>
    <t>Achat 12 ISHARES US T 7-10@185,35 EUR (IE00B1FZS798)</t>
  </si>
  <si>
    <t>-2224,20</t>
  </si>
  <si>
    <t>-884878,54</t>
  </si>
  <si>
    <t>a9feb109-836c-482b-b9f4-412c1ac1317e</t>
  </si>
  <si>
    <t>13:15</t>
  </si>
  <si>
    <t>-882654,34</t>
  </si>
  <si>
    <t>c1779a9a-5452-4cf5-bed3-ec324009bb86</t>
  </si>
  <si>
    <t>-5,98</t>
  </si>
  <si>
    <t>-882652,34</t>
  </si>
  <si>
    <t>Achat 6 092 iShares $ Treasury Bond 20+yr UCITS ETF USD (Dist)@4,91 EUR (IE00BSKRJZ44)</t>
  </si>
  <si>
    <t>-29911,72</t>
  </si>
  <si>
    <t>-882646,36</t>
  </si>
  <si>
    <t>13:08</t>
  </si>
  <si>
    <t>Vente 760 VANGUARD S&amp;P500@58 EUR (IE00B3XXRP09)</t>
  </si>
  <si>
    <t>44080,00</t>
  </si>
  <si>
    <t>-852734,64</t>
  </si>
  <si>
    <t>55bed5c6-54fb-4324-9906-15efbf8d2c2d</t>
  </si>
  <si>
    <t>11:54</t>
  </si>
  <si>
    <t>Achat 6 ISHARES US T 7-10@186,84 EUR (IE00B1FZS798)</t>
  </si>
  <si>
    <t>-1121,04</t>
  </si>
  <si>
    <t>-896814,64</t>
  </si>
  <si>
    <t>22191a93-9c1a-48c2-8b56-bd50722f20a3</t>
  </si>
  <si>
    <t>11:40</t>
  </si>
  <si>
    <t>-895693,60</t>
  </si>
  <si>
    <t>f0d6da87-cf49-4165-b34c-9b8169f0688c</t>
  </si>
  <si>
    <t>-4,86</t>
  </si>
  <si>
    <t>-895691,60</t>
  </si>
  <si>
    <t>Achat 4 813 iShares $ Treasury Bond 20+yr UCITS ETF USD (Dist)@5,05 EUR (IE00BSKRJZ44)</t>
  </si>
  <si>
    <t>-24305,65</t>
  </si>
  <si>
    <t>-895686,74</t>
  </si>
  <si>
    <t>10:42</t>
  </si>
  <si>
    <t>Achat 14 ISHARES US T 7-10@186,84 EUR (IE00B1FZS798)</t>
  </si>
  <si>
    <t>-2615,76</t>
  </si>
  <si>
    <t>-871381,09</t>
  </si>
  <si>
    <t>c1fd205d-ea05-4548-9a6d-3dba511f0a6a</t>
  </si>
  <si>
    <t>06-11-2020</t>
  </si>
  <si>
    <t>12:44</t>
  </si>
  <si>
    <t>-868765,33</t>
  </si>
  <si>
    <t>1b646232-85b6-4706-b718-35a2753bd704</t>
  </si>
  <si>
    <t>-1,02</t>
  </si>
  <si>
    <t>-868763,33</t>
  </si>
  <si>
    <t>Achat 1 000 iShares $ Treasury Bond 20+yr UCITS ETF USD (Dist)@5,092 EUR (IE00BSKRJZ44)</t>
  </si>
  <si>
    <t>-5092,00</t>
  </si>
  <si>
    <t>-868762,31</t>
  </si>
  <si>
    <t>12:24</t>
  </si>
  <si>
    <t>Achat 6 ISHARES US T 7-10@187,25 EUR (IE00B1FZS798)</t>
  </si>
  <si>
    <t>-1123,50</t>
  </si>
  <si>
    <t>-863670,31</t>
  </si>
  <si>
    <t>8a88ac36-6e1f-4638-bed1-ce076caeb18a</t>
  </si>
  <si>
    <t>05-11-2020</t>
  </si>
  <si>
    <t>16:50</t>
  </si>
  <si>
    <t>Processed Flatex Withdrawal</t>
  </si>
  <si>
    <t>1800,00</t>
  </si>
  <si>
    <t>-862546,81</t>
  </si>
  <si>
    <t>Retrait flatex</t>
  </si>
  <si>
    <t>-1800,00</t>
  </si>
  <si>
    <t>-864346,81</t>
  </si>
  <si>
    <t>12:42</t>
  </si>
  <si>
    <t>Achat 56 ISHARES US T 7-10@188,75 EUR (IE00B1FZS798)</t>
  </si>
  <si>
    <t>-10570,00</t>
  </si>
  <si>
    <t>5cd5de75-72c0-4fc1-a975-f828c2d91933</t>
  </si>
  <si>
    <t>Vente 450 VANGUARD S&amp;P500@56,35 EUR (IE00B3XXRP09)</t>
  </si>
  <si>
    <t>25357,50</t>
  </si>
  <si>
    <t>-851976,81</t>
  </si>
  <si>
    <t>882cf8f6-cb6d-4d00-b4bb-dcce94818e4c</t>
  </si>
  <si>
    <t>12:15</t>
  </si>
  <si>
    <t>FLATEX EURO BANKACCOUNT</t>
  </si>
  <si>
    <t>NLFLATEXACNT</t>
  </si>
  <si>
    <t>Transfert de fonds Flatex</t>
  </si>
  <si>
    <t>-877334,31</t>
  </si>
  <si>
    <t>Degiro Cash Sweep Transfer</t>
  </si>
  <si>
    <t>-879134,31</t>
  </si>
  <si>
    <t>04-11-2020</t>
  </si>
  <si>
    <t>13:00</t>
  </si>
  <si>
    <t>-1000,00</t>
  </si>
  <si>
    <t>1000,00</t>
  </si>
  <si>
    <t>-876334,31</t>
  </si>
  <si>
    <t>10:03</t>
  </si>
  <si>
    <t>03-11-2020</t>
  </si>
  <si>
    <t>15:29</t>
  </si>
  <si>
    <t>02-11-2020</t>
  </si>
  <si>
    <t>Retrait refusé</t>
  </si>
  <si>
    <t>-875534,31</t>
  </si>
  <si>
    <t>11:45</t>
  </si>
  <si>
    <t>-876534,31</t>
  </si>
  <si>
    <t>-877534,31</t>
  </si>
  <si>
    <t>16:06</t>
  </si>
  <si>
    <t>31-10-2020</t>
  </si>
  <si>
    <t>Intérêts débiteurs mensuels (Débit Argent)</t>
  </si>
  <si>
    <t>-1397,65</t>
  </si>
  <si>
    <t>-875136,66</t>
  </si>
  <si>
    <t>21-10-2020</t>
  </si>
  <si>
    <t>13:18</t>
  </si>
  <si>
    <t>-874136,66</t>
  </si>
  <si>
    <t>e14646d1-37c0-4016-86b9-fc84d31407ed</t>
  </si>
  <si>
    <t>-1,62</t>
  </si>
  <si>
    <t>-874134,66</t>
  </si>
  <si>
    <t>Achat 1 616 iShares $ Treasury Bond 20+yr UCITS ETF USD (Dist)@5,018 EUR (IE00BSKRJZ44)</t>
  </si>
  <si>
    <t>-8109,09</t>
  </si>
  <si>
    <t>-874133,04</t>
  </si>
  <si>
    <t>13:03</t>
  </si>
  <si>
    <t>Vente 114 VANGUARD S&amp;P500@54,985 EUR (IE00B3XXRP09)</t>
  </si>
  <si>
    <t>6268,29</t>
  </si>
  <si>
    <t>-866023,95</t>
  </si>
  <si>
    <t>3a252a7d-5609-4e5c-bfb8-b211dc6067eb</t>
  </si>
  <si>
    <t>12:57</t>
  </si>
  <si>
    <t>Vente 3 VANGUARD S&amp;P500@55,085 EUR (IE00B3XXRP09)</t>
  </si>
  <si>
    <t>165,26</t>
  </si>
  <si>
    <t>-872292,24</t>
  </si>
  <si>
    <t>4055a5bc-cd85-45c3-bd0a-b390ae38e323</t>
  </si>
  <si>
    <t>Vente 17 VANGUARD S&amp;P500@55,085 EUR (IE00B3XXRP09)</t>
  </si>
  <si>
    <t>936,44</t>
  </si>
  <si>
    <t>-872457,49</t>
  </si>
  <si>
    <t>12:50</t>
  </si>
  <si>
    <t>Vente 228 VANGUARD S&amp;P500@55,1 EUR (IE00B3XXRP09)</t>
  </si>
  <si>
    <t>12562,80</t>
  </si>
  <si>
    <t>-873393,94</t>
  </si>
  <si>
    <t>c585c828-fdc5-45a3-9a99-81da132be2dc</t>
  </si>
  <si>
    <t>12:47</t>
  </si>
  <si>
    <t>Vente 228 VANGUARD S&amp;P500@55,07 EUR (IE00B3XXRP09)</t>
  </si>
  <si>
    <t>12555,96</t>
  </si>
  <si>
    <t>-885956,74</t>
  </si>
  <si>
    <t>f0081362-b169-4d7f-a582-b3b5b337e1dd</t>
  </si>
  <si>
    <t>20-10-2020</t>
  </si>
  <si>
    <t>12:30</t>
  </si>
  <si>
    <t>-898512,70</t>
  </si>
  <si>
    <t>be3a7068-29ed-4ffe-ad1e-49ca7f04e903</t>
  </si>
  <si>
    <t>-16,71</t>
  </si>
  <si>
    <t>-898510,70</t>
  </si>
  <si>
    <t>Achat 16 500 iShares $ Treasury Bond 20+yr UCITS ETF USD (Dist)@5,065 EUR (IE00BSKRJZ44)</t>
  </si>
  <si>
    <t>-83572,50</t>
  </si>
  <si>
    <t>-898493,99</t>
  </si>
  <si>
    <t>14-10-2020</t>
  </si>
  <si>
    <t>12:51</t>
  </si>
  <si>
    <t>Achat 7 ISHARES US T 7-10@190,25 EUR (IE00B1FZS798)</t>
  </si>
  <si>
    <t>-1331,75</t>
  </si>
  <si>
    <t>-814921,49</t>
  </si>
  <si>
    <t>29469d9e-789c-44e8-ba23-e543098ec74b</t>
  </si>
  <si>
    <t>12-10-2020</t>
  </si>
  <si>
    <t>14:48</t>
  </si>
  <si>
    <t>Achat 12 ISHARES US T 7-10@188,35 EUR (IE00B1FZS798)</t>
  </si>
  <si>
    <t>-2260,20</t>
  </si>
  <si>
    <t>-813589,74</t>
  </si>
  <si>
    <t>8ff581d1-51ac-4495-8d34-3486cd222be2</t>
  </si>
  <si>
    <t>ID</t>
  </si>
  <si>
    <t>ISIN</t>
  </si>
  <si>
    <t>DE000A0H0728</t>
  </si>
  <si>
    <t>Commodities</t>
  </si>
  <si>
    <t>iShares Diversified Commodity Swap UCITS ETF DE</t>
  </si>
  <si>
    <t>GB00B15KY989</t>
  </si>
  <si>
    <t>ETFS All Commodities ETC</t>
  </si>
  <si>
    <t>JE00B1VS3770</t>
  </si>
  <si>
    <t>Gold</t>
  </si>
  <si>
    <t>ETFS Physical Gold</t>
  </si>
  <si>
    <t>US4642851053</t>
  </si>
  <si>
    <t>iShares Gold Trust</t>
  </si>
  <si>
    <t>Intermediate US bonds (7-10 year)</t>
  </si>
  <si>
    <t>iShares Treasury Bond 7-10 UCITS</t>
  </si>
  <si>
    <t>US4642874402</t>
  </si>
  <si>
    <t>iShares 7-10 Year Treasury Bond ETF</t>
  </si>
  <si>
    <t>US92206C7065</t>
  </si>
  <si>
    <t>Vanguard Intermediate-Term Treasury ETF</t>
  </si>
  <si>
    <t>Long term US bonds (20-25 year)</t>
  </si>
  <si>
    <t>iShares Treasury Bond 20+ UCITS</t>
  </si>
  <si>
    <t>US9219107094</t>
  </si>
  <si>
    <t>Vanguard Extended Duration Treasury ETF</t>
  </si>
  <si>
    <t>Stocks</t>
  </si>
  <si>
    <t>Vanguard S&amp;P 500 UCITS</t>
  </si>
  <si>
    <t>US9229087690</t>
  </si>
  <si>
    <t>Vanguard Total Stock Market ETF</t>
  </si>
  <si>
    <t>Current value</t>
  </si>
  <si>
    <t>Sent value</t>
  </si>
  <si>
    <t>Sent time</t>
  </si>
  <si>
    <t>Object</t>
  </si>
  <si>
    <t>Subject</t>
  </si>
  <si>
    <t>!!REBALANCE!!</t>
  </si>
  <si>
    <t>$X value(s) in: $APPLINK need to be rebalanced in: $DEGLINK</t>
  </si>
  <si>
    <t>ALERT VALUE UPDATE</t>
  </si>
  <si>
    <t>$X value(s) are not updated since more than 16min ! Check it out in $APPLINK</t>
  </si>
  <si>
    <t>RELOAD ACCOUNT</t>
  </si>
  <si>
    <t>$X temporary row(s) have been added. Reload Account from: $DEGLINK in: $APPLINK</t>
  </si>
  <si>
    <t>NEW ALLOCATION</t>
  </si>
  <si>
    <t>$X € should be allocated in: $DEGLINK and reported in: $APPLINK</t>
  </si>
  <si>
    <t>DateTime</t>
  </si>
  <si>
    <t>Time</t>
  </si>
  <si>
    <t>Year</t>
  </si>
  <si>
    <t>Month</t>
  </si>
  <si>
    <t>Day</t>
  </si>
  <si>
    <t>WeekDay</t>
  </si>
  <si>
    <t>OpeningDay</t>
  </si>
  <si>
    <t>ClosingDay</t>
  </si>
  <si>
    <t>OpeningHour</t>
  </si>
  <si>
    <t>ClosingHour</t>
  </si>
  <si>
    <t>IsOpen</t>
  </si>
  <si>
    <t>Inst price</t>
  </si>
  <si>
    <t>Avg Price</t>
  </si>
  <si>
    <t>Cumulated profit total rate</t>
  </si>
  <si>
    <t>Cumulated profit</t>
  </si>
  <si>
    <t>Cumulated profit rate</t>
  </si>
  <si>
    <t>Cumulated dividend</t>
  </si>
  <si>
    <t>Cumulated dividend rate</t>
  </si>
  <si>
    <t>Average investment</t>
  </si>
  <si>
    <t>Saving duration</t>
  </si>
  <si>
    <t>Working free duration</t>
  </si>
  <si>
    <t>Since Independance duration</t>
  </si>
  <si>
    <t>Since Independance gap</t>
  </si>
  <si>
    <t>Monthly income</t>
  </si>
  <si>
    <t>Income use</t>
  </si>
  <si>
    <t>Current monthly dividend / thousand</t>
  </si>
  <si>
    <t xml:space="preserve">Last year monthly dividend </t>
  </si>
  <si>
    <t>Monthly income progress average</t>
  </si>
  <si>
    <t>Debt</t>
  </si>
  <si>
    <t>Current portfolio duration</t>
  </si>
  <si>
    <t>Current portfolio profit</t>
  </si>
  <si>
    <t>Current portfolio profit rate</t>
  </si>
  <si>
    <t>Current portfolio dividend</t>
  </si>
  <si>
    <t>Current portfolio dividend rate</t>
  </si>
  <si>
    <t>Current portfolio cost</t>
  </si>
  <si>
    <t>Current portfolio cost rate</t>
  </si>
  <si>
    <t>Requested allocation</t>
  </si>
  <si>
    <t>Last year dividend rate</t>
  </si>
  <si>
    <t>EONIA</t>
  </si>
  <si>
    <t>Investment provision</t>
  </si>
  <si>
    <t>Instant profit per trading day</t>
  </si>
  <si>
    <t>Instant profit per transaction</t>
  </si>
  <si>
    <t>Instant profit per month</t>
  </si>
  <si>
    <t>Last month stock average progress</t>
  </si>
  <si>
    <t>Last negative average profit in days</t>
  </si>
  <si>
    <t>Last updated</t>
  </si>
  <si>
    <t>App link</t>
  </si>
  <si>
    <t>https://goo.gl/amjmSv</t>
  </si>
  <si>
    <t>Target Dist</t>
  </si>
  <si>
    <t>Free</t>
  </si>
  <si>
    <t>Link</t>
  </si>
  <si>
    <t>Title</t>
  </si>
  <si>
    <t>Code</t>
  </si>
  <si>
    <t>Market</t>
  </si>
  <si>
    <t>Symbol</t>
  </si>
  <si>
    <t>Shares</t>
  </si>
  <si>
    <t>Buy</t>
  </si>
  <si>
    <t>Sell</t>
  </si>
  <si>
    <t>Estimation</t>
  </si>
  <si>
    <t>First m trade</t>
  </si>
  <si>
    <t>Rank</t>
  </si>
  <si>
    <t>Rebalance</t>
  </si>
  <si>
    <t>Provision</t>
  </si>
  <si>
    <t>Rest</t>
  </si>
  <si>
    <t>Tendency</t>
  </si>
  <si>
    <t>Daily result</t>
  </si>
  <si>
    <t>Rate</t>
  </si>
  <si>
    <t>Dividend</t>
  </si>
  <si>
    <t>Stock</t>
  </si>
  <si>
    <t>Total</t>
  </si>
  <si>
    <t>Cost</t>
  </si>
  <si>
    <t>Trans profit</t>
  </si>
  <si>
    <t>Dist gap</t>
  </si>
  <si>
    <t>Avg price</t>
  </si>
  <si>
    <t>Avg gap</t>
  </si>
  <si>
    <t>Avg lm price</t>
  </si>
  <si>
    <t>Avg lm prog</t>
  </si>
  <si>
    <t>Price Gap</t>
  </si>
  <si>
    <t>Avg value</t>
  </si>
  <si>
    <t>Mean price</t>
  </si>
  <si>
    <t>Last upd</t>
  </si>
  <si>
    <t>Last div</t>
  </si>
  <si>
    <t>Next div</t>
  </si>
  <si>
    <t>Next div dur</t>
  </si>
  <si>
    <t>Est div</t>
  </si>
  <si>
    <t>Div / month</t>
  </si>
  <si>
    <t>Real dist</t>
  </si>
  <si>
    <t>Profit trigger</t>
  </si>
  <si>
    <t>Old PT</t>
  </si>
  <si>
    <t>Sell trigger</t>
  </si>
  <si>
    <t>Max Price</t>
  </si>
  <si>
    <t>Near top</t>
  </si>
  <si>
    <t>Buy trigger</t>
  </si>
  <si>
    <t>Min Price</t>
  </si>
  <si>
    <t>Near bot</t>
  </si>
  <si>
    <t>BUY</t>
  </si>
  <si>
    <t>SELL</t>
  </si>
  <si>
    <t>ishares-usd-treasury-bond-20yr-de?cid=956312</t>
  </si>
  <si>
    <t>IS04 | iShares Treasury Bond 20+ UCITS Xetra ETF - Investing.com</t>
  </si>
  <si>
    <t>X</t>
  </si>
  <si>
    <t>vanguard-s-p-500-uk?cid=962112</t>
  </si>
  <si>
    <t>VUSA | Vanguard S&amp;P 500 UCITS Amsterdam ETF - Investing.com</t>
  </si>
  <si>
    <t>ishares-$-treasury-bond-7-10?cid=47280</t>
  </si>
  <si>
    <t>BTMA | iShares Treasury Bond 7-10 UCITS Amsterdam ETF - Investing.com</t>
  </si>
  <si>
    <t>etfs---physical-gold?cid=37600</t>
  </si>
  <si>
    <t>PHAU | ETFS Physical Gold Amsterdam ETF - Investing.com</t>
  </si>
  <si>
    <t>etfs-all-commodities-dj-aigci?cid=47349</t>
  </si>
  <si>
    <t>AIGCP | ETFS All Commodities ETC Paris ETF - Investing.com</t>
  </si>
  <si>
    <t>TOTAL</t>
  </si>
  <si>
    <t>Inst profit</t>
  </si>
  <si>
    <t>Avg profit</t>
  </si>
  <si>
    <t>Vanguard S&amp;P 500 UCITS@SELL@-30@1760.4</t>
  </si>
  <si>
    <t>iShares Treasury Bond 20+ UCITS@BUY@1160@-5707.2</t>
  </si>
  <si>
    <t>COST</t>
  </si>
  <si>
    <t>iShares Treasury Bond 20+ UCITS@COST@@-3.14</t>
  </si>
  <si>
    <t>iShares Treasury Bond 7-10 UCITS@BUY@6@-1110.6</t>
  </si>
  <si>
    <t>Vanguard S&amp;P 500 UCITS@SELL@-28@1643.04</t>
  </si>
  <si>
    <t>iShares Treasury Bond 7-10 UCITS@BUY@6@-1110.9</t>
  </si>
  <si>
    <t>iShares Treasury Bond 20+ UCITS@BUY@1521@-7513.74</t>
  </si>
  <si>
    <t>iShares Treasury Bond 20+ UCITS@COST@@-1.5</t>
  </si>
  <si>
    <t>Vanguard S&amp;P 500 UCITS@SELL@-64@3739.52</t>
  </si>
  <si>
    <t>iShares Treasury Bond 20+ UCITS@BUY@108@-530.28</t>
  </si>
  <si>
    <t>iShares Treasury Bond 20+ UCITS@COST@@-2.11</t>
  </si>
  <si>
    <t>Vanguard S&amp;P 500 UCITS@SELL@-230@13397.5</t>
  </si>
  <si>
    <t>iShares Treasury Bond 7-10 UCITS@BUY@12@-2224.2</t>
  </si>
  <si>
    <t>iShares Treasury Bond 20+ UCITS@BUY@6092@-29911.72</t>
  </si>
  <si>
    <t>iShares Treasury Bond 20+ UCITS@COST@@-7.98</t>
  </si>
  <si>
    <t>Vanguard S&amp;P 500 UCITS@SELL@-760@44080</t>
  </si>
  <si>
    <t>iShares Treasury Bond 7-10 UCITS@BUY@6@-1121.04</t>
  </si>
  <si>
    <t>iShares Treasury Bond 20+ UCITS@BUY@4813@-24305.65</t>
  </si>
  <si>
    <t>iShares Treasury Bond 20+ UCITS@COST@@-6.86</t>
  </si>
  <si>
    <t>iShares Treasury Bond 7-10 UCITS@BUY@14@-2615.76</t>
  </si>
  <si>
    <t>iShares Treasury Bond 20+ UCITS@BUY@1000@-5092</t>
  </si>
  <si>
    <t>iShares Treasury Bond 20+ UCITS@COST@@-3.02</t>
  </si>
  <si>
    <t>iShares Treasury Bond 7-10 UCITS@BUY@6@-1123.5</t>
  </si>
  <si>
    <t>APPROVISIONNEMENT</t>
  </si>
  <si>
    <t>@APPROVISIONNEMENT@@-1800</t>
  </si>
  <si>
    <t>iShares Treasury Bond 7-10 UCITS@BUY@56@-10570</t>
  </si>
  <si>
    <t>Vanguard S&amp;P 500 UCITS@SELL@-450@25357.5</t>
  </si>
  <si>
    <t>@APPROVISIONNEMENT@@1000</t>
  </si>
  <si>
    <t>@APPROVISIONNEMENT@@-1000</t>
  </si>
  <si>
    <t>@COST@@-1397.65</t>
  </si>
  <si>
    <t>Vanguard S&amp;P 500 UCITS@SELL@-20@1101.7</t>
  </si>
  <si>
    <t>iShares Treasury Bond 20+ UCITS@BUY@1616@-8109.09</t>
  </si>
  <si>
    <t>iShares Treasury Bond 20+ UCITS@COST@@-3.62</t>
  </si>
  <si>
    <t>Vanguard S&amp;P 500 UCITS@SELL@-114@6268.29</t>
  </si>
  <si>
    <t>Vanguard S&amp;P 500 UCITS@SELL@-228@12562.8</t>
  </si>
  <si>
    <t>Vanguard S&amp;P 500 UCITS@SELL@-228@12555.96</t>
  </si>
  <si>
    <t>iShares Treasury Bond 20+ UCITS@BUY@16500@-83572.5</t>
  </si>
  <si>
    <t>iShares Treasury Bond 20+ UCITS@COST@@-18.71</t>
  </si>
  <si>
    <t>iShares Treasury Bond 7-10 UCITS@BUY@7@-1331.75</t>
  </si>
  <si>
    <t>iShares Treasury Bond 7-10 UCITS@BUY@12@-2260.2</t>
  </si>
  <si>
    <t>iShares Treasury Bond 20+ UCITS@BUY@49514@-249996.19</t>
  </si>
  <si>
    <t>iShares Treasury Bond 20+ UCITS@COST@@-52</t>
  </si>
  <si>
    <t>iShares Treasury Bond 7-10 UCITS@BUY@9@-1696.95</t>
  </si>
  <si>
    <t>iShares Treasury Bond 7-10 UCITS@BUY@7@-1323</t>
  </si>
  <si>
    <t>DIVIDEND</t>
  </si>
  <si>
    <t>Vanguard S&amp;P 500 UCITS@DIVIDEND@@1677.14</t>
  </si>
  <si>
    <t>Vanguard S&amp;P 500 UCITS@DIVIDEND@@-253</t>
  </si>
  <si>
    <t>@COST@@-0.82</t>
  </si>
  <si>
    <t>@COST@@0.82</t>
  </si>
  <si>
    <t>iShares Treasury Bond 7-10 UCITS@BUY@10@-1905.5</t>
  </si>
  <si>
    <t>@COST@@-729.38</t>
  </si>
  <si>
    <t>iShares Treasury Bond 7-10 UCITS@BUY@50@-9558</t>
  </si>
  <si>
    <t>@APPROVISIONNEMENT@@40000</t>
  </si>
  <si>
    <t>@APPROVISIONNEMENT@@-1500</t>
  </si>
  <si>
    <t>Vanguard S&amp;P 500 UCITS@SELL@-2048@117555.2</t>
  </si>
  <si>
    <t>iShares Treasury Bond 7-10 UCITS@BUY@6@-1130.22</t>
  </si>
  <si>
    <t>iShares Treasury Bond 7-10 UCITS@BUY@6@-1115.4</t>
  </si>
  <si>
    <t>@COST@@-680.17</t>
  </si>
  <si>
    <t>iShares Treasury Bond 7-10 UCITS@BUY@10@-1868</t>
  </si>
  <si>
    <t>iShares Treasury Bond 7-10 UCITS@BUY@6@-1133.88</t>
  </si>
  <si>
    <t>iShares Treasury Bond 7-10 UCITS@BUY@6@-1131.9</t>
  </si>
  <si>
    <t>iShares Treasury Bond 7-10 UCITS@BUY@484@-91325.96</t>
  </si>
  <si>
    <t>@COST@@-690.94</t>
  </si>
  <si>
    <t>@COST@@-631.25</t>
  </si>
  <si>
    <t>iShares Treasury Bond 20+ UCITS@DIVIDEND@@-421.7</t>
  </si>
  <si>
    <t>Vanguard S&amp;P 500 UCITS@DIVIDEND@@1706.05</t>
  </si>
  <si>
    <t>iShares Treasury Bond 20+ UCITS@DIVIDEND@@2148.89</t>
  </si>
  <si>
    <t>@APPROVISIONNEMENT@@-100000</t>
  </si>
  <si>
    <t>@APPROVISIONNEMENT@@-400</t>
  </si>
  <si>
    <t>@COST@@-544.65</t>
  </si>
  <si>
    <t>iShares Treasury Bond 7-10 UCITS@DIVIDEND@@874.6</t>
  </si>
  <si>
    <t>iShares Treasury Bond 7-10 UCITS@DIVIDEND@@-81</t>
  </si>
  <si>
    <t>@COST@@-704.17</t>
  </si>
  <si>
    <t>ETFS All Commodities ETC@BUY@177@-1005.36</t>
  </si>
  <si>
    <t>ETFS All Commodities ETC@BUY@176@-1004.96</t>
  </si>
  <si>
    <t>ETFS All Commodities ETC@BUY@705@-4039.65</t>
  </si>
  <si>
    <t>ETFS All Commodities ETC@BUY@174@-1003.98</t>
  </si>
  <si>
    <t>Vanguard S&amp;P 500 UCITS@SELL@-2384@115743.2</t>
  </si>
  <si>
    <t>ETFS All Commodities ETC@BUY@174@-1000.5</t>
  </si>
  <si>
    <t>ETFS Physical Gold@SELL@-7@1051.75</t>
  </si>
  <si>
    <t>ETFS Physical Gold@SELL@-17@2538.95</t>
  </si>
  <si>
    <t>Vanguard S&amp;P 500 UCITS@DIVIDEND@@-276.34</t>
  </si>
  <si>
    <t>@APPROVISIONNEMENT@@-100</t>
  </si>
  <si>
    <t>Vanguard S&amp;P 500 UCITS@DIVIDEND@@3216.38</t>
  </si>
  <si>
    <t>ETFS Physical Gold@SELL@-22@3202.1</t>
  </si>
  <si>
    <t>iShares Treasury Bond 20+ UCITS@SELL@-290@1703.75</t>
  </si>
  <si>
    <t>iShares Treasury Bond 20+ UCITS@COST@@-2.34</t>
  </si>
  <si>
    <t>iShares Treasury Bond 20+ UCITS@SELL@-186@1095.54</t>
  </si>
  <si>
    <t>iShares Treasury Bond 20+ UCITS@COST@@-2.22</t>
  </si>
  <si>
    <t>iShares Treasury Bond 7-10 UCITS@SELL@-5@1040.25</t>
  </si>
  <si>
    <t>iShares Treasury Bond 7-10 UCITS@SELL@-10@2076.7</t>
  </si>
  <si>
    <t>iShares Treasury Bond 20+ UCITS@SELL@-437@2558.64</t>
  </si>
  <si>
    <t>iShares Treasury Bond 20+ UCITS@COST@@-2.51</t>
  </si>
  <si>
    <t>iShares Treasury Bond 20+ UCITS@SELL@-248@1442.42</t>
  </si>
  <si>
    <t>iShares Treasury Bond 20+ UCITS@COST@@-2.29</t>
  </si>
  <si>
    <t>iShares Treasury Bond 7-10 UCITS@SELL@-2@413.94</t>
  </si>
  <si>
    <t>iShares Treasury Bond 7-10 UCITS@SELL@-29@6002.13</t>
  </si>
  <si>
    <t>iShares Treasury Bond 20+ UCITS@SELL@-316@1832.86</t>
  </si>
  <si>
    <t>iShares Treasury Bond 20+ UCITS@COST@@-2.37</t>
  </si>
  <si>
    <t>ETFS All Commodities ETC@BUY@20@-115.4</t>
  </si>
  <si>
    <t>ETFS All Commodities ETC@BUY@153@-882.81</t>
  </si>
  <si>
    <t>ETFS All Commodities ETC@BUY@1@-5.77</t>
  </si>
  <si>
    <t>@APPROVISIONNEMENT@@-200</t>
  </si>
  <si>
    <t>ETFS All Commodities ETC@BUY@174@-1004.33</t>
  </si>
  <si>
    <t>iShares Treasury Bond 20+ UCITS@SELL@-7555@43599.9</t>
  </si>
  <si>
    <t>iShares Treasury Bond 20+ UCITS@COST@@-10.72</t>
  </si>
  <si>
    <t>@COST@@-806.35</t>
  </si>
  <si>
    <t>ETFS All Commodities ETC@BUY@80@-471.04</t>
  </si>
  <si>
    <t>ETFS All Commodities ETC@BUY@90@-529.92</t>
  </si>
  <si>
    <t>Vanguard S&amp;P 500 UCITS@BUY@311@-12146.1</t>
  </si>
  <si>
    <t>Vanguard S&amp;P 500 UCITS@BUY@32@-1264</t>
  </si>
  <si>
    <t>Vanguard S&amp;P 500 UCITS@BUY@36@-1423.8</t>
  </si>
  <si>
    <t>Vanguard S&amp;P 500 UCITS@BUY@36@-1436.04</t>
  </si>
  <si>
    <t>Vanguard S&amp;P 500 UCITS@BUY@26@-1038.83</t>
  </si>
  <si>
    <t>Vanguard S&amp;P 500 UCITS@BUY@46@-1840</t>
  </si>
  <si>
    <t>Vanguard S&amp;P 500 UCITS@BUY@80@-3208.8</t>
  </si>
  <si>
    <t>iShares Treasury Bond 20+ UCITS@SELL@-6581@35208.35</t>
  </si>
  <si>
    <t>iShares Treasury Bond 20+ UCITS@COST@@-9.04</t>
  </si>
  <si>
    <t>iShares Treasury Bond 7-10 UCITS@SELL@-6@1186.74</t>
  </si>
  <si>
    <t>Vanguard S&amp;P 500 UCITS@BUY@125@-5337.5</t>
  </si>
  <si>
    <t>Vanguard S&amp;P 500 UCITS@BUY@77@-3287.9</t>
  </si>
  <si>
    <t>iShares Treasury Bond 7-10 UCITS@SELL@-6@1188.3</t>
  </si>
  <si>
    <t>iShares Treasury Bond 7-10 UCITS@SELL@-6@1182.3</t>
  </si>
  <si>
    <t>iShares Treasury Bond 7-10 UCITS@SELL@-26@5102.5</t>
  </si>
  <si>
    <t>iShares Treasury Bond 7-10 UCITS@SELL@-3@588.75</t>
  </si>
  <si>
    <t>Vanguard S&amp;P 500 UCITS@BUY@35@-1585.5</t>
  </si>
  <si>
    <t>Vanguard S&amp;P 500 UCITS@BUY@173@-7855.93</t>
  </si>
  <si>
    <t>Vanguard S&amp;P 500 UCITS@BUY@61@-2802.95</t>
  </si>
  <si>
    <t>Vanguard S&amp;P 500 UCITS@BUY@46@-2129.06</t>
  </si>
  <si>
    <t>ETFS All Commodities ETC@BUY@164@-1000.4</t>
  </si>
  <si>
    <t>ETFS All Commodities ETC@BUY@708@-4318.8</t>
  </si>
  <si>
    <t>Vanguard S&amp;P 500 UCITS@BUY@242@-11247.68</t>
  </si>
  <si>
    <t>ETFS All Commodities ETC@BUY@1240@-7582.6</t>
  </si>
  <si>
    <t>ETFS All Commodities ETC@BUY@23@-140.3</t>
  </si>
  <si>
    <t>ETFS All Commodities ETC@BUY@7@-42.7</t>
  </si>
  <si>
    <t>Vanguard S&amp;P 500 UCITS@BUY@394@-18281.6</t>
  </si>
  <si>
    <t>Vanguard S&amp;P 500 UCITS@BUY@135@-6264</t>
  </si>
  <si>
    <t>Vanguard S&amp;P 500 UCITS@BUY@2@-92.8</t>
  </si>
  <si>
    <t>Vanguard S&amp;P 500 UCITS@BUY@3@-139.2</t>
  </si>
  <si>
    <t>Vanguard S&amp;P 500 UCITS@BUY@9@-417.6</t>
  </si>
  <si>
    <t>Vanguard S&amp;P 500 UCITS@BUY@54@-2505.6</t>
  </si>
  <si>
    <t>Vanguard S&amp;P 500 UCITS@BUY@1@-46.4</t>
  </si>
  <si>
    <t>Vanguard S&amp;P 500 UCITS@BUY@4@-185.6</t>
  </si>
  <si>
    <t>Vanguard S&amp;P 500 UCITS@BUY@125@-5800</t>
  </si>
  <si>
    <t>Vanguard S&amp;P 500 UCITS@BUY@30@-1392</t>
  </si>
  <si>
    <t>Vanguard S&amp;P 500 UCITS@BUY@7@-324.8</t>
  </si>
  <si>
    <t>Vanguard S&amp;P 500 UCITS@BUY@26@-1206.4</t>
  </si>
  <si>
    <t>ETFS All Commodities ETC@BUY@589@-3828.5</t>
  </si>
  <si>
    <t>ETFS All Commodities ETC@BUY@414@-2722.05</t>
  </si>
  <si>
    <t>ETFS All Commodities ETC@BUY@164@-1082.07</t>
  </si>
  <si>
    <t>@APPROVISIONNEMENT@@-300</t>
  </si>
  <si>
    <t>ETFS All Commodities ETC@BUY@63@-420.59</t>
  </si>
  <si>
    <t>@COST@@-453.97</t>
  </si>
  <si>
    <t>Vanguard S&amp;P 500 UCITS@BUY@31@-1562.4</t>
  </si>
  <si>
    <t>ETFS All Commodities ETC@BUY@150@-1005</t>
  </si>
  <si>
    <t>Vanguard S&amp;P 500 UCITS@BUY@54@-2700</t>
  </si>
  <si>
    <t>Vanguard S&amp;P 500 UCITS@BUY@1@-50</t>
  </si>
  <si>
    <t>Vanguard S&amp;P 500 UCITS@BUY@255@-12775.5</t>
  </si>
  <si>
    <t>Vanguard S&amp;P 500 UCITS@BUY@69@-3443.1</t>
  </si>
  <si>
    <t>Vanguard S&amp;P 500 UCITS@BUY@1@-49.9</t>
  </si>
  <si>
    <t>Vanguard S&amp;P 500 UCITS@BUY@60@-3009.6</t>
  </si>
  <si>
    <t>Vanguard S&amp;P 500 UCITS@BUY@24@-1209.6</t>
  </si>
  <si>
    <t>Vanguard S&amp;P 500 UCITS@BUY@170@-8602</t>
  </si>
  <si>
    <t>Vanguard S&amp;P 500 UCITS@BUY@4925@-249697.5</t>
  </si>
  <si>
    <t>ETFS All Commodities ETC@BUY@148@-1005.51</t>
  </si>
  <si>
    <t>ETFS All Commodities ETC@BUY@147@-1001.07</t>
  </si>
  <si>
    <t>ETFS All Commodities ETC@BUY@146@-1003.02</t>
  </si>
  <si>
    <t>ETFS All Commodities ETC@BUY@210@-1450.26</t>
  </si>
  <si>
    <t>ETFS All Commodities ETC@BUY@144@-1006.56</t>
  </si>
  <si>
    <t>ETFS All Commodities ETC@BUY@175@-1244.25</t>
  </si>
  <si>
    <t>ETFS Physical Gold@SELL@-7@1037.75</t>
  </si>
  <si>
    <t>ETFS All Commodities ETC@BUY@1500@-10680</t>
  </si>
  <si>
    <t>iShares Treasury Bond 20+ UCITS@SELL@-268@1394.94</t>
  </si>
  <si>
    <t>iShares Treasury Bond 20+ UCITS@COST@@-2.28</t>
  </si>
  <si>
    <t>ETFS Physical Gold@SELL@-8@1185.2</t>
  </si>
  <si>
    <t>ETFS Physical Gold@SELL@-1@144</t>
  </si>
  <si>
    <t>ETFS All Commodities ETC@BUY@144@-1000.08</t>
  </si>
  <si>
    <t>ETFS All Commodities ETC@BUY@134@-932.64</t>
  </si>
  <si>
    <t>@COST@@-342.44</t>
  </si>
  <si>
    <t>@COST@@-5</t>
  </si>
  <si>
    <t>ETFS All Commodities ETC@BUY@144@-1004.4</t>
  </si>
  <si>
    <t>ETFS All Commodities ETC@BUY@75@-526.5</t>
  </si>
  <si>
    <t>ETFS All Commodities ETC@COST@@-2.11</t>
  </si>
  <si>
    <t>ETFS All Commodities ETC@BUY@100@-704</t>
  </si>
  <si>
    <t>ETFS All Commodities ETC@COST@@-2.14</t>
  </si>
  <si>
    <t>ETFS All Commodities ETC@BUY@100@-707</t>
  </si>
  <si>
    <t>ETFS All Commodities ETC@BUY@300@-2126.7</t>
  </si>
  <si>
    <t>ETFS All Commodities ETC@BUY@2040@-14543.16</t>
  </si>
  <si>
    <t>iShares Treasury Bond 7-10 UCITS@SELL@-1@188.55</t>
  </si>
  <si>
    <t>iShares Treasury Bond 7-10 UCITS@SELL@-5@942.75</t>
  </si>
  <si>
    <t>iShares Treasury Bond 7-10 UCITS@SELL@-6@1129.8</t>
  </si>
  <si>
    <t>Vanguard S&amp;P 500 UCITS@SELL@-18@1023.03</t>
  </si>
  <si>
    <t>Vanguard S&amp;P 500 UCITS@SELL@-20@1119.8</t>
  </si>
  <si>
    <t>Vanguard S&amp;P 500 UCITS@SELL@-18@1005.75</t>
  </si>
  <si>
    <t>Vanguard S&amp;P 500 UCITS@SELL@-31@1732.12</t>
  </si>
  <si>
    <t>ETFS Physical Gold@SELL@-5@670.25</t>
  </si>
  <si>
    <t>@COST@@-170.48</t>
  </si>
  <si>
    <t>iShares Treasury Bond 20+ UCITS@DIVIDEND@@326.97</t>
  </si>
  <si>
    <t>Vanguard S&amp;P 500 UCITS@COST@@-196.86</t>
  </si>
  <si>
    <t>iShares Treasury Bond 7-10 UCITS@COST@@32.88</t>
  </si>
  <si>
    <t>@COST@@582.23</t>
  </si>
  <si>
    <t>@APPROVISIONNEMENT@@-582.23</t>
  </si>
  <si>
    <t>@APPROVISIONNEMENT@@29900</t>
  </si>
  <si>
    <t>@COST@@-348.96</t>
  </si>
  <si>
    <t>Vanguard S&amp;P 500 UCITS@DIVIDEND@@736.7</t>
  </si>
  <si>
    <t>iShares Treasury Bond 20+ UCITS@DIVIDEND@@3360.26</t>
  </si>
  <si>
    <t>iShares Treasury Bond 20+ UCITS@DIVIDEND@@-435.08</t>
  </si>
  <si>
    <t>Vanguard S&amp;P 500 UCITS@SELL@-21@1157.31</t>
  </si>
  <si>
    <t>Vanguard S&amp;P 500 UCITS@SELL@-1@54.98</t>
  </si>
  <si>
    <t>Vanguard S&amp;P 500 UCITS@SELL@-18@989.64</t>
  </si>
  <si>
    <t>Vanguard S&amp;P 500 UCITS@SELL@-24@1316.59</t>
  </si>
  <si>
    <t>ETFS All Commodities ETC@SELL@-164@1223.44</t>
  </si>
  <si>
    <t>Vanguard S&amp;P 500 UCITS@SELL@-31@1696.69</t>
  </si>
  <si>
    <t>ETFS All Commodities ETC@SELL@-10@74.6</t>
  </si>
  <si>
    <t>Vanguard S&amp;P 500 UCITS@SELL@-24@1306.58</t>
  </si>
  <si>
    <t>Vanguard S&amp;P 500 UCITS@SELL@-19@1031.36</t>
  </si>
  <si>
    <t>Vanguard S&amp;P 500 UCITS@SELL@-17@919.87</t>
  </si>
  <si>
    <t>@COST@@-382.12</t>
  </si>
  <si>
    <t>iShares Treasury Bond 7-10 UCITS@DIVIDEND@@-124.33</t>
  </si>
  <si>
    <t>iShares Treasury Bond 7-10 UCITS@DIVIDEND@@1342.46</t>
  </si>
  <si>
    <t>Vanguard S&amp;P 500 UCITS@SELL@-1@54.18</t>
  </si>
  <si>
    <t>Vanguard S&amp;P 500 UCITS@SELL@-18@975.24</t>
  </si>
  <si>
    <t>iShares Treasury Bond 7-10 UCITS@SELL@-4@745.72</t>
  </si>
  <si>
    <t>Vanguard S&amp;P 500 UCITS@SELL@-21@1122.16</t>
  </si>
  <si>
    <t>Vanguard S&amp;P 500 UCITS@SELL@-19@1014.62</t>
  </si>
  <si>
    <t>Vanguard S&amp;P 500 UCITS@SELL@-15@790.5</t>
  </si>
  <si>
    <t>Vanguard S&amp;P 500 UCITS@SELL@-4@210.8</t>
  </si>
  <si>
    <t>Vanguard S&amp;P 500 UCITS@SELL@-33@1738.11</t>
  </si>
  <si>
    <t>ETFS All Commodities ETC@SELL@-200@1490</t>
  </si>
  <si>
    <t>Vanguard S&amp;P 500 UCITS@SELL@-30@1577.43</t>
  </si>
  <si>
    <t>Vanguard S&amp;P 500 UCITS@SELL@-5@262.9</t>
  </si>
  <si>
    <t>Vanguard S&amp;P 500 UCITS@SELL@-24@1259.59</t>
  </si>
  <si>
    <t>Vanguard S&amp;P 500 UCITS@SELL@-16@838.77</t>
  </si>
  <si>
    <t>Vanguard S&amp;P 500 UCITS@SELL@-10@524.23</t>
  </si>
  <si>
    <t>ETFS All Commodities ETC@SELL@-562@4167.23</t>
  </si>
  <si>
    <t>Vanguard S&amp;P 500 UCITS@SELL@-14@733.11</t>
  </si>
  <si>
    <t>Vanguard S&amp;P 500 UCITS@SELL@-7@366.56</t>
  </si>
  <si>
    <t>Vanguard S&amp;P 500 UCITS@SELL@-24@1254.72</t>
  </si>
  <si>
    <t>@APPROVISIONNEMENT@@-13700</t>
  </si>
  <si>
    <t>@COST@@-369.69</t>
  </si>
  <si>
    <t>Vanguard S&amp;P 500 UCITS@SELL@-22@1140.7</t>
  </si>
  <si>
    <t>Vanguard S&amp;P 500 UCITS@SELL@-20@1037</t>
  </si>
  <si>
    <t>Vanguard S&amp;P 500 UCITS@SELL@-5@259.25</t>
  </si>
  <si>
    <t>Vanguard S&amp;P 500 UCITS@DIVIDEND@@902.42</t>
  </si>
  <si>
    <t>Vanguard S&amp;P 500 UCITS@DIVIDEND@@-80.78</t>
  </si>
  <si>
    <t>@COST@@-369.3</t>
  </si>
  <si>
    <t>ETFS Physical Gold@SELL@-8@1055.68</t>
  </si>
  <si>
    <t>Vanguard S&amp;P 500 UCITS@SELL@-36@1873.26</t>
  </si>
  <si>
    <t>Vanguard Intermediate-Term Treasury ETF@DIVIDEND@@-10.37</t>
  </si>
  <si>
    <t>ETFS All Commodities ETC@SELL@-692@5190</t>
  </si>
  <si>
    <t>ETFS All Commodities ETC@COST@@-3.04</t>
  </si>
  <si>
    <t>ETFS All Commodities ETC@SELL@-1247@9258.98</t>
  </si>
  <si>
    <t>ETFS All Commodities ETC@COST@@-3.85</t>
  </si>
  <si>
    <t>Vanguard S&amp;P 500 UCITS@SELL@-38@1967.64</t>
  </si>
  <si>
    <t>Vanguard S&amp;P 500 UCITS@SELL@-59@3054.02</t>
  </si>
  <si>
    <t>@APPROVISIONNEMENT@@-0.1</t>
  </si>
  <si>
    <t>Vanguard S&amp;P 500 UCITS@SELL@-21@1080.45</t>
  </si>
  <si>
    <t>Vanguard S&amp;P 500 UCITS@SELL@-43@2210.93</t>
  </si>
  <si>
    <t>@APPROVISIONNEMENT@@0.1</t>
  </si>
  <si>
    <t>ETFS All Commodities ETC@BUY@223@-1597.8</t>
  </si>
  <si>
    <t>ETFS All Commodities ETC@BUY@213@-1533.6</t>
  </si>
  <si>
    <t>@COST@@-461.31</t>
  </si>
  <si>
    <t>ETFS Physical Gold@SELL@-8@1052</t>
  </si>
  <si>
    <t>Vanguard S&amp;P 500 UCITS@SELL@-32@1605.44</t>
  </si>
  <si>
    <t>iShares Treasury Bond 7-10 UCITS@SELL@-6@1134</t>
  </si>
  <si>
    <t>iShares Treasury Bond 7-10 UCITS@SELL@-6@1132.5</t>
  </si>
  <si>
    <t>iShares Treasury Bond 20+ UCITS@SELL@-152@752.4</t>
  </si>
  <si>
    <t>iShares Treasury Bond 20+ UCITS@COST@@-2.15</t>
  </si>
  <si>
    <t>iShares Treasury Bond 20+ UCITS@SELL@-51@252.45</t>
  </si>
  <si>
    <t>iShares Treasury Bond 20+ UCITS@COST@@-0.05</t>
  </si>
  <si>
    <t>iShares Treasury Bond 20+ UCITS@SELL@-300@1488</t>
  </si>
  <si>
    <t>iShares Treasury Bond 20+ UCITS@COST@@-2.3</t>
  </si>
  <si>
    <t>iShares Treasury Bond 20+ UCITS@SELL@-203@1004.85</t>
  </si>
  <si>
    <t>iShares Treasury Bond 20+ UCITS@COST@@-2.2</t>
  </si>
  <si>
    <t>iShares Treasury Bond 7-10 UCITS@SELL@-6@1126.8</t>
  </si>
  <si>
    <t>iShares Treasury Bond 20+ UCITS@SELL@-203@1004.5</t>
  </si>
  <si>
    <t>iShares Treasury Bond 20+ UCITS@SELL@-203@1002.82</t>
  </si>
  <si>
    <t>iShares Treasury Bond 7-10 UCITS@SELL@-7@1314.25</t>
  </si>
  <si>
    <t>iShares Treasury Bond 20+ UCITS@SELL@-203@1001.6</t>
  </si>
  <si>
    <t>iShares Treasury Bond 20+ UCITS@SELL@-355@1750.15</t>
  </si>
  <si>
    <t>iShares Treasury Bond 20+ UCITS@COST@@-2.35</t>
  </si>
  <si>
    <t>iShares Treasury Bond 20+ UCITS@SELL@-100@493</t>
  </si>
  <si>
    <t>iShares Treasury Bond 20+ UCITS@COST@@-2.1</t>
  </si>
  <si>
    <t>iShares Treasury Bond 20+ UCITS@SELL@-500@2465</t>
  </si>
  <si>
    <t>iShares Treasury Bond 20+ UCITS@COST@@-0.49</t>
  </si>
  <si>
    <t>iShares Treasury Bond 20+ UCITS@SELL@-206@1004.56</t>
  </si>
  <si>
    <t>iShares Treasury Bond 20+ UCITS@SELL@-106@516.86</t>
  </si>
  <si>
    <t>iShares Treasury Bond 20+ UCITS@COST@@-0.1</t>
  </si>
  <si>
    <t>iShares Treasury Bond 20+ UCITS@SELL@-100@487.6</t>
  </si>
  <si>
    <t>iShares Treasury Bond 20+ UCITS@SELL@-56@272.94</t>
  </si>
  <si>
    <t>iShares Treasury Bond 20+ UCITS@COST@@-2.05</t>
  </si>
  <si>
    <t>iShares Treasury Bond 20+ UCITS@SELL@-167@814.63</t>
  </si>
  <si>
    <t>iShares Treasury Bond 20+ UCITS@COST@@-0.16</t>
  </si>
  <si>
    <t>iShares Treasury Bond 20+ UCITS@SELL@-100@487.8</t>
  </si>
  <si>
    <t>iShares Treasury Bond 20+ UCITS@SELL@-589@2874.32</t>
  </si>
  <si>
    <t>iShares Treasury Bond 20+ UCITS@COST@@-2.57</t>
  </si>
  <si>
    <t>iShares Treasury Bond 20+ UCITS@SELL@-211@1001.41</t>
  </si>
  <si>
    <t>iShares Treasury Bond 20+ UCITS@SELL@-212@1007.42</t>
  </si>
  <si>
    <t>iShares Treasury Bond 20+ UCITS@SELL@-212@1008.57</t>
  </si>
  <si>
    <t>ETFS Physical Gold@SELL@-8@1019.76</t>
  </si>
  <si>
    <t>iShares Treasury Bond 20+ UCITS@SELL@-402@1910.3</t>
  </si>
  <si>
    <t>iShares Treasury Bond 20+ UCITS@COST@@-2.38</t>
  </si>
  <si>
    <t>iShares Treasury Bond 20+ UCITS@SELL@-215@1019.1</t>
  </si>
  <si>
    <t>ETFS Physical Gold@SELL@-8@1015.68</t>
  </si>
  <si>
    <t>iShares Treasury Bond 20+ UCITS@SELL@-332@1574.11</t>
  </si>
  <si>
    <t>iShares Treasury Bond 20+ UCITS@COST@@-2.31</t>
  </si>
  <si>
    <t>iShares Treasury Bond 20+ UCITS@SELL@-213@1003.66</t>
  </si>
  <si>
    <t>iShares Treasury Bond 20+ UCITS@SELL@-213@1002.65</t>
  </si>
  <si>
    <t>iShares Treasury Bond 20+ UCITS@SELL@-213@1002.85</t>
  </si>
  <si>
    <t>iShares Treasury Bond 20+ UCITS@SELL@-213@1001.97</t>
  </si>
  <si>
    <t>iShares Treasury Bond 20+ UCITS@SELL@-435@2023.97</t>
  </si>
  <si>
    <t>iShares Treasury Bond 20+ UCITS@COST@@-2.41</t>
  </si>
  <si>
    <t>ETFS Physical Gold@SELL@-9@1123.65</t>
  </si>
  <si>
    <t>ETFS Physical Gold@SELL@-9@1122.39</t>
  </si>
  <si>
    <t>iShares Treasury Bond 20+ UCITS@SELL@-223@1038.29</t>
  </si>
  <si>
    <t>iShares Treasury Bond 20+ UCITS@COST@@-2.21</t>
  </si>
  <si>
    <t>iShares Treasury Bond 20+ UCITS@SELL@-219@1018.57</t>
  </si>
  <si>
    <t>iShares Treasury Bond 20+ UCITS@SELL@-794@3694.4</t>
  </si>
  <si>
    <t>iShares Treasury Bond 20+ UCITS@COST@@-2.74</t>
  </si>
  <si>
    <t>iShares Treasury Bond 7-10 UCITS@SELL@-7@1293.6</t>
  </si>
  <si>
    <t>iShares Treasury Bond 20+ UCITS@SELL@-493@2273.22</t>
  </si>
  <si>
    <t>iShares Treasury Bond 20+ UCITS@COST@@-2.45</t>
  </si>
  <si>
    <t>ETFS Physical Gold@SELL@-9@1115.1</t>
  </si>
  <si>
    <t>iShares Treasury Bond 7-10 UCITS@SELL@-6@1105.2</t>
  </si>
  <si>
    <t>ETFS Physical Gold@SELL@-9@1117.17</t>
  </si>
  <si>
    <t>iShares Treasury Bond 7-10 UCITS@SELL@-6@1106.7</t>
  </si>
  <si>
    <t>iShares Treasury Bond 7-10 UCITS@SELL@-6@1106.4</t>
  </si>
  <si>
    <t>ETFS Physical Gold@SELL@-2@248.04</t>
  </si>
  <si>
    <t>ETFS Physical Gold@COST@@-2.05</t>
  </si>
  <si>
    <t>ETFS Physical Gold@SELL@-1@123.4</t>
  </si>
  <si>
    <t>ETFS All Commodities ETC@BUY@1771@-12627.23</t>
  </si>
  <si>
    <t>iShares Treasury Bond 20+ UCITS@SELL@-1546@7128.61</t>
  </si>
  <si>
    <t>iShares Treasury Bond 20+ UCITS@COST@@-1.43</t>
  </si>
  <si>
    <t>ETFS All Commodities ETC@BUY@353@-2562.78</t>
  </si>
  <si>
    <t>@COST@@-450.16</t>
  </si>
  <si>
    <t>ETFS All Commodities ETC@BUY@139@-1006.36</t>
  </si>
  <si>
    <t>ETFS All Commodities ETC@COST@@-2.2</t>
  </si>
  <si>
    <t>ETFS Physical Gold@SELL@-10@1218.4</t>
  </si>
  <si>
    <t>ETFS All Commodities ETC@BUY@164@-1187.03</t>
  </si>
  <si>
    <t>ETFS All Commodities ETC@COST@@-2.24</t>
  </si>
  <si>
    <t>ETFS All Commodities ETC@BUY@189@-1371.76</t>
  </si>
  <si>
    <t>ETFS All Commodities ETC@COST@@-0.27</t>
  </si>
  <si>
    <t>ETFS All Commodities ETC@BUY@263@-1908.85</t>
  </si>
  <si>
    <t>ETFS All Commodities ETC@COST@@-2.38</t>
  </si>
  <si>
    <t>ETFS All Commodities ETC@SELL@-339@2491.65</t>
  </si>
  <si>
    <t>Vanguard S&amp;P 500 UCITS@SELL@-77@3903.9</t>
  </si>
  <si>
    <t>Vanguard S&amp;P 500 UCITS@DIVIDEND@@-107.73</t>
  </si>
  <si>
    <t>Vanguard S&amp;P 500 UCITS@DIVIDEND@@959.36</t>
  </si>
  <si>
    <t>Vanguard S&amp;P 500 UCITS@SELL@-38@1914.06</t>
  </si>
  <si>
    <t>@APPROVISIONNEMENT@@-500</t>
  </si>
  <si>
    <t>@COST@@-495.83</t>
  </si>
  <si>
    <t>iShares Treasury Bond 20+ UCITS@DIVIDEND@@-487.06</t>
  </si>
  <si>
    <t>iShares Treasury Bond 20+ UCITS@DIVIDEND@@4012.65</t>
  </si>
  <si>
    <t>@APPROVISIONNEMENT@@2000</t>
  </si>
  <si>
    <t>ETFS Physical Gold@SELL@-9@1078.38</t>
  </si>
  <si>
    <t>ETFS Physical Gold@SELL@-9@1058.94</t>
  </si>
  <si>
    <t>ETFS Physical Gold@SELL@-16@1882.56</t>
  </si>
  <si>
    <t>ETFS All Commodities ETC@BUY@1013@-7195.34</t>
  </si>
  <si>
    <t>ETFS All Commodities ETC@BUY@518@-3606.32</t>
  </si>
  <si>
    <t>ETFS All Commodities ETC@BUY@1762@-12267.04</t>
  </si>
  <si>
    <t>Vanguard S&amp;P 500 UCITS@SELL@-26@1265</t>
  </si>
  <si>
    <t>Vanguard S&amp;P 500 UCITS@SELL@-29@1408.3</t>
  </si>
  <si>
    <t>Vanguard S&amp;P 500 UCITS@SELL@-23@1112.26</t>
  </si>
  <si>
    <t>Vanguard S&amp;P 500 UCITS@SELL@-58@2785.16</t>
  </si>
  <si>
    <t>ETFS Physical Gold@SELL@-9@1011.6</t>
  </si>
  <si>
    <t>iShares Treasury Bond 7-10 UCITS@DIVIDEND@@-173.19</t>
  </si>
  <si>
    <t>iShares Treasury Bond 20+ UCITS@SELL@-512@2295.04</t>
  </si>
  <si>
    <t>iShares Treasury Bond 20+ UCITS@COST@@-2.46</t>
  </si>
  <si>
    <t>iShares Treasury Bond 7-10 UCITS@SELL@-7@1255.94</t>
  </si>
  <si>
    <t>ETFS Physical Gold@SELL@-10@1122.9</t>
  </si>
  <si>
    <t>iShares Treasury Bond 20+ UCITS@SELL@-871@3886.84</t>
  </si>
  <si>
    <t>iShares Treasury Bond 20+ UCITS@COST@@-2.78</t>
  </si>
  <si>
    <t>iShares Treasury Bond 7-10 UCITS@DIVIDEND@@1556.2</t>
  </si>
  <si>
    <t>@COST@@-569.48</t>
  </si>
  <si>
    <t>iShares Treasury Bond 20+ UCITS@SELL@-298@1320.26</t>
  </si>
  <si>
    <t>iShares Treasury Bond 20+ UCITS@COST@@-2.26</t>
  </si>
  <si>
    <t>iShares Treasury Bond 7-10 UCITS@SELL@-6@1069.8</t>
  </si>
  <si>
    <t>ETFS Physical Gold@SELL@-10@1109.6</t>
  </si>
  <si>
    <t>iShares Treasury Bond 7-10 UCITS@SELL@-6@1072.38</t>
  </si>
  <si>
    <t>iShares Treasury Bond 20+ UCITS@SELL@-1131@5018.13</t>
  </si>
  <si>
    <t>iShares Treasury Bond 20+ UCITS@COST@@-3</t>
  </si>
  <si>
    <t>iShares Treasury Bond 20+ UCITS@SELL@-1016@4446.32</t>
  </si>
  <si>
    <t>iShares Treasury Bond 20+ UCITS@COST@@-2.89</t>
  </si>
  <si>
    <t>iShares Treasury Bond 20+ UCITS@SELL@-258@1118.4</t>
  </si>
  <si>
    <t>iShares Treasury Bond 20+ UCITS@SELL@-249@1069.53</t>
  </si>
  <si>
    <t>iShares Treasury Bond 20+ UCITS@SELL@-277@1192.96</t>
  </si>
  <si>
    <t>iShares Treasury Bond 20+ UCITS@COST@@-2.24</t>
  </si>
  <si>
    <t>iShares Treasury Bond 20+ UCITS@SELL@-292@1253.79</t>
  </si>
  <si>
    <t>iShares Treasury Bond 20+ UCITS@COST@@-2.25</t>
  </si>
  <si>
    <t>iShares Treasury Bond 20+ UCITS@SELL@-251@1073.78</t>
  </si>
  <si>
    <t>iShares Treasury Bond 7-10 UCITS@SELL@-6@1064.76</t>
  </si>
  <si>
    <t>ETFS All Commodities ETC@BUY@461@-3286.93</t>
  </si>
  <si>
    <t>iShares Treasury Bond 20+ UCITS@SELL@-552@2320.83</t>
  </si>
  <si>
    <t>iShares Treasury Bond 20+ UCITS@SELL@-412@1738.97</t>
  </si>
  <si>
    <t>iShares Treasury Bond 7-10 UCITS@SELL@-7@1233.4</t>
  </si>
  <si>
    <t>iShares Treasury Bond 20+ UCITS@SELL@-388@1633.87</t>
  </si>
  <si>
    <t>iShares Treasury Bond 20+ UCITS@COST@@-2.33</t>
  </si>
  <si>
    <t>iShares Treasury Bond 20+ UCITS@SELL@-277@1162.85</t>
  </si>
  <si>
    <t>iShares Treasury Bond 20+ UCITS@COST@@-2.23</t>
  </si>
  <si>
    <t>iShares Treasury Bond 7-10 UCITS@SELL@-6@1053.06</t>
  </si>
  <si>
    <t>iShares Treasury Bond 20+ UCITS@SELL@-925@3873.16</t>
  </si>
  <si>
    <t>iShares Treasury Bond 20+ UCITS@COST@@-2.77</t>
  </si>
  <si>
    <t>iShares Treasury Bond 20+ UCITS@SELL@-295@1229.74</t>
  </si>
  <si>
    <t>@COST@@-547.92</t>
  </si>
  <si>
    <t>@COST@@-2.5</t>
  </si>
  <si>
    <t>Vanguard S&amp;P 500 UCITS@SELL@-25@1252.3</t>
  </si>
  <si>
    <t>iShares Treasury Bond 20+ UCITS@SELL@-544@2264.67</t>
  </si>
  <si>
    <t>iShares Treasury Bond 7-10 UCITS@SELL@-6@1050</t>
  </si>
  <si>
    <t>Vanguard S&amp;P 500 UCITS@SELL@-21@1044.31</t>
  </si>
  <si>
    <t>iShares Treasury Bond 20+ UCITS@SELL@-330@1366.53</t>
  </si>
  <si>
    <t>iShares Treasury Bond 20+ UCITS@COST@@-2.27</t>
  </si>
  <si>
    <t>Vanguard S&amp;P 500 UCITS@SELL@-23@1143.1</t>
  </si>
  <si>
    <t>iShares Treasury Bond 20+ UCITS@SELL@-320@1323.42</t>
  </si>
  <si>
    <t>iShares Treasury Bond 7-10 UCITS@SELL@-6@1048.02</t>
  </si>
  <si>
    <t>iShares Treasury Bond 20+ UCITS@SELL@-285@1174.71</t>
  </si>
  <si>
    <t>Vanguard S&amp;P 500 UCITS@SELL@-25@1240.5</t>
  </si>
  <si>
    <t>Vanguard S&amp;P 500 UCITS@SELL@-25@1230.12</t>
  </si>
  <si>
    <t>ETFS All Commodities ETC@SELL@-150@1114.5</t>
  </si>
  <si>
    <t>Vanguard S&amp;P 500 UCITS@SELL@-25@1225.75</t>
  </si>
  <si>
    <t>iShares Treasury Bond 20+ UCITS@SELL@-879@3603.2</t>
  </si>
  <si>
    <t>iShares Treasury Bond 20+ UCITS@COST@@-2.72</t>
  </si>
  <si>
    <t>Vanguard S&amp;P 500 UCITS@SELL@-25@1224.75</t>
  </si>
  <si>
    <t>Vanguard S&amp;P 500 UCITS@SELL@-25@1219.88</t>
  </si>
  <si>
    <t>iShares Treasury Bond 20+ UCITS@BUY@60580@-248256.84</t>
  </si>
  <si>
    <t>iShares Treasury Bond 20+ UCITS@COST@@-51.65</t>
  </si>
  <si>
    <t>iShares Treasury Bond 20+ UCITS@BUY@12775@-52351.56</t>
  </si>
  <si>
    <t>iShares Treasury Bond 20+ UCITS@COST@@-12.47</t>
  </si>
  <si>
    <t>Vanguard S&amp;P 500 UCITS@SELL@-26@1265.94</t>
  </si>
  <si>
    <t>Vanguard S&amp;P 500 UCITS@DIVIDEND@@-125.08</t>
  </si>
  <si>
    <t>Vanguard S&amp;P 500 UCITS@DIVIDEND@@1098.21</t>
  </si>
  <si>
    <t>Vanguard S&amp;P 500 UCITS@SELL@-30@1462.5</t>
  </si>
  <si>
    <t>ETFS All Commodities ETC@SELL@-155@1153.2</t>
  </si>
  <si>
    <t>ETFS All Commodities ETC@SELL@-145@1077.64</t>
  </si>
  <si>
    <t>ETFS All Commodities ETC@SELL@-220@1632.4</t>
  </si>
  <si>
    <t>ETFS All Commodities ETC@SELL@-200@1484</t>
  </si>
  <si>
    <t>@COST@@-618.92</t>
  </si>
  <si>
    <t>iShares Treasury Bond 20+ UCITS USD Dist</t>
  </si>
  <si>
    <t>iShares Treasury Bond 20+ UCITS@COST@@-51.46</t>
  </si>
  <si>
    <t>iShares Treasury Bond 20+ UCITS@SELL@-60000@246774.25</t>
  </si>
  <si>
    <t>iShares Treasury Bond 20+ UCITS@COST@@-12.88</t>
  </si>
  <si>
    <t>iShares Treasury Bond 20+ UCITS@SELL@-13195@54273.96</t>
  </si>
  <si>
    <t>Vanguard S&amp;P 500 UCITS@SELL@-22@1048.96</t>
  </si>
  <si>
    <t>iShares Treasury Bond 20+ UCITS@COST@@-2.73</t>
  </si>
  <si>
    <t>iShares Treasury Bond 20+ UCITS@SELL@-900@3649.01</t>
  </si>
  <si>
    <t>ETFS All Commodities ETC@BUY@185@-1350.13</t>
  </si>
  <si>
    <t>iShares Treasury Bond 7-10 UCITS@SELL@-8@1380.8</t>
  </si>
  <si>
    <t>iShares Treasury Bond 20+ UCITS@SELL@-10@40.41</t>
  </si>
  <si>
    <t>iShares Treasury Bond 20+ UCITS@COST@@-2.01</t>
  </si>
  <si>
    <t>iShares Treasury Bond 7-10 UCITS@SELL@-6@1019.4</t>
  </si>
  <si>
    <t>@APPROVISIONNEMENT@@-700</t>
  </si>
  <si>
    <t>Vanguard S&amp;P 500 UCITS@SELL@-75@3538.5</t>
  </si>
  <si>
    <t>@COST@@-534.72</t>
  </si>
  <si>
    <t>Vanguard S&amp;P 500 UCITS@SELL@-29@1363.72</t>
  </si>
  <si>
    <t>Vanguard S&amp;P 500 UCITS@SELL@-1@47.04</t>
  </si>
  <si>
    <t>Vanguard S&amp;P 500 UCITS@SELL@-45@2090.25</t>
  </si>
  <si>
    <t>Vanguard S&amp;P 500 UCITS@SELL@-38@1753.13</t>
  </si>
  <si>
    <t>Vanguard S&amp;P 500 UCITS@SELL@-14@642.83</t>
  </si>
  <si>
    <t>ETFS All Commodities ETC@BUY@170@-1226.21</t>
  </si>
  <si>
    <t>ETFS All Commodities ETC@BUY@30@-216.42</t>
  </si>
  <si>
    <t>Vanguard S&amp;P 500 UCITS@SELL@-54@2479.46</t>
  </si>
  <si>
    <t>iShares Treasury Bond 20+ UCITS@SELL@-270@1090.17</t>
  </si>
  <si>
    <t>iShares Treasury Bond 7-10 UCITS@SELL@-6@1023</t>
  </si>
  <si>
    <t>iShares Treasury Bond 20+ UCITS@SELL@-816@3289.3</t>
  </si>
  <si>
    <t>iShares Treasury Bond 20+ UCITS@COST@@-2.66</t>
  </si>
  <si>
    <t>iShares Treasury Bond 7-10 UCITS@SELL@-7@1189.79</t>
  </si>
  <si>
    <t>iShares Treasury Bond 20+ UCITS@SELL@-500@2003.03</t>
  </si>
  <si>
    <t>iShares Treasury Bond 20+ UCITS@COST@@-2.4</t>
  </si>
  <si>
    <t>iShares Treasury Bond 20+ UCITS@SELL@-255@1017.88</t>
  </si>
  <si>
    <t>Vanguard S&amp;P 500 UCITS@SELL@-27@1225.15</t>
  </si>
  <si>
    <t>Vanguard S&amp;P 500 UCITS@SELL@-45@2025.81</t>
  </si>
  <si>
    <t>Vanguard S&amp;P 500 UCITS@SELL@-10@447.97</t>
  </si>
  <si>
    <t>Vanguard S&amp;P 500 UCITS@SELL@-8@358.38</t>
  </si>
  <si>
    <t>Vanguard S&amp;P 500 UCITS@SELL@-5@223.98</t>
  </si>
  <si>
    <t>@COST@@5</t>
  </si>
  <si>
    <t>@COST@@-565.1</t>
  </si>
  <si>
    <t>Vanguard S&amp;P 500 UCITS@COST@@-3.89</t>
  </si>
  <si>
    <t>Vanguard S&amp;P 500 UCITS@SELL@-213@9468.92</t>
  </si>
  <si>
    <t>Vanguard S&amp;P 500 UCITS@COST@@-0.26</t>
  </si>
  <si>
    <t>Vanguard S&amp;P 500 UCITS@SELL@-29@1290.09</t>
  </si>
  <si>
    <t>Vanguard S&amp;P 500 UCITS@COST@@-2.01</t>
  </si>
  <si>
    <t>Vanguard S&amp;P 500 UCITS@SELL@-1@44.5</t>
  </si>
  <si>
    <t>Vanguard S&amp;P 500 UCITS@DIVIDEND@@-154.79</t>
  </si>
  <si>
    <t>Vanguard S&amp;P 500 UCITS@DIVIDEND@@1151.07</t>
  </si>
  <si>
    <t>Vanguard S&amp;P 500 UCITS@COST@@-2.29</t>
  </si>
  <si>
    <t>Vanguard S&amp;P 500 UCITS@SELL@-34@1453.16</t>
  </si>
  <si>
    <t>iShares Treasury Bond 20+ UCITS@COST@@-2.53</t>
  </si>
  <si>
    <t>iShares Treasury Bond 20+ UCITS@BUY@666@-2652.35</t>
  </si>
  <si>
    <t>iShares Treasury Bond 7-10 UCITS@BUY@14@-2345.14</t>
  </si>
  <si>
    <t>iShares Treasury Bond 7-10 UCITS@COST@@-2.47</t>
  </si>
  <si>
    <t>iShares Treasury Bond 7-10 UCITS@BUY@14@-2346.26</t>
  </si>
  <si>
    <t>iShares Treasury Bond 7-10 UCITS@SELL@-7@1171.73</t>
  </si>
  <si>
    <t>iShares Treasury Bond 7-10 UCITS@COST@@-2.23</t>
  </si>
  <si>
    <t>Vanguard S&amp;P 500 UCITS@SELL@-110@4678.96</t>
  </si>
  <si>
    <t>Vanguard S&amp;P 500 UCITS@COST@@-2.94</t>
  </si>
  <si>
    <t>iShares Treasury Bond 20+ UCITS@COST@@-4.42</t>
  </si>
  <si>
    <t>iShares Treasury Bond 20+ UCITS@BUY@3038@-12116.07</t>
  </si>
  <si>
    <t>iShares Treasury Bond 7-10 UCITS@BUY@14@-2345</t>
  </si>
  <si>
    <t>ETFS All Commodities ETC@BUY@300@-2046</t>
  </si>
  <si>
    <t>Vanguard S&amp;P 500 UCITS@BUY@74@-3045.1</t>
  </si>
  <si>
    <t>@COST@@-534.69</t>
  </si>
  <si>
    <t>iShares Treasury Bond 20+ UCITS@DIVIDEND@@4867.15</t>
  </si>
  <si>
    <t>iShares Treasury Bond 20+ UCITS@DIVIDEND@@-618.490000000001</t>
  </si>
  <si>
    <t>iShares Treasury Bond 7-10 UCITS@SELL@-2@333.96</t>
  </si>
  <si>
    <t>iShares Treasury Bond 7-10 UCITS@SELL@-5@834.9</t>
  </si>
  <si>
    <t>iShares Treasury Bond 7-10 UCITS@SELL@-9@1502.55</t>
  </si>
  <si>
    <t>ETFS Physical Gold@SELL@-11@1172.6</t>
  </si>
  <si>
    <t>iShares Treasury Bond 20+ UCITS@SELL@-355@1405.1</t>
  </si>
  <si>
    <t>iShares Treasury Bond 20+ UCITS@COST@@-0.55</t>
  </si>
  <si>
    <t>iShares Treasury Bond 20+ UCITS@SELL@-691@2733.44</t>
  </si>
  <si>
    <t>ETFS Physical Gold@SELL@-10@1056.5</t>
  </si>
  <si>
    <t>iShares Treasury Bond 7-10 UCITS@SELL@-10@1665.5</t>
  </si>
  <si>
    <t>Vanguard S&amp;P 500 UCITS@BUY@100@-4163</t>
  </si>
  <si>
    <t>Vanguard S&amp;P 500 UCITS@COST@@-2.83</t>
  </si>
  <si>
    <t>iShares Treasury Bond 20+ UCITS@COST@@-2.43</t>
  </si>
  <si>
    <t>iShares Treasury Bond 20+ UCITS@SELL@-544@2160.24</t>
  </si>
  <si>
    <t>iShares Treasury Bond 20+ UCITS@COST@@-3.41</t>
  </si>
  <si>
    <t>iShares Treasury Bond 20+ UCITS@SELL@-1760@7013.08</t>
  </si>
  <si>
    <t>iShares Treasury Bond 20+ UCITS@COST@@-2.92</t>
  </si>
  <si>
    <t>iShares Treasury Bond 20+ UCITS@SELL@-1177@4613</t>
  </si>
  <si>
    <t>iShares Treasury Bond 7-10 UCITS@SELL@-15@2494.5</t>
  </si>
  <si>
    <t>ETFS Physical Gold@SELL@-10@1048.3</t>
  </si>
  <si>
    <t>Vanguard S&amp;P 500 UCITS@BUY@48@-2081.28</t>
  </si>
  <si>
    <t>Vanguard S&amp;P 500 UCITS@COST@@-2.42</t>
  </si>
  <si>
    <t>Vanguard S&amp;P 500 UCITS@BUY@60@-2602.2</t>
  </si>
  <si>
    <t>Vanguard S&amp;P 500 UCITS@COST@@-2.52</t>
  </si>
  <si>
    <t>Vanguard S&amp;P 500 UCITS@BUY@88@-3845.6</t>
  </si>
  <si>
    <t>Vanguard S&amp;P 500 UCITS@COST@@-2.77</t>
  </si>
  <si>
    <t>Vanguard S&amp;P 500 UCITS@SELL@-190@8434.1</t>
  </si>
  <si>
    <t>Vanguard S&amp;P 500 UCITS@COST@@-3.69</t>
  </si>
  <si>
    <t>Vanguard S&amp;P 500 UCITS@BUY@91@-4070.88</t>
  </si>
  <si>
    <t>ETFS All Commodities ETC@BUY@255@-1876.04</t>
  </si>
  <si>
    <t>iShares Treasury Bond 20+ UCITS@SELL@-392@1542.58</t>
  </si>
  <si>
    <t>Vanguard S&amp;P 500 UCITS@BUY@236@-10520.41</t>
  </si>
  <si>
    <t>@COST@@-579.07</t>
  </si>
  <si>
    <t>iShares Treasury Bond 7-10 UCITS@DIVIDEND@@-204.87</t>
  </si>
  <si>
    <t>Vanguard S&amp;P 500 UCITS@SELL@-25@1142.5</t>
  </si>
  <si>
    <t>Vanguard S&amp;P 500 UCITS@COST@@-2.23</t>
  </si>
  <si>
    <t>iShares Treasury Bond 7-10 UCITS@DIVIDEND@@1663.14</t>
  </si>
  <si>
    <t>ETFS All Commodities ETC@BUY@214@-1551.5</t>
  </si>
  <si>
    <t>iShares Treasury Bond 20+ UCITS@SELL@-300@1145.66</t>
  </si>
  <si>
    <t>iShares Treasury Bond 20+ UCITS@COST@@-0.01</t>
  </si>
  <si>
    <t>iShares Treasury Bond 20+ UCITS@COST@@-3.37</t>
  </si>
  <si>
    <t>iShares Treasury Bond 20+ UCITS@SELL@-1798@6827.2</t>
  </si>
  <si>
    <t>iShares Treasury Bond 7-10 UCITS@SELL@-7@1138.83</t>
  </si>
  <si>
    <t>ETFS Physical Gold@SELL@-1@102.84</t>
  </si>
  <si>
    <t>Vanguard S&amp;P 500 UCITS@BUY@60@-2721.72</t>
  </si>
  <si>
    <t>iShares Treasury Bond 7-10 UCITS@BUY@7@-1146.25</t>
  </si>
  <si>
    <t>Vanguard S&amp;P 500 UCITS@BUY@239@-10872.83</t>
  </si>
  <si>
    <t>ETFS All Commodities ETC@BUY@326@-2439.13</t>
  </si>
  <si>
    <t>iShares Treasury Bond 20+ UCITS@COST@@-4.09</t>
  </si>
  <si>
    <t>iShares Treasury Bond 20+ UCITS@BUY@2786@-10463.08</t>
  </si>
  <si>
    <t>iShares Treasury Bond 7-10 UCITS@BUY@16@-2620.96</t>
  </si>
  <si>
    <t>@COST@@-555</t>
  </si>
  <si>
    <t>@APPROVISIONNEMENT@@6060</t>
  </si>
  <si>
    <t>iShares Treasury Bond 20+ UCITS@COST@@-2.82</t>
  </si>
  <si>
    <t>iShares Treasury Bond 20+ UCITS@SELL@-1106@4101.58</t>
  </si>
  <si>
    <t>iShares Treasury Bond 7-10 UCITS@SELL@-11@1765.17</t>
  </si>
  <si>
    <t>Vanguard S&amp;P 500 UCITS@BUY@55@-2494.42</t>
  </si>
  <si>
    <t>iShares Treasury Bond 20+ UCITS@SELL@-3258@12076.62</t>
  </si>
  <si>
    <t>ETFS Physical Gold@SELL@-10@1006.1</t>
  </si>
  <si>
    <t>iShares Treasury Bond 7-10 UCITS@SELL@-13@2085.07</t>
  </si>
  <si>
    <t>ETFS All Commodities ETC@SELL@-32@243.42</t>
  </si>
  <si>
    <t>ETFS All Commodities ETC@COST@@-2.05</t>
  </si>
  <si>
    <t>Vanguard S&amp;P 500 UCITS@DIVIDEND@@-136.05</t>
  </si>
  <si>
    <t>Vanguard S&amp;P 500 UCITS@DIVIDEND@@1024.7</t>
  </si>
  <si>
    <t>ETFS Physical Gold@SELL@-9@899.01</t>
  </si>
  <si>
    <t>ETFS All Commodities ETC@SELL@-238@1852.59</t>
  </si>
  <si>
    <t>iShares Treasury Bond 7-10 UCITS@SELL@-5@805.3</t>
  </si>
  <si>
    <t>iShares Treasury Bond 20+ UCITS@COST@@-3.76</t>
  </si>
  <si>
    <t>iShares Treasury Bond 20+ UCITS@BUY@2361@-8808.53</t>
  </si>
  <si>
    <t>@COST@@-501.62</t>
  </si>
  <si>
    <t>Vanguard S&amp;P 500 UCITS@SELL@-30@1418.64</t>
  </si>
  <si>
    <t>ETFS All Commodities ETC@SELL@-225@1658.92</t>
  </si>
  <si>
    <t>ETFS Physical Gold@SELL@-12@1170.36</t>
  </si>
  <si>
    <t>Vanguard S&amp;P 500 UCITS@SELL@-30@1421.55</t>
  </si>
  <si>
    <t>ETFS All Commodities ETC@SELL@-250@1815.25</t>
  </si>
  <si>
    <t>Vanguard S&amp;P 500 UCITS@SELL@-45@2132.37</t>
  </si>
  <si>
    <t>iShares Treasury Bond 20+ UCITS@COST@@-2.54</t>
  </si>
  <si>
    <t>iShares Treasury Bond 20+ UCITS@BUY@717@-2693.88</t>
  </si>
  <si>
    <t>iShares Treasury Bond 20+ UCITS@BUY@525@-2000.72</t>
  </si>
  <si>
    <t>@APPROVISIONNEMENT@@440</t>
  </si>
  <si>
    <t>iShares Treasury Bond 20+ UCITS@BUY@336@-1301.59</t>
  </si>
  <si>
    <t>Vanguard Extended Duration Treasury ETF@DIVIDEND@@-12.85</t>
  </si>
  <si>
    <t>@COST@@-573.99</t>
  </si>
  <si>
    <t>ETFS Physical Gold@BUY@12@-1180.08</t>
  </si>
  <si>
    <t>ETFS All Commodities ETC@BUY@305@-2214.3</t>
  </si>
  <si>
    <t>iShares Treasury Bond 7-10 UCITS@BUY@8@-1298.72</t>
  </si>
  <si>
    <t>iShares Treasury Bond 20+ UCITS@COST@@-2.39</t>
  </si>
  <si>
    <t>iShares Treasury Bond 20+ UCITS@BUY@500@-1945.61</t>
  </si>
  <si>
    <t>iShares Treasury Bond 20+ UCITS@COST@@-3.15</t>
  </si>
  <si>
    <t>iShares Treasury Bond 20+ UCITS@BUY@1478@-5742.57</t>
  </si>
  <si>
    <t>iShares Treasury Bond 7-10 UCITS@BUY@8@-1297.12</t>
  </si>
  <si>
    <t>iShares Treasury Bond 20+ UCITS@BUY@1154@-4501.07</t>
  </si>
  <si>
    <t>Vanguard S&amp;P 500 UCITS@BUY@84@-3969.17</t>
  </si>
  <si>
    <t>ETFS All Commodities ETC@BUY@443@-3259.59</t>
  </si>
  <si>
    <t>iShares Treasury Bond 7-10 UCITS@BUY@19@-3115.81</t>
  </si>
  <si>
    <t>ETFS Physical Gold@BUY@31@-3080.16</t>
  </si>
  <si>
    <t>iShares Treasury Bond 20+ UCITS@COST@@-4.46</t>
  </si>
  <si>
    <t>iShares Treasury Bond 20+ UCITS@BUY@4074@-15602.16</t>
  </si>
  <si>
    <t>@COST@@-467.55</t>
  </si>
  <si>
    <t>Vanguard S&amp;P 500 UCITS@BUY@226@-10277.8</t>
  </si>
  <si>
    <t>ETFS All Commodities ETC@BUY@203@-1503.01</t>
  </si>
  <si>
    <t>iShares Treasury Bond 7-10 UCITS@BUY@36@-5769.72</t>
  </si>
  <si>
    <t>ETFS Physical Gold@BUY@29@-2893.33</t>
  </si>
  <si>
    <t>iShares Treasury Bond 20+ UCITS@COST@@-25.99</t>
  </si>
  <si>
    <t>iShares Treasury Bond 20+ UCITS@BUY@31102@-119971.61</t>
  </si>
  <si>
    <t>Vanguard S&amp;P 500 UCITS@BUY@1926@-87292.1</t>
  </si>
  <si>
    <t>iShares Treasury Bond 7-10 UCITS@BUY@273@-43912.05</t>
  </si>
  <si>
    <t>ETFS All Commodities ETC@BUY@3336@-24362.81</t>
  </si>
  <si>
    <t>ETFS Physical Gold@BUY@235@-23911.25</t>
  </si>
  <si>
    <t>@APPROVISIONNEMENT@@108000</t>
  </si>
  <si>
    <t>Vanguard S&amp;P 500 UCITS@DIVIDEND@@-72.97</t>
  </si>
  <si>
    <t>Vanguard S&amp;P 500 UCITS@DIVIDEND@@501.26</t>
  </si>
  <si>
    <t>@COST@@-276.19</t>
  </si>
  <si>
    <t>@COST@@-0.04</t>
  </si>
  <si>
    <t>iShares Treasury Bond 20+ UCITS@DIVIDEND@@-329.67</t>
  </si>
  <si>
    <t>iShares Treasury Bond 20+ UCITS@DIVIDEND@@2415.73</t>
  </si>
  <si>
    <t>ETFS All Commodities ETC@BUY@897@-6967.9</t>
  </si>
  <si>
    <t>ETFS Physical Gold@BUY@68@-7162.44</t>
  </si>
  <si>
    <t>Vanguard S&amp;P 500 UCITS@BUY@630@-28172.34</t>
  </si>
  <si>
    <t>iShares Treasury Bond 20+ UCITS@COST@@-10.09</t>
  </si>
  <si>
    <t>iShares Treasury Bond 20+ UCITS@BUY@10452@-40435.8</t>
  </si>
  <si>
    <t>iShares Treasury Bond 7-10 UCITS@BUY@93@-14853.03</t>
  </si>
  <si>
    <t>@APPROVISIONNEMENT@@25000</t>
  </si>
  <si>
    <t>ETFS All Commodities ETC@BUY@163@-1271.4</t>
  </si>
  <si>
    <t>iShares Treasury Bond 20+ UCITS@COST@@-3.82</t>
  </si>
  <si>
    <t>iShares Treasury Bond 20+ UCITS@BUY@2338@-9076.29</t>
  </si>
  <si>
    <t>ETFS All Commodities ETC@BUY@479@-3736.68</t>
  </si>
  <si>
    <t>iShares Treasury Bond 7-10 UCITS@BUY@23@-3677.01</t>
  </si>
  <si>
    <t>Vanguard S&amp;P 500 UCITS@BUY@93@-4143.15</t>
  </si>
  <si>
    <t>iShares Treasury Bond 20+ UCITS@COST@@-2.96</t>
  </si>
  <si>
    <t>iShares Treasury Bond 20+ UCITS@BUY@1235@-4793.1</t>
  </si>
  <si>
    <t>Vanguard S&amp;P 500 UCITS@BUY@88@-3919.43</t>
  </si>
  <si>
    <t>iShares Treasury Bond 7-10 UCITS@BUY@13@-2077.66</t>
  </si>
  <si>
    <t>ETFS Physical Gold@BUY@11@-1162.92</t>
  </si>
  <si>
    <t>iShares Treasury Bond 7-10 UCITS@DIVIDEND@@471.2</t>
  </si>
  <si>
    <t>iShares Treasury Bond 7-10 UCITS@DIVIDEND@@-68.59</t>
  </si>
  <si>
    <t>@COST@@-161.46</t>
  </si>
  <si>
    <t>Vanguard Intermediate-Term Treasury ETF@DIVIDEND@@7.5</t>
  </si>
  <si>
    <t>Vanguard Intermediate-Term Treasury ETF@DIVIDEND@@-7.01000000000001</t>
  </si>
  <si>
    <t>Vanguard Intermediate-Term Treasury ETF@DIVIDEND@@42.49</t>
  </si>
  <si>
    <t>iShares Treasury Bond 20+ UCITS@COST@@-5.42</t>
  </si>
  <si>
    <t>iShares Treasury Bond 20+ UCITS@BUY@4546@-17125.03</t>
  </si>
  <si>
    <t>iShares Treasury Bond 7-10 UCITS@BUY@19@-3002.19</t>
  </si>
  <si>
    <t>Vanguard Extended Duration Treasury ETF@SELL@-707@65853.53</t>
  </si>
  <si>
    <t>iShares Treasury Bond 20+ UCITS@COST@@-17.04</t>
  </si>
  <si>
    <t>iShares Treasury Bond 20+ UCITS@BUY@20019@-75232.62</t>
  </si>
  <si>
    <t>Vanguard S&amp;P 500 UCITS@BUY@85@-3579.35</t>
  </si>
  <si>
    <t>iShares Treasury Bond 7-10 UCITS@BUY@16@-2530.72</t>
  </si>
  <si>
    <t>ETFS Physical Gold@BUY@39@-4104.36</t>
  </si>
  <si>
    <t>iShares Gold Trust@SELL@-1319@13885.34</t>
  </si>
  <si>
    <t>ETFS Physical Gold@BUY@144@-15143.25</t>
  </si>
  <si>
    <t>ETFS All Commodities ETC@SELL@-180@1361.88</t>
  </si>
  <si>
    <t>Vanguard Intermediate-Term Treasury ETF@COST@@-7.14</t>
  </si>
  <si>
    <t>Vanguard Intermediate-Term Treasury ETF@SELL@-493@25668.61</t>
  </si>
  <si>
    <t>iShares Treasury Bond 7-10 UCITS@BUY@185@-29268.85</t>
  </si>
  <si>
    <t>@COST@@-140.97</t>
  </si>
  <si>
    <t>ETFS All Commodities ETC@SELL@-1893@14104.74</t>
  </si>
  <si>
    <t>Vanguard S&amp;P 500 UCITS@SELL@-449@18845.44</t>
  </si>
  <si>
    <t>Vanguard S&amp;P 500 UCITS@DIVIDEND@@7.05</t>
  </si>
  <si>
    <t>Vanguard Intermediate-Term Treasury ETF@DIVIDEND@@-7.05</t>
  </si>
  <si>
    <t>Vanguard S&amp;P 500 UCITS@DIVIDEND@@-86.57</t>
  </si>
  <si>
    <t>Vanguard Intermediate-Term Treasury ETF@DIVIDEND@@7.7</t>
  </si>
  <si>
    <t>Vanguard Intermediate-Term Treasury ETF@DIVIDEND@@43.62</t>
  </si>
  <si>
    <t>Vanguard S&amp;P 500 UCITS@DIVIDEND@@420.27</t>
  </si>
  <si>
    <t>@COST@@-0.01</t>
  </si>
  <si>
    <t>@COST@@-155.56</t>
  </si>
  <si>
    <t>@COST@@0.03</t>
  </si>
  <si>
    <t>Vanguard Extended Duration Treasury ETF@DIVIDEND@@-89.96</t>
  </si>
  <si>
    <t>Vanguard Extended Duration Treasury ETF@DIVIDEND@@84.01</t>
  </si>
  <si>
    <t>Vanguard Extended Duration Treasury ETF@DIVIDEND@@476.2</t>
  </si>
  <si>
    <t>Vanguard Intermediate-Term Treasury ETF@DIVIDEND@@-7.17</t>
  </si>
  <si>
    <t>Vanguard Intermediate-Term Treasury ETF@DIVIDEND@@6.72</t>
  </si>
  <si>
    <t>Vanguard Intermediate-Term Treasury ETF@DIVIDEND@@38.09</t>
  </si>
  <si>
    <t>@COST@@-166.36</t>
  </si>
  <si>
    <t>Vanguard S&amp;P 500 UCITS@SELL@-30@1227.93</t>
  </si>
  <si>
    <t>Vanguard S&amp;P 500 UCITS@SELL@-60@2457.66</t>
  </si>
  <si>
    <t>Vanguard S&amp;P 500 UCITS@SELL@-30@1228.98</t>
  </si>
  <si>
    <t>Vanguard S&amp;P 500 UCITS@SELL@-30@1229.58</t>
  </si>
  <si>
    <t>Vanguard Intermediate-Term Treasury ETF@DIVIDEND@@-7.02</t>
  </si>
  <si>
    <t>Vanguard Intermediate-Term Treasury ETF@DIVIDEND@@6.69</t>
  </si>
  <si>
    <t>Vanguard Intermediate-Term Treasury ETF@DIVIDEND@@37.88</t>
  </si>
  <si>
    <t>Vanguard S&amp;P 500 UCITS@SELL@-77@3229.86</t>
  </si>
  <si>
    <t>Vanguard S&amp;P 500 UCITS@SELL@-98@4117.08</t>
  </si>
  <si>
    <t>Vanguard S&amp;P 500 UCITS@SELL@-240@10048.32</t>
  </si>
  <si>
    <t>Vanguard S&amp;P 500 UCITS@SELL@-38@1590.24</t>
  </si>
  <si>
    <t>Vanguard S&amp;P 500 UCITS@SELL@-30@1253.76</t>
  </si>
  <si>
    <t>Vanguard S&amp;P 500 UCITS@SELL@-45@1881.5</t>
  </si>
  <si>
    <t>Vanguard S&amp;P 500 UCITS@SELL@-50@2089.8</t>
  </si>
  <si>
    <t>Vanguard S&amp;P 500 UCITS@SELL@-20@835.92</t>
  </si>
  <si>
    <t>Vanguard S&amp;P 500 UCITS@COST@@-2.17</t>
  </si>
  <si>
    <t>Vanguard S&amp;P 500 UCITS@SELL@-10@417.96</t>
  </si>
  <si>
    <t>Vanguard S&amp;P 500 UCITS@COST@@-2.08</t>
  </si>
  <si>
    <t>@COST@@0.02</t>
  </si>
  <si>
    <t>@COST@@-193.75</t>
  </si>
  <si>
    <t>@COST@@-7.5</t>
  </si>
  <si>
    <t>ETFS All Commodities ETC@BUY@1375@-10106.25</t>
  </si>
  <si>
    <t>Vanguard S&amp;P 500 UCITS@BUY@937@-40581.47</t>
  </si>
  <si>
    <t>ETFS All Commodities ETC@BUY@860@-6359.7</t>
  </si>
  <si>
    <t>Vanguard S&amp;P 500 UCITS@BUY@615@-26713.14</t>
  </si>
  <si>
    <t>Vanguard S&amp;P 500 UCITS@DIVIDEND@@-42.4</t>
  </si>
  <si>
    <t>Vanguard S&amp;P 500 UCITS@DIVIDEND@@259.89</t>
  </si>
  <si>
    <t>@APPROVISIONNEMENT@@30000</t>
  </si>
  <si>
    <t>Vanguard Intermediate-Term Treasury ETF@DIVIDEND@@-132.32</t>
  </si>
  <si>
    <t>@COST@@0.05</t>
  </si>
  <si>
    <t>@COST@@-127.19</t>
  </si>
  <si>
    <t>Vanguard Extended Duration Treasury ETF@DIVIDEND@@91.39</t>
  </si>
  <si>
    <t>Vanguard Extended Duration Treasury ETF@DIVIDEND@@208.14</t>
  </si>
  <si>
    <t>Vanguard Intermediate-Term Treasury ETF@DIVIDEND@@43.79</t>
  </si>
  <si>
    <t>Vanguard Extended Duration Treasury ETF@DIVIDEND@@519.88</t>
  </si>
  <si>
    <t>Vanguard S&amp;P 500 UCITS@SELL@-26@1114.05</t>
  </si>
  <si>
    <t>Vanguard S&amp;P 500 UCITS@COST@@-2.22</t>
  </si>
  <si>
    <t>Vanguard Extended Duration Treasury ETF@BUY@11@-1094.1</t>
  </si>
  <si>
    <t>ETFS All Commodities ETC@BUY@311@-2246.97</t>
  </si>
  <si>
    <t>Vanguard S&amp;P 500 UCITS@BUY@206@-8845.64</t>
  </si>
  <si>
    <t>iShares Gold Trust@BUY@267@-2714.52</t>
  </si>
  <si>
    <t>Vanguard Extended Duration Treasury ETF@BUY@108@-11143.33</t>
  </si>
  <si>
    <t>Vanguard Intermediate-Term Treasury ETF@COST@@-3</t>
  </si>
  <si>
    <t>Vanguard Intermediate-Term Treasury ETF@BUY@92@-5013.47</t>
  </si>
  <si>
    <t>Vanguard Intermediate-Term Treasury ETF@DIVIDEND@@-4.96</t>
  </si>
  <si>
    <t>Vanguard Intermediate-Term Treasury ETF@DIVIDEND@@32.39</t>
  </si>
  <si>
    <t>@COST@@-102.08</t>
  </si>
  <si>
    <t>@APPROVISIONNEMENT@@10000</t>
  </si>
  <si>
    <t>Vanguard Extended Duration Treasury ETF@BUY@10@-1015.59</t>
  </si>
  <si>
    <t>Vanguard Intermediate-Term Treasury ETF@DIVIDEND@@-3.92</t>
  </si>
  <si>
    <t>Vanguard S&amp;P 500 UCITS@BUY@48@-2044.75</t>
  </si>
  <si>
    <t>Vanguard Intermediate-Term Treasury ETF@COST@@-2.31</t>
  </si>
  <si>
    <t>ETFS All Commodities ETC@BUY@132@-1013.1</t>
  </si>
  <si>
    <t>Vanguard Extended Duration Treasury ETF@BUY@27@-2798.71</t>
  </si>
  <si>
    <t>iShares Gold Trust@BUY@64@-680.11</t>
  </si>
  <si>
    <t>Vanguard Intermediate-Term Treasury ETF@BUY@28@-1561.34</t>
  </si>
  <si>
    <t>Vanguard Intermediate-Term Treasury ETF@DIVIDEND@@28.53</t>
  </si>
  <si>
    <t>@COST@@-93.75</t>
  </si>
  <si>
    <t>Vanguard Intermediate-Term Treasury ETF@DIVIDEND@@-4.5</t>
  </si>
  <si>
    <t>Vanguard S&amp;P 500 UCITS@DIVIDEND@@-26.14</t>
  </si>
  <si>
    <t>Vanguard Intermediate-Term Treasury ETF@DIVIDEND@@30.34</t>
  </si>
  <si>
    <t>Vanguard S&amp;P 500 UCITS@DIVIDEND@@178.2</t>
  </si>
  <si>
    <t>Vanguard Intermediate-Term Treasury ETF@COST@@-2.18</t>
  </si>
  <si>
    <t>Vanguard S&amp;P 500 UCITS@BUY@25@-1021.42</t>
  </si>
  <si>
    <t>ETFS All Commodities ETC@BUY@174@-1253.67</t>
  </si>
  <si>
    <t>Vanguard Extended Duration Treasury ETF@BUY@37@-3682.04</t>
  </si>
  <si>
    <t>iShares Gold Trust@BUY@147@-1534.32</t>
  </si>
  <si>
    <t>Vanguard Intermediate-Term Treasury ETF@BUY@16@-880.09</t>
  </si>
  <si>
    <t>Vanguard Extended Duration Treasury ETF@DIVIDEND@@-54.04</t>
  </si>
  <si>
    <t>Vanguard Extended Duration Treasury ETF@DIVIDEND@@359.13</t>
  </si>
  <si>
    <t>@APPROVISIONNEMENT@@-2000</t>
  </si>
  <si>
    <t>@COST@@-86.11</t>
  </si>
  <si>
    <t>Vanguard S&amp;P 500 UCITS@BUY@72@-2878.78</t>
  </si>
  <si>
    <t>Vanguard Extended Duration Treasury ETF@BUY@40@-4041.23</t>
  </si>
  <si>
    <t>Vanguard Intermediate-Term Treasury ETF@COST@@-2.32</t>
  </si>
  <si>
    <t>Vanguard Intermediate-Term Treasury ETF@BUY@29@-1581.45</t>
  </si>
  <si>
    <t>@APPROVISIONNEMENT@@8500</t>
  </si>
  <si>
    <t/>
  </si>
  <si>
    <t>@APPROVISIONNEMENT@@-30</t>
  </si>
  <si>
    <t>Vanguard Intermediate-Term Treasury ETF@DIVIDEND@@23.49</t>
  </si>
  <si>
    <t>Vanguard Intermediate-Term Treasury ETF@DIVIDEND@@-4</t>
  </si>
  <si>
    <t>Vanguard Extended Duration Treasury ETF@BUY@23@-2327.77</t>
  </si>
  <si>
    <t>Vanguard S&amp;P 500 UCITS@BUY@57@-2263.53</t>
  </si>
  <si>
    <t>Vanguard Intermediate-Term Treasury ETF@COST@@-0.8</t>
  </si>
  <si>
    <t>Vanguard Intermediate-Term Treasury ETF@BUY@21@-1152.82</t>
  </si>
  <si>
    <t>ETFS All Commodities ETC@BUY@83@-598.84</t>
  </si>
  <si>
    <t>iShares Gold Trust@BUY@26@-278.32</t>
  </si>
  <si>
    <t>@COST@@-78.9</t>
  </si>
  <si>
    <t>Vanguard Intermediate-Term Treasury ETF@DIVIDEND@@-3.14</t>
  </si>
  <si>
    <t>Vanguard Intermediate-Term Treasury ETF@DIVIDEND@@20.91</t>
  </si>
  <si>
    <t>ETFS All Commodities ETC@BUY@67@-475.7</t>
  </si>
  <si>
    <t>Vanguard S&amp;P 500 UCITS@BUY@45@-1783.44</t>
  </si>
  <si>
    <t>Vanguard Extended Duration Treasury ETF@BUY@31@-3080.45</t>
  </si>
  <si>
    <t>Vanguard Intermediate-Term Treasury ETF@BUY@21@-1148.78</t>
  </si>
  <si>
    <t>iShares Gold Trust@BUY@41@-422.98</t>
  </si>
  <si>
    <t>@COST@@-66.68</t>
  </si>
  <si>
    <t>iShares 7-10 Year Treasury Bond ETF@DIVIDEND@@-2.54</t>
  </si>
  <si>
    <t>iShares 7-10 Year Treasury Bond ETF@DIVIDEND@@19.77</t>
  </si>
  <si>
    <t>Vanguard Extended Duration Treasury ETF@DIVIDEND@@-31.95</t>
  </si>
  <si>
    <t>Vanguard Extended Duration Treasury ETF@DIVIDEND@@255.04</t>
  </si>
  <si>
    <t>Vanguard Intermediate-Term Treasury ETF@BUY@286@-16285.26</t>
  </si>
  <si>
    <t>Vanguard Intermediate-Term Treasury ETF@COST@@-4.77</t>
  </si>
  <si>
    <t>ETFS All Commodities ETC@BUY@1096@-8220</t>
  </si>
  <si>
    <t>Vanguard S&amp;P 500 UCITS@BUY@804@-32516.18</t>
  </si>
  <si>
    <t>iShares Diversified Commodity Swap UCITS ETF DE@SELL@-390@7094.1</t>
  </si>
  <si>
    <t>iShares 7-10 Year Treasury Bond ETF@SELL@-146@13669.24</t>
  </si>
  <si>
    <t>iShares Gold Trust@BUY@122@-1266.54</t>
  </si>
  <si>
    <t>Vanguard Total Stock Market ETF@SELL@-251@27592.74</t>
  </si>
  <si>
    <t>Vanguard Extended Duration Treasury ETF@BUY@67@-6959.73</t>
  </si>
  <si>
    <t>@COST@@-55.33</t>
  </si>
  <si>
    <t>Vanguard Total Stock Market ETF@DIVIDEND@@-14.95</t>
  </si>
  <si>
    <t>Vanguard Total Stock Market ETF@DIVIDEND@@122.68</t>
  </si>
  <si>
    <t>iShares Diversified Commodity Swap UCITS ETF DE@BUY@111@-2007.99</t>
  </si>
  <si>
    <t>Vanguard Total Stock Market ETF@BUY@60@-6721.09</t>
  </si>
  <si>
    <t>iShares 7-10 Year Treasury Bond ETF@BUY@36@-3480.61</t>
  </si>
  <si>
    <t>Vanguard Extended Duration Treasury ETF@BUY@66@-7066.71</t>
  </si>
  <si>
    <t>iShares Gold Trust@BUY@167@-1808.18</t>
  </si>
  <si>
    <t>iShares 7-10 Year Treasury Bond ETF@DIVIDEND@@-1.66</t>
  </si>
  <si>
    <t>iShares 7-10 Year Treasury Bond ETF@DIVIDEND@@15.3</t>
  </si>
  <si>
    <t>@COST@@-30.68</t>
  </si>
  <si>
    <t>Vanguard Extended Duration Treasury ETF@BUY@10@-1015.08</t>
  </si>
  <si>
    <t>@APPROVISIONNEMENT@@30</t>
  </si>
  <si>
    <t>@APPROVISIONNEMENT@@500</t>
  </si>
  <si>
    <t>iShares Diversified Commodity Swap UCITS ETF DE@BUY@98@-1886.5</t>
  </si>
  <si>
    <t>iShares Gold Trust@BUY@195@-2154.76</t>
  </si>
  <si>
    <t>iShares 7-10 Year Treasury Bond ETF@BUY@44@-4295.13</t>
  </si>
  <si>
    <t>Vanguard Total Stock Market ETF@BUY@76@-8554.15</t>
  </si>
  <si>
    <t>Vanguard Extended Duration Treasury ETF@BUY@111@-11568.3</t>
  </si>
  <si>
    <t>iShares Diversified Commodity Swap UCITS ETF DE@BUY@181@-3495.11</t>
  </si>
  <si>
    <t>iShares 7-10 Year Treasury Bond ETF@BUY@66@-6439.03</t>
  </si>
  <si>
    <t>Vanguard Total Stock Market ETF@BUY@115@-12972.31</t>
  </si>
  <si>
    <t>iShares Gold Trust@BUY@290@-3235.89</t>
  </si>
  <si>
    <t>Vanguard Extended Duration Treasury ETF@BUY@166@-17209.62</t>
  </si>
  <si>
    <t>@APPROVISIONNEMENT@@43355.53</t>
  </si>
  <si>
    <t>@APPROVISIONNEMENT@@1</t>
  </si>
  <si>
    <t>@COST@@-6</t>
  </si>
  <si>
    <t>@APPROVISIONNEMENT@@-45404</t>
  </si>
  <si>
    <t>@APPROVISIONNEMENT@@-452.53</t>
  </si>
  <si>
    <t>Vanguard Extended Duration Treasury ETF@SELL@-179@19185.08</t>
  </si>
  <si>
    <t>iShares Gold Trust@SELL@-292@3340.35</t>
  </si>
  <si>
    <t>iShares 7-10 Year Treasury Bond ETF@SELL@-67@6665.55</t>
  </si>
  <si>
    <t>iShares Diversified Commodity Swap UCITS ETF DE@SELL@-211@3012.92</t>
  </si>
  <si>
    <t>Vanguard Total Stock Market ETF@SELL@-120@13469.67</t>
  </si>
  <si>
    <t>iShares 7-10 Year Treasury Bond ETF@DIVIDEND@@4.9</t>
  </si>
  <si>
    <t>Vanguard Extended Duration Treasury ETF@DIVIDEND@@56.77</t>
  </si>
  <si>
    <t>Vanguard Total Stock Market ETF@DIVIDEND@@29.55</t>
  </si>
  <si>
    <t>@COST@@-0.16</t>
  </si>
  <si>
    <t>iShares 7-10 Year Treasury Bond ETF@DIVIDEND@@4.5</t>
  </si>
  <si>
    <t>Vanguard Extended Duration Treasury ETF@BUY@23@-2437.7</t>
  </si>
  <si>
    <t>Vanguard Total Stock Market ETF@SELL@-16@1821.99</t>
  </si>
  <si>
    <t>iShares 7-10 Year Treasury Bond ETF@DIVIDEND@@4.87</t>
  </si>
  <si>
    <t>@COST@@-0.18</t>
  </si>
  <si>
    <t>iShares 7-10 Year Treasury Bond ETF@DIVIDEND@@5.12</t>
  </si>
  <si>
    <t>Vanguard Extended Duration Treasury ETF@DIVIDEND@@2.51</t>
  </si>
  <si>
    <t>Vanguard Extended Duration Treasury ETF@DIVIDEND@@230.23</t>
  </si>
  <si>
    <t>Vanguard Extended Duration Treasury ETF@DIVIDEND@@71.1</t>
  </si>
  <si>
    <t>Vanguard Total Stock Market ETF@DIVIDEND@@46.16</t>
  </si>
  <si>
    <t>iShares 7-10 Year Treasury Bond ETF@DIVIDEND@@4.57</t>
  </si>
  <si>
    <t>iShares 7-10 Year Treasury Bond ETF@DIVIDEND@@4.4</t>
  </si>
  <si>
    <t>Vanguard Extended Duration Treasury ETF@DIVIDEND@@58.66</t>
  </si>
  <si>
    <t>Vanguard Total Stock Market ETF@DIVIDEND@@31.85</t>
  </si>
  <si>
    <t>iShares 7-10 Year Treasury Bond ETF@DIVIDEND@@3.31</t>
  </si>
  <si>
    <t>Vanguard Extended Duration Treasury ETF@DIVIDEND@@21.31</t>
  </si>
  <si>
    <t>iShares 7-10 Year Treasury Bond ETF@DIVIDEND@@4.53</t>
  </si>
  <si>
    <t>iShares 7-10 Year Treasury Bond ETF@DIVIDEND@@4.7</t>
  </si>
  <si>
    <t>iShares 7-10 Year Treasury Bond ETF@DIVIDEND@@4.69</t>
  </si>
  <si>
    <t>@COST@@-0.17</t>
  </si>
  <si>
    <t>Vanguard Total Stock Market ETF@DIVIDEND@@27.41</t>
  </si>
  <si>
    <t>Vanguard Extended Duration Treasury ETF@DIVIDEND@@56.25</t>
  </si>
  <si>
    <t>iShares 7-10 Year Treasury Bond ETF@DIVIDEND@@4.72</t>
  </si>
  <si>
    <t>iShares 7-10 Year Treasury Bond ETF@DIVIDEND@@4.65</t>
  </si>
  <si>
    <t>@COST@@6.89</t>
  </si>
  <si>
    <t>iShares 7-10 Year Treasury Bond ETF@BUY@11@-1083.28</t>
  </si>
  <si>
    <t>Vanguard Extended Duration Treasury ETF@BUY@19@-2149.01</t>
  </si>
  <si>
    <t>Vanguard Total Stock Market ETF@BUY@21@-1989.54</t>
  </si>
  <si>
    <t>iShares 7-10 Year Treasury Bond ETF@DIVIDEND@@4.08</t>
  </si>
  <si>
    <t>Vanguard Extended Duration Treasury ETF@DIVIDEND@@41.4</t>
  </si>
  <si>
    <t>Vanguard Total Stock Market ETF@DIVIDEND@@23.94</t>
  </si>
  <si>
    <t>iShares 7-10 Year Treasury Bond ETF@DIVIDEND@@3.92</t>
  </si>
  <si>
    <t>@COST@@-0.22</t>
  </si>
  <si>
    <t>Vanguard Total Stock Market ETF@DIVIDEND@@29.75</t>
  </si>
  <si>
    <t>iShares 7-10 Year Treasury Bond ETF@DIVIDEND@@4.14</t>
  </si>
  <si>
    <t>Vanguard Extended Duration Treasury ETF@DIVIDEND@@61.86</t>
  </si>
  <si>
    <t>Vanguard Extended Duration Treasury ETF@DIVIDEND@@1.85</t>
  </si>
  <si>
    <t>Vanguard Extended Duration Treasury ETF@DIVIDEND@@87.38</t>
  </si>
  <si>
    <t>Vanguard Extended Duration Treasury ETF@BUY@1@-115.8</t>
  </si>
  <si>
    <t>Vanguard Total Stock Market ETF@BUY@7@-681.85</t>
  </si>
  <si>
    <t>iShares Gold Trust@BUY@17@-169.11</t>
  </si>
  <si>
    <t>iShares 7-10 Year Treasury Bond ETF@BUY@1@-105.78</t>
  </si>
  <si>
    <t>iShares Diversified Commodity Swap UCITS ETF DE@BUY@30@-401.67</t>
  </si>
  <si>
    <t>iShares 7-10 Year Treasury Bond ETF@DIVIDEND@@4.1</t>
  </si>
  <si>
    <t>iShares 7-10 Year Treasury Bond ETF@DIVIDEND@@4.09</t>
  </si>
  <si>
    <t>Vanguard Total Stock Market ETF@BUY@8@-800.22</t>
  </si>
  <si>
    <t>Vanguard Extended Duration Treasury ETF@BUY@9@-946.61</t>
  </si>
  <si>
    <t>iShares Diversified Commodity Swap UCITS ETF DE@BUY@2@-37.11</t>
  </si>
  <si>
    <t>iShares Gold Trust@BUY@20@-202.5</t>
  </si>
  <si>
    <t>iShares Gold Trust@BUY@255@-2618.23</t>
  </si>
  <si>
    <t>iShares 7-10 Year Treasury Bond ETF@BUY@55@-5391.43</t>
  </si>
  <si>
    <t>iShares Diversified Commodity Swap UCITS ETF DE@BUY@179@-2575.06</t>
  </si>
  <si>
    <t>Vanguard Extended Duration Treasury ETF@BUY@127@-13738.49</t>
  </si>
  <si>
    <t>Vanguard Total Stock Market ETF@BUY@100@-9581.29</t>
  </si>
  <si>
    <t>TOTAL GABON</t>
  </si>
  <si>
    <t>TOTAL GABON@SELL@-117@21524.99</t>
  </si>
  <si>
    <t>@APPROVISIONNEMENT@@12000</t>
  </si>
  <si>
    <t>@APPROVISIONNEMENT@@30,356.53</t>
  </si>
  <si>
    <t>@APPROVISIONNEMENT@@-30,356.53</t>
  </si>
  <si>
    <t>TOTAL GABON@DIVIDEND@@684.3</t>
  </si>
  <si>
    <t>TOTAL GABON@SELL@-21@6400.28</t>
  </si>
  <si>
    <t>@APPROVISIONNEMENT@@-13500</t>
  </si>
  <si>
    <t>@APPROVISIONNEMENT@@7020.41</t>
  </si>
  <si>
    <t>TOTAL GABON@BUY@38@-13172.76</t>
  </si>
  <si>
    <t>EDF</t>
  </si>
  <si>
    <t>EDF@SELL@-525@13310.15</t>
  </si>
  <si>
    <t>EDF@COST@@-24.17</t>
  </si>
  <si>
    <t>EDF@BUY@525@-12096.38</t>
  </si>
  <si>
    <t>BOUYGUES</t>
  </si>
  <si>
    <t>BOUYGUES@SELL@-345@10753.41</t>
  </si>
  <si>
    <t>TOTAL GABON@DIVIDEND@@1586.91</t>
  </si>
  <si>
    <t>BOUYGUES@DIVIDEND@@330.2</t>
  </si>
  <si>
    <t>BOUYGUES@COST@20@0</t>
  </si>
  <si>
    <t>BOUYGUES@COST@@-504.2</t>
  </si>
  <si>
    <t>BOUYGUES@BUY@325@-9500.17</t>
  </si>
  <si>
    <t>BOUYGUES@COST@@-18.98</t>
  </si>
  <si>
    <t>@APPROVISIONNEMENT@@7979.59</t>
  </si>
  <si>
    <t>TOTAL GABON@BUY@100@-41162</t>
  </si>
  <si>
    <t>TECHNIP</t>
  </si>
  <si>
    <t>TECHNIP@SELL@-580@42444</t>
  </si>
  <si>
    <t>TECHNIP@BUY@580@-43048</t>
  </si>
  <si>
    <t>TECHNIP@COST@@-86.07</t>
  </si>
  <si>
    <t>STMICROELECTRONICS</t>
  </si>
  <si>
    <t>STMICROELECTRONICS@SELL@-7300@42860.9</t>
  </si>
  <si>
    <t>STMICROELECTRONICS@BUY@7300@-41651.2</t>
  </si>
  <si>
    <t>ALSTOM REGROUPT</t>
  </si>
  <si>
    <t>ALSTOM REGROUPT@SELL@-1500@41373</t>
  </si>
  <si>
    <t>ANF IMMOBILIER</t>
  </si>
  <si>
    <t>ANF IMMOBILIER@SELL@-32@690.21</t>
  </si>
  <si>
    <t>SANOFI</t>
  </si>
  <si>
    <t>SANOFI@SELL@-16@1165.19</t>
  </si>
  <si>
    <t>ALSTOM REGROUPT@BUY@1500@-37812</t>
  </si>
  <si>
    <t>ALSTOM REGROUPT@COST@@-75.6</t>
  </si>
  <si>
    <t>UNIBAIL RODAMCO SE</t>
  </si>
  <si>
    <t>UNIBAIL RODAMCO SE@SELL@-12@2218.6</t>
  </si>
  <si>
    <t>@APPROVISIONNEMENT@@16133.41</t>
  </si>
  <si>
    <t>@APPROVISIONNEMENT@@16872.9</t>
  </si>
  <si>
    <t>ANF IMMOBILIER@BUY@32@-695.71</t>
  </si>
  <si>
    <t>SANOFI@BUY@16@-1194.99</t>
  </si>
  <si>
    <t>SANOFI@COST@@-2.39</t>
  </si>
  <si>
    <t>UNIBAIL RODAMCO SE@BUY@12@-2106.69</t>
  </si>
  <si>
    <t>UNIBAIL RODAMCO SE@COST@@-4.21</t>
  </si>
  <si>
    <t>ORANGE</t>
  </si>
  <si>
    <t>ORANGE@SELL@-135@1052.01</t>
  </si>
  <si>
    <t>GDF SUEZ</t>
  </si>
  <si>
    <t>GDF SUEZ@SELL@-95@1588.87</t>
  </si>
  <si>
    <t>ABC ARBITRAGE</t>
  </si>
  <si>
    <t>ABC ARBITRAGE@SELL@-355@1798.23</t>
  </si>
  <si>
    <t>TOTAL SA</t>
  </si>
  <si>
    <t>TOTAL SA@SELL@-30@1218.55</t>
  </si>
  <si>
    <t>ABC ARBITRAGE@BUY@355@-1581.17</t>
  </si>
  <si>
    <t>EDF@SELL@-75@1470.56</t>
  </si>
  <si>
    <t>EDF@DIVIDEND@@27.67</t>
  </si>
  <si>
    <t>EDF@DIVIDEND@@4.8</t>
  </si>
  <si>
    <t>TOTAL SA@DIVIDEND@@11.29</t>
  </si>
  <si>
    <t>ORANGE@DIVIDEND@@17.19</t>
  </si>
  <si>
    <t>GDF SUEZ@DIVIDEND@@40.46</t>
  </si>
  <si>
    <t>TOTAL SA@BUY@30@-1150.93</t>
  </si>
  <si>
    <t>ORANGE@BUY@135@-1137.32</t>
  </si>
  <si>
    <t>GDF SUEZ@BUY@95@-1464.32</t>
  </si>
  <si>
    <t>EDF@BUY@75@-1137.27</t>
  </si>
  <si>
    <t>TOTAL SA@COST@@-2.3</t>
  </si>
  <si>
    <t>FRANCE TELECOM</t>
  </si>
  <si>
    <t>FRANCE TELECOM@COST@@-2.27</t>
  </si>
  <si>
    <t>GDF SUEZ@COST@@-2.93</t>
  </si>
  <si>
    <t>EDF@COST@@-2.27</t>
  </si>
  <si>
    <t>@APPROVISIONNEMENT@@-9872.9</t>
  </si>
  <si>
    <t>FRANCE TELECOM@SELL@-455@4909.58</t>
  </si>
  <si>
    <t>TOTAL SA@SELL@-33@1250.4</t>
  </si>
  <si>
    <t>BOUYGUES@SELL@-70@1440.7</t>
  </si>
  <si>
    <t>GDF SUEZ@SELL@-74@1350.39</t>
  </si>
  <si>
    <t>EDF@SELL@-70@1165.5</t>
  </si>
  <si>
    <t>VIVENDI</t>
  </si>
  <si>
    <t>VIVENDI@SELL@-263@3962.47</t>
  </si>
  <si>
    <t>TOTAL SA@DIVIDEND@@16.32</t>
  </si>
  <si>
    <t>FRANCE TELECOM@DIVIDEND@@314.9</t>
  </si>
  <si>
    <t>EDF@DIVIDEND@@35.14</t>
  </si>
  <si>
    <t>VIVENDI@DIVIDEND@@6.5</t>
  </si>
  <si>
    <t>VIVENDI@DIVIDEND@-15@0</t>
  </si>
  <si>
    <t>GDF SUEZ@DIVIDEND@@41.75</t>
  </si>
  <si>
    <t>VIVENDI@DIVIDEND@8@0</t>
  </si>
  <si>
    <t>VIVENDI@DIVIDEND@-240@0</t>
  </si>
  <si>
    <t>VIVENDI@DIVIDEND@@220.61</t>
  </si>
  <si>
    <t>VIVENDI@DIVIDEND@255@0</t>
  </si>
  <si>
    <t>BOUYGUES@DIVIDEND@@96.91</t>
  </si>
  <si>
    <t>TOTAL SA@BUY@33@-1205.42</t>
  </si>
  <si>
    <t>PEUGEOT</t>
  </si>
  <si>
    <t>PEUGEOT@SELL@-135@1218.49</t>
  </si>
  <si>
    <t>GDF SUEZ@DIVIDEND@2@0</t>
  </si>
  <si>
    <t>VIVENDI@DIVIDEND@@-32.86</t>
  </si>
  <si>
    <t>BOUYGUES@BUY@70@-1506.35</t>
  </si>
  <si>
    <t>@APPROVISIONNEMENT@@1520</t>
  </si>
  <si>
    <t>GDF SUEZ@BUY@72@-1430.85</t>
  </si>
  <si>
    <t>PEUGEOT@BUY@135@-1750.5</t>
  </si>
  <si>
    <t>FRANCE TELECOM@BUY@110@-1236.96</t>
  </si>
  <si>
    <t>CREDIT AGRICOLE</t>
  </si>
  <si>
    <t>CREDIT AGRICOLE@SELL@-445@2262.12</t>
  </si>
  <si>
    <t>@APPROVISIONNEMENT@@1700</t>
  </si>
  <si>
    <t>VIVENDI@BUY@100@-1421.28</t>
  </si>
  <si>
    <t>VIVENDI@BUY@155@-2275.13</t>
  </si>
  <si>
    <t>VEOLIA ENVIRON</t>
  </si>
  <si>
    <t>VEOLIA ENVIRON@SELL@-250@2416.57</t>
  </si>
  <si>
    <t>@APPROVISIONNEMENT@@1280</t>
  </si>
  <si>
    <t>CREDIT AGRICOLE@BUY@445@-2088.93</t>
  </si>
  <si>
    <t>FRANCE TELECOM@BUY@100@-1166.55</t>
  </si>
  <si>
    <t>EDF@BUY@70@-1301.77</t>
  </si>
  <si>
    <t>@APPROVISIONNEMENT@@5000</t>
  </si>
  <si>
    <t>VEOLIA ENVIRON@BUY@250@-2015.56</t>
  </si>
  <si>
    <t>FRANCE TELECOM@BUY@245@-2897.57</t>
  </si>
  <si>
    <t>FRANCE TELECOM@SELL@-555@9775.59</t>
  </si>
  <si>
    <t>FRANCE TELECOM@BUY@555@-8646.9</t>
  </si>
  <si>
    <t>@APPROVISIONNEMENT@@9866.59</t>
  </si>
  <si>
    <t>Div</t>
  </si>
  <si>
    <t>Progress</t>
  </si>
  <si>
    <t>Total evolution</t>
  </si>
  <si>
    <t>Avg evolution</t>
  </si>
  <si>
    <t>Total profit</t>
  </si>
  <si>
    <t>Margin available</t>
  </si>
  <si>
    <t>Monetary fund</t>
  </si>
  <si>
    <t>Portfolio value</t>
  </si>
  <si>
    <t>Portfolio risk</t>
  </si>
  <si>
    <t>Credit available</t>
  </si>
  <si>
    <t>Gage value</t>
  </si>
  <si>
    <t>MARGIN</t>
  </si>
  <si>
    <t>CURRENT ALLOCATION</t>
  </si>
  <si>
    <t>AVAILABLE ALLOCATION</t>
  </si>
  <si>
    <t>REQUESTED ALLOCATION</t>
  </si>
  <si>
    <t>Monthly portfolio average</t>
  </si>
  <si>
    <t>Monthly profit average</t>
  </si>
  <si>
    <t>Estimated max available</t>
  </si>
  <si>
    <t>Allocation</t>
  </si>
  <si>
    <t>Cash</t>
  </si>
  <si>
    <t>Use</t>
  </si>
  <si>
    <t>Ratio</t>
  </si>
  <si>
    <t>Interest</t>
  </si>
  <si>
    <t>Wasted</t>
  </si>
  <si>
    <t>Income</t>
  </si>
  <si>
    <t>Is Expense</t>
  </si>
  <si>
    <t>VIR Virement de Monsieur Florian DEFROC</t>
  </si>
  <si>
    <t>VIR SEPA FLORIAN HENRI OLIVIER Defrocour</t>
  </si>
  <si>
    <t>VIR SEPA M LORTHIOIS BRUNO</t>
  </si>
  <si>
    <t>PRLV SEPA MINT ENERGIE</t>
  </si>
  <si>
    <t>CARTE 03/11/20 35 WEB AMENDE.GOU CB*7911</t>
  </si>
  <si>
    <t>CARTE 01/11/20 Patreon* Membersh CB*7911</t>
  </si>
  <si>
    <t>*CION CB OP. ETR Patreon* Membership</t>
  </si>
  <si>
    <t>VIR SEPA MME CAPELLE PATRICIA</t>
  </si>
  <si>
    <t>CARTE 16/10/20 29 ATAORIDE CB*7911</t>
  </si>
  <si>
    <t>CARTE 15/10/20 75 AMAZON PAYMENT CB*7911</t>
  </si>
  <si>
    <t>PRLV SEPA CLIMB UP BREST</t>
  </si>
  <si>
    <t>*INTERETS DEBITEURS AU 30/09/20</t>
  </si>
  <si>
    <t>CARTE 04/10/20 Patreon* Membersh CB*7911</t>
  </si>
  <si>
    <t>CARTE 01/10/20 74 DOMOMAT CB*7911</t>
  </si>
  <si>
    <t>PRLV SEPA AVANSSUR</t>
  </si>
  <si>
    <t>CARTE 22/09/20 75 AMAZON PAYMENT CB*7911</t>
  </si>
  <si>
    <t>VIR SEPA DEFROCOURT Florian</t>
  </si>
  <si>
    <t>VIR SEPA DEREGEL</t>
  </si>
  <si>
    <t>VIR SEPA Boulic Pierre</t>
  </si>
  <si>
    <t>CARTE 14/09/20 75 AMAZON PAYMENT CB*7911</t>
  </si>
  <si>
    <t>CARTE 14/09/20 LUKO COVER SAS CB*7911</t>
  </si>
  <si>
    <t>CARTE 10/09/20 75 AMAZON PAYMENT CB*7911</t>
  </si>
  <si>
    <t>CARTE 09/09/20 ALIEXPRESS.COM CB*7911</t>
  </si>
  <si>
    <t>CARTE 07/09/20 75 AMAZON EU SARL CB*7911</t>
  </si>
  <si>
    <t>CARTE 04/09/20 75 AMAZON PAYMENT CB*7911</t>
  </si>
  <si>
    <t>CARTE 02/09/20 75 AMAZON PAYMENT CB*7911</t>
  </si>
  <si>
    <t>CARTE 03/09/20 59 LEROY MERLIN CB*7911</t>
  </si>
  <si>
    <t>CARTE 28/08/20 75 AMAZON PAYMENT CB*7911</t>
  </si>
  <si>
    <t>CARTE 26/08/20 75 AMAZON PAYMENT CB*7911</t>
  </si>
  <si>
    <t>VIR SEPA POLE EMPLOI BRETAGNE</t>
  </si>
  <si>
    <t>VIR SEPA Po SCP MOCAER - PAGNOUX ET ASS</t>
  </si>
  <si>
    <t>CARTE 25/08/20 75 AMAZON MEDIA E CB*7911</t>
  </si>
  <si>
    <t>VIR SEPA GROUPE D ESCALADE ET RANDONNEE</t>
  </si>
  <si>
    <t>CARTE 05/08/20 29 POINT P DMO CB*7911</t>
  </si>
  <si>
    <t>CARTE 01/08/20 75 AMAZON PAYMENT CB*7911</t>
  </si>
  <si>
    <t>CARTE 23/07/20 75 AMAZON PAYMENT CB*7911</t>
  </si>
  <si>
    <t>*INTERETS DEBITEURS AU 30/06/20</t>
  </si>
  <si>
    <t>CARTE 03/07/20 75 FREE MOBILE CB*7911</t>
  </si>
  <si>
    <t>VIR SEPA CAF DES YVELINES</t>
  </si>
  <si>
    <t>VIR SEPA POLE EMPLOI DR IDF ALLOCATAIRE</t>
  </si>
  <si>
    <t>VIR SEPA Les deux rives conseil L</t>
  </si>
  <si>
    <t>VIR Virement de Mademoiselle Isabell</t>
  </si>
  <si>
    <t>VIR SEPA MR LOPEZ GERARD OU MME</t>
  </si>
  <si>
    <t>CARTE 16/06/20 75 SERVICE POSTAL CB*7911</t>
  </si>
  <si>
    <t>CARTE 14/06/20 95 CARREFOUR DAC CB*7911</t>
  </si>
  <si>
    <t>VIR SEPA STICHTING DEGIRO</t>
  </si>
  <si>
    <t>VIR SEPA Century 21</t>
  </si>
  <si>
    <t>CARTE 14/04/20 75 PAYPAL CB*7911</t>
  </si>
  <si>
    <t>CARTE 14/04/20 GOOGLE YouTube V CB*7911</t>
  </si>
  <si>
    <t>*INTERETS DEBITEURS AU 31/03/20</t>
  </si>
  <si>
    <t>CARTE 14/03/20 MAISON GAO CB*7911</t>
  </si>
  <si>
    <t>CARTE 14/03/20 78 MAISON GAO CB*9987</t>
  </si>
  <si>
    <t>RETRAIT DAB 08/03/20 CONFLANS ST CB*7911</t>
  </si>
  <si>
    <t>CARTE 08/03/20 78 PATHE CONFLANS CB*9987</t>
  </si>
  <si>
    <t>VIR SEPA DE CERGY PONTOISE GROUPE D ESCA</t>
  </si>
  <si>
    <t>CARTE 22/02/20 78 MAISON GAO CB*9987</t>
  </si>
  <si>
    <t>CARTE 03/02/20 EPICTV CB*7911</t>
  </si>
  <si>
    <t>CARTE 01/02/20 78 ITALO MM CB*7911</t>
  </si>
  <si>
    <t>CARTE 19/01/20 78 ITALO MM CB*7911</t>
  </si>
  <si>
    <t>VIR Don caritatif pour 2020 (Boubou)</t>
  </si>
  <si>
    <t>CARTE 13/01/20 78 LA POSTE L7801 CB*7911</t>
  </si>
  <si>
    <t>*INTERETS DEBITEURS AU 31/12/19</t>
  </si>
  <si>
    <t>VIR SEPA De Giro Stichting</t>
  </si>
  <si>
    <t>VIR Saint Nic</t>
  </si>
  <si>
    <t>CARTE 20/12/19 75 AMAZON EU SARL CB*7911</t>
  </si>
  <si>
    <t>CARTE 14/12/19 95 ERAGNY SUD CB*7911</t>
  </si>
  <si>
    <t>CARTE 08/12/19 78 ANJANEYAR CB*7911</t>
  </si>
  <si>
    <t>CARTE 07/12/19 78 CHIPS BP .TIPI CB*7911</t>
  </si>
  <si>
    <t>CARTE 25/11/19 78 LA POSTE L7801 CB*7911</t>
  </si>
  <si>
    <t>VIR SEPA MR OU MME LEFEVRE FRANCK</t>
  </si>
  <si>
    <t>RETRAIT DAB 05/11/19 CONFLANS ST CB*7911</t>
  </si>
  <si>
    <t>CARTE 19/10/19 Wikipedia Gift CB*7911</t>
  </si>
  <si>
    <t>RETRAIT DAB 12/10/19 CONFLANS ST CB*7911</t>
  </si>
  <si>
    <t>RETRAIT DAB 04/10/19 ANDRESY BOR CB*7911</t>
  </si>
  <si>
    <t>CARTE 04/10/19 78 LE MONDE DES F CB*7911</t>
  </si>
  <si>
    <t>CARTE 04/10/19 78 PINEAPPLE CB*7911</t>
  </si>
  <si>
    <t>CARTE 04/10/19 78 LES P'TITS PAP CB*7911</t>
  </si>
  <si>
    <t>*INTERETS DEBITEURS AU 30/09/19</t>
  </si>
  <si>
    <t>CARTE 29/09/19 78 MAISON GAO CB*7911</t>
  </si>
  <si>
    <t>VIR Escalade Andresy</t>
  </si>
  <si>
    <t>PRLV SEPA CA CONSUMER FINANCE</t>
  </si>
  <si>
    <t>Virement validation</t>
  </si>
  <si>
    <t>CHIPS BP .TIPI</t>
  </si>
  <si>
    <t>Virement interne depuis Courant</t>
  </si>
  <si>
    <t>VIR Virement instantane de MR DEFROCOUR</t>
  </si>
  <si>
    <t>CARTE 28/07/19 78 SM CASINO CS73 CB*9987</t>
  </si>
  <si>
    <t>CARTE 28/07/19 78 LE PETRIN DE M CB*9987</t>
  </si>
  <si>
    <t>CONFLANS STE HONORI</t>
  </si>
  <si>
    <t>VIR SEPA Florian Defrocourt</t>
  </si>
  <si>
    <t>Virement interne</t>
  </si>
  <si>
    <t>*INTERETS DEBITEURS AU 30/06/19</t>
  </si>
  <si>
    <t>*FRAIS AFFRAN. SERV. ENVOYER CHQ</t>
  </si>
  <si>
    <t>SERVICE ENVOYER CHQ Nø 0812907</t>
  </si>
  <si>
    <t>CARTE 29/06/19 78 FRANPRIX 127 CB*9987</t>
  </si>
  <si>
    <t>PAYPAL *SHANGHAIZHU</t>
  </si>
  <si>
    <t>REST TRESOR IND</t>
  </si>
  <si>
    <t>VIR SEPA C.P.A.M. NIMES</t>
  </si>
  <si>
    <t>CARTE 11/06/19 78 CABINET DENTAI CB*9987</t>
  </si>
  <si>
    <t>REM CHQ N. 1048702</t>
  </si>
  <si>
    <t>CARTE 01/06/19 78 PINEAPPLE CB*9987</t>
  </si>
  <si>
    <t>CARTE 26/05/19 95 AU JARDIN ENCH CB*9987</t>
  </si>
  <si>
    <t>CARTE 16/05/19 78 CABINET DENTAI CB*9987</t>
  </si>
  <si>
    <t>VIR Virement instantane de MR DEFROCOURT Florian</t>
  </si>
  <si>
    <t>CARTE 03/05/19 66 SYLVIE BLACHON CB*9987</t>
  </si>
  <si>
    <t>*INTERETS DEBITEURS AU 31/03/19</t>
  </si>
  <si>
    <t>CARTE 01/04/19 78 MAISON GAO CB*9987</t>
  </si>
  <si>
    <t>CARTE 01/04/19 78 LE MONDE DES F CB*9987</t>
  </si>
  <si>
    <t>Participation frais</t>
  </si>
  <si>
    <t>Kindle Svcs</t>
  </si>
  <si>
    <t>Amazon.fr</t>
  </si>
  <si>
    <t>Hon*PP*Honnold Foundat</t>
  </si>
  <si>
    <t>CARTE 14022019 75 GOOGLE Google CB*9987</t>
  </si>
  <si>
    <t>PATISSERI OSMONT</t>
  </si>
  <si>
    <t>CARTE 03022019 78 MAISON GAO CB*9987</t>
  </si>
  <si>
    <t>LA POSTE L780150</t>
  </si>
  <si>
    <t>VIR Retrait Epargne Florian</t>
  </si>
  <si>
    <t>MAISON GAO</t>
  </si>
  <si>
    <t>VIR Cadeaux de Noel Florian</t>
  </si>
  <si>
    <t>VIR Retrait Epargne</t>
  </si>
  <si>
    <t>CARTE 04122018 95 CASTORAMA CB*9987</t>
  </si>
  <si>
    <t>VIR Achat Castorama</t>
  </si>
  <si>
    <t>CARTE 30112018 E.LECLERC CB*9987</t>
  </si>
  <si>
    <t>CARTE 30112018 95 CASTORAMA CB*9987</t>
  </si>
  <si>
    <t>VIR Essence + Casto</t>
  </si>
  <si>
    <t>PRLV SEPA DIRECTION GENERALE DES FINANCE</t>
  </si>
  <si>
    <t>VIR Moitie essence 12/11/18</t>
  </si>
  <si>
    <t>SNCF</t>
  </si>
  <si>
    <t>CARTE 09112018 78 LECLERC CB*9987</t>
  </si>
  <si>
    <t>CARTE 09112018 78 LECLERC S/S CB*9987</t>
  </si>
  <si>
    <t>CARTE 09112018 95 CHATEAU AUVERS CB*9987</t>
  </si>
  <si>
    <t>CARTE 06112018 35 AMENDE RADAR W CB*9987</t>
  </si>
  <si>
    <t>VIR Amende</t>
  </si>
  <si>
    <t>SERVICE ENVOYER CHQ Nº 0751521</t>
  </si>
  <si>
    <t>VIR grobobo</t>
  </si>
  <si>
    <t>*INT DEB AU 30/09/18</t>
  </si>
  <si>
    <t>VIR SEPA L Les deux rives conseil</t>
  </si>
  <si>
    <t>VIR Remboursement espece</t>
  </si>
  <si>
    <t>GOOGLE *SERVICES</t>
  </si>
  <si>
    <t>WIKIMEDIA 877-600-9454</t>
  </si>
  <si>
    <t>LAWSON</t>
  </si>
  <si>
    <t>FAMILYMART</t>
  </si>
  <si>
    <t>SEVEN-ELEVEN JAPAN</t>
  </si>
  <si>
    <t>DON QUIJOTE</t>
  </si>
  <si>
    <t>MINISTOP MARUGAMEJOSEI</t>
  </si>
  <si>
    <t>WILLER TRAVEL,INC.</t>
  </si>
  <si>
    <t>COCOICHIBANYA TOKUYAMA</t>
  </si>
  <si>
    <t>IZUMI HONNBU</t>
  </si>
  <si>
    <t>CHUOFOOD KUMAGETEN</t>
  </si>
  <si>
    <t>1.7 percent foreign ATM usage mark-up fee</t>
  </si>
  <si>
    <t>YUMETAUNHIROSHIMA(SHIY</t>
  </si>
  <si>
    <t>JAPANPOST BANK(630380)</t>
  </si>
  <si>
    <t>JAPANPOST BANK(530090)</t>
  </si>
  <si>
    <t>NARUSU KOKUFU</t>
  </si>
  <si>
    <t>FASHION CENTER SHIMAMU</t>
  </si>
  <si>
    <t>FLO PAYE JUILLET 2018</t>
  </si>
  <si>
    <t>CARTE 11062018 FI FINNAIR FRANCE CB*9987</t>
  </si>
  <si>
    <t>CARTE 09062018 78 LE MEKONG CB*9987</t>
  </si>
  <si>
    <t>REM CHQ N. 0333738</t>
  </si>
  <si>
    <t>RETRAIT DAB 26052018 CONFLANS ST CB*9987</t>
  </si>
  <si>
    <t>CARTE 26052018 78 PATISSERI OSMO CB*9987</t>
  </si>
  <si>
    <t>LA POSTE L780150 78 A</t>
  </si>
  <si>
    <t>LES P'TITS PAPIE</t>
  </si>
  <si>
    <t>PRLV SEPA EDF clients particuliers</t>
  </si>
  <si>
    <t>VIR SEPA ELECTRICITE DE FRANCE</t>
  </si>
  <si>
    <t>VIR SEPA DEFROCOURT Florian (interne)</t>
  </si>
  <si>
    <t>VIR Loyer</t>
  </si>
  <si>
    <t>PAYPAL *SHOP D ORO</t>
  </si>
  <si>
    <t>*INT DEB AU 31/03/18</t>
  </si>
  <si>
    <t>CARTE 18032018 HP FRANCE SAS CB*9987</t>
  </si>
  <si>
    <t>VIR amandes</t>
  </si>
  <si>
    <t>CARTE 03032018 35 AMENDE RADAR W CB*9987</t>
  </si>
  <si>
    <t>VIR SEPA SP EXPERTISE SARL (Interne)</t>
  </si>
  <si>
    <t>CARTE 18022018 HP FRANCE SAS CB*9987</t>
  </si>
  <si>
    <t>AMZ*GOMARK</t>
  </si>
  <si>
    <t>AMZ*Universal Color</t>
  </si>
  <si>
    <t>-35,83 €</t>
  </si>
  <si>
    <t>FNAC DIRECT</t>
  </si>
  <si>
    <t>WWW.ALIEXPRESS.COM</t>
  </si>
  <si>
    <t>REM CHQ N. 0174674</t>
  </si>
  <si>
    <t>virement interne</t>
  </si>
  <si>
    <t>PAYPAL *RETROELECTR</t>
  </si>
  <si>
    <t>PAIEMENT CARTE 11012018 75 AMAZON EU SAR</t>
  </si>
  <si>
    <t>-92,39 €</t>
  </si>
  <si>
    <t>PAYPAL *HUNGKAMKEUN</t>
  </si>
  <si>
    <t>PAYPAL *CHENGUOCAI</t>
  </si>
  <si>
    <t>Defrocourt Florian (Interne)</t>
  </si>
  <si>
    <t>Amazon Marketplace FR</t>
  </si>
  <si>
    <t>*INT DEB AU 31/12/17</t>
  </si>
  <si>
    <t>LA POSTE BOUTIQU 75 PA</t>
  </si>
  <si>
    <t>PRIME DE PARRAINAGE</t>
  </si>
  <si>
    <t>VIR SEPA SCI AGIL</t>
  </si>
  <si>
    <t>VIR SEPA POLE EMPLOI</t>
  </si>
  <si>
    <t>Flo</t>
  </si>
  <si>
    <t>Parrainage</t>
  </si>
  <si>
    <t>SNCF 95 GO</t>
  </si>
  <si>
    <t>SNCF 78 CO</t>
  </si>
  <si>
    <t>VIR SEPA EUROP ASSISTANCE FRANCE</t>
  </si>
  <si>
    <t>REM CHQ N. 0105343</t>
  </si>
  <si>
    <t>REDOUTE AUB VAD</t>
  </si>
  <si>
    <t>SNCF OUIGO 92 PA</t>
  </si>
  <si>
    <t>REM CHQ N. 0097212</t>
  </si>
  <si>
    <t>REGUL PAI CARTE 15092017 CH Home Consult</t>
  </si>
  <si>
    <t>LA POSTE 780150 78 A</t>
  </si>
  <si>
    <t>AVOIR 10112017 75 AMAZON PAYMENTS</t>
  </si>
  <si>
    <t>REM CHQ N. 0081583</t>
  </si>
  <si>
    <t>Name</t>
  </si>
  <si>
    <t>Amount</t>
  </si>
  <si>
    <t>Boursorama</t>
  </si>
  <si>
    <t>N26</t>
  </si>
  <si>
    <t>Term</t>
  </si>
  <si>
    <t>Total month</t>
  </si>
  <si>
    <t>Start Date</t>
  </si>
  <si>
    <t>End Date</t>
  </si>
  <si>
    <t>Initial</t>
  </si>
  <si>
    <t>Remain month</t>
  </si>
  <si>
    <t>Due</t>
  </si>
  <si>
    <t>Boursorama Loan</t>
  </si>
  <si>
    <t>Climb'up</t>
  </si>
  <si>
    <t>Assurance maison</t>
  </si>
  <si>
    <t>Electricité</t>
  </si>
  <si>
    <t>Faux frais</t>
  </si>
  <si>
    <t>PE</t>
  </si>
  <si>
    <t>Bruno's tractor</t>
  </si>
  <si>
    <t>Recurrent</t>
  </si>
  <si>
    <t>Charity</t>
  </si>
  <si>
    <t>Donated</t>
  </si>
  <si>
    <t>Duration</t>
  </si>
  <si>
    <t>Deposit</t>
  </si>
  <si>
    <t>Withdraw</t>
  </si>
  <si>
    <t>Cumul gain</t>
  </si>
  <si>
    <t>Yearly rate</t>
  </si>
  <si>
    <t>Email</t>
  </si>
  <si>
    <t>First Name</t>
  </si>
  <si>
    <t>Family Name</t>
  </si>
  <si>
    <t>Birth date</t>
  </si>
  <si>
    <t>Birth city</t>
  </si>
  <si>
    <t>Adress</t>
  </si>
  <si>
    <t>Postal Code</t>
  </si>
  <si>
    <t>City</t>
  </si>
  <si>
    <t>IBAN</t>
  </si>
  <si>
    <t>Bank</t>
  </si>
  <si>
    <t>Association</t>
  </si>
  <si>
    <t>Web page</t>
  </si>
  <si>
    <t>Boubou</t>
  </si>
  <si>
    <t>isadeloenzien@gmail.com</t>
  </si>
  <si>
    <t>Isabelle</t>
  </si>
  <si>
    <t>De Loenzien</t>
  </si>
  <si>
    <t>Chateaudun (27)</t>
  </si>
  <si>
    <t>5 route de Pentrez</t>
  </si>
  <si>
    <t>Saint-Nic</t>
  </si>
  <si>
    <t>FR7640618803040004040757207</t>
  </si>
  <si>
    <t>Boursorama Banque</t>
  </si>
  <si>
    <t>Les Restos du Coeur</t>
  </si>
  <si>
    <t>https://dons.restosducoeur.org/particulier/~mon-don</t>
  </si>
  <si>
    <t>Paclone</t>
  </si>
  <si>
    <t>paclone@free.fr</t>
  </si>
  <si>
    <t>Patricia</t>
  </si>
  <si>
    <t>Capelle</t>
  </si>
  <si>
    <t>Alger (Algérie)</t>
  </si>
  <si>
    <t>2 route de la rosière</t>
  </si>
  <si>
    <t>Laveline-devant-Bruyères</t>
  </si>
  <si>
    <t>Philo</t>
  </si>
  <si>
    <t>philippe.deregel@live.fr</t>
  </si>
  <si>
    <t>Philippe</t>
  </si>
  <si>
    <t>Derégel</t>
  </si>
  <si>
    <t>10 avenue de Prédecelle</t>
  </si>
  <si>
    <t>Limours</t>
  </si>
  <si>
    <t>FR3930002076610000002257Z37</t>
  </si>
  <si>
    <t>LCL - Le Crédit Lyonnais</t>
  </si>
  <si>
    <t>Les tout petits</t>
  </si>
  <si>
    <t>https://association-les-tout-petits.org/faire-un-don/</t>
  </si>
  <si>
    <t>Associate</t>
  </si>
  <si>
    <t>Movement</t>
  </si>
  <si>
    <t>Question</t>
  </si>
  <si>
    <t>Réponse</t>
  </si>
  <si>
    <t>FiMs, ça veut dire quoi ?</t>
  </si>
  <si>
    <t>FiMs, est une acronyme pour Financement Indépendant, Militant et Solidaire.</t>
  </si>
  <si>
    <t>En quoi cela consiste ?</t>
  </si>
  <si>
    <t>C’est un projet de Financement Participatif, destiné en premier lieu aux petites et moyennes entreprises européennes, non cotées en bourse.</t>
  </si>
  <si>
    <t>Comment fonctionne le Financement Participatif ?</t>
  </si>
  <si>
    <t>Les entreprises cherchant un financement déposent une demande sur une plateforme indépendante. Celle-ci vérifie et certifie les données fournies par l’entreprise afin de lutter entre autres contre la fraude et le blanchiment. Une fois le projet validé et diffusé par la plateforme, un investisseur peut proposer de participer au financement en proposant une montant ainsi qu’un taux d’intérêt. Lorsque la somme demandée par l’entreprise est atteinte, la plateforme sélectionne alors les financements ayant les taux les plus bas.</t>
  </si>
  <si>
    <t>Comment les projets sont-ils choisis ?</t>
  </si>
  <si>
    <t>Les projets sont choisis par une Intelligence Artificielle que j’ai paramétrée initialement en fonction de mes connaissances financières et de l’orientation des investissements (PME européennes réparties sur les différents secteurs d’activités économique). Par la suite, j’ai participé à l’entraînement de l’IA qui a fini par devenir assez performante pour être autonome et s’auto-entraîner.</t>
  </si>
  <si>
    <t>Depuis quand l’IA intervient sur le choix des investissements ?</t>
  </si>
  <si>
    <t>En novembre 2020, l’IA vient de fêter son 5ème anniversaire !!</t>
  </si>
  <si>
    <t>Que se passe-t-il si le projet échoue ?</t>
  </si>
  <si>
    <t>L’entreprise ne rembourse tout simplement pas la somme empruntée.</t>
  </si>
  <si>
    <t>N’y a-t-il pas un garant, comme lors d’un prêt exigé par une banque ?</t>
  </si>
  <si>
    <t>Justement non, c’est tout le principe du Financement Indépendant, Militant et Solidaire. Il va à l’encontre du système bancaire où la banque ne prend aucun risque et s’en met plein les poches quoiqu’il arrive.</t>
  </si>
  <si>
    <t>Pourquoi l’entreprise qui a obtenu un financement réussirait-elle si elle n’est pas obligée de rembourser son emprunt ?</t>
  </si>
  <si>
    <t>Les entreprises qui bénéficient d’un financement participatif n’ont effectivement aucune épée de Damoclès sur la tête en cas d’échec. Cela ne veut absolument pas dire qu’elles vont faire exprès d’échouer. Au contraire, libre d’un certain stress, elles ont tendance à vouloir s’estimer digne de cette confiance, et ainsi donner le meilleur d’elles-mêmes.&lt;br&gt;
De plus, en cas de réussite, même partielle, l’entreprise est obligée de rembourser le capital et les intérêts à hauteur de la réussite du projet, suivant les critères qu’elle a elle-même choisi lors de la définition de son projet.</t>
  </si>
  <si>
    <t>Cela n’est-il pas risqué ?</t>
  </si>
  <si>
    <t>Pas plus que de confier de l’argent à sa banque, qui finalement le joue en bourse et risque également de perdre l’argent investi.&lt;br&gt;
Lors d’une crise financière, un secteur d’activité économique est principalement touché, mais jamais les trois à la fois. En effet, comme par un phénomène de vases communiquants, une crise des matières premières entraînera forcément une hausse des transformations et services, tandis qu’une crise des services fera forcément croître le prix des matières premières. Ce qui est perdu d’une main est récupéré de l’autre. C’est certainement moins rentable que de ne miser que sur un seul secteur, mais c'est beaucoup plus sécurisé.</t>
  </si>
  <si>
    <t>Et si l’argent est quand même perdu, que se passe-t-il ?</t>
  </si>
  <si>
    <t>En signant une reconnaissance de dette, je m’engage officiellement et légalement à rembourser mes créanciers moyennant intérêts et principal (foi d'animal), dès qu’ils en font la demande. Cette reconnaissance de dette fait office de contrat entre moi et un associé qui me confie son argent. En cas de non remboursement, le juge peut être saisi par une procédure simplifiée ne nécessitant pas d’avocat, et permettant à un huissier de venir faire une saisie.</t>
  </si>
  <si>
    <t>Quelles sont les garanties que dans ce cas, je retrouverai mon argent ?</t>
  </si>
  <si>
    <t>En tant que résident fiscal français et propriétaire de mon logement, je suis donc solvable. De plus, je suis actionnaire minoritaire de mon entreprise à raison de 30% des parts, sur un capital de 1.250.000 € (soit 375 000 € dont 75 000 € de dettes). Et même si mon entreprise est basée aux Pays-Bas et donc non saisissable par l’état Français, cela garanti néanmoins de ma bonne santé financière.</t>
  </si>
  <si>
    <t>Qui gagne quoi dans cette histoire ?</t>
  </si>
  <si>
    <t>L’entreprise financée gagne la tranquillité d’esprit et la sérénité d’un financement équitable, dont le remboursement est lié à la réussite de son projet.&lt;br&gt;
Le prêteur récupère l’argent qu’il a investi, ainsi que des intérêts en fonction de la réussite du projet financé.&lt;br&gt;
La plateforme qui a mis en lien les entreprises et les prêteurs récupère une commission sur le financement si celui-ci réussit.&lt;br&gt;
Les banques, rien !</t>
  </si>
  <si>
    <t>Et moi dans tout ça ?</t>
  </si>
  <si>
    <t>Toi, en tant qu’associé, tu bénéficies du taux d’intérêt auquel les projets ont été financés, ainsi que les éventuels bonus en fonction de la réussite du projet. La même chose que moi.</t>
  </si>
  <si>
    <t>Quel est ce taux d’intérêt ? Ainsi que celui des bonus ?</t>
  </si>
  <si>
    <t>Le taux d’intérêt varie entre 4 et 5%.&lt;br&gt;
Les bonus sont d’environ 20%.</t>
  </si>
  <si>
    <t>Si je comprends bien, cela fait 25% par an de rendement ?</t>
  </si>
  <si>
    <t>C’est bien cela !</t>
  </si>
  <si>
    <t>Ce rendement est-il garanti ?</t>
  </si>
  <si>
    <t>Non. Je ne peux malheureusement pas m’engager sur le futur, sachant que la réussite financière des entreprises dans lesquelles j’investis, ainsi que les conditions macro et micro économiques, ne dépendent pas de moi.</t>
  </si>
  <si>
    <t>Si les intérêts deviennent négatifs, y-a-il un minimum garanti ?</t>
  </si>
  <si>
    <t>Oui, le minimum garanti est de 1,25% par an (soit 2,5 fois le taux du livret A).</t>
  </si>
  <si>
    <t>Si je comprends bien, je ne peux pas perdre d’argent ?</t>
  </si>
  <si>
    <t>En effet, au pire tu gagnes 1,25% par an, au mieux, environ 25% par an.</t>
  </si>
  <si>
    <t>Comment fais-tu pour proposer de tels rendement alors que la meilleure des assurance vie ne dépasse pas les 3%, sans parler du livret A ?</t>
  </si>
  <si>
    <t>Tout d’abord, je n’ai ni agence, ni succursale, ni employé.&lt;br&gt;
Ensuite, saches que les banquiers font d’énormes profits et ne redonnent que les miettes.&lt;br&gt;
Enfin, je ne prends pas de commission pour gérer l’argent de mes associés.</t>
  </si>
  <si>
    <t>Mais alors comment te rémunères-tu ?</t>
  </si>
  <si>
    <t>J’ai moi-même investi tout mon argent dans ce système de financement participatif. Et cela me rapporte plus en un jour que ce que je prendrais de commission sur 1 an (sauf si j’investissais l’argent de gens millionnaires, mais je doute qu’ils aient besoin de mon aide).&lt;br&gt;
Je fais donc du bénévolat par plaisir d’aider des personnes que j’apprécie à atteindre une certaine indépendance financière. Et ce plaisir d’aider, c’est ma rémunération préférée.</t>
  </si>
  <si>
    <t>Et tout ça, gratuitement et sans contrepartie ?</t>
  </si>
  <si>
    <t>Pas tout à fait, il y a effectivement une mince contrepartie.&lt;br&gt;
Je tiens à ce que soit reversé 5,5% par an des profits réalisés, à une association de ton choix (à défaut, je ferai un don aux Restos du Coeur). Ce don est bien sûr déductible de tes impôts, suivant l’association choisie.</t>
  </si>
  <si>
    <t>Par exemple, si j’investis 10 000 €, ça fait combien ?</t>
  </si>
  <si>
    <t>Au pire des cas, c’est à dire 1,25% de rendement au bout d’un an, cela fait 118.12 € pour toi et 6.88 € pour ton association.&lt;br&gt;
Au meilleur des cas, c’est à dire 25% de rendement au bout d’un an, cela fait 2362.50 € pour toi et 137.50 € pour ton association.&lt;br&gt;
Et dans les deux cas, 0 € pour moi.</t>
  </si>
  <si>
    <t>Comment se passe le don annuel à l’association ?</t>
  </si>
  <si>
    <t>J'envoie à chaque début d’année un petit mail de rappel avec le montant à verser, ainsi que mes voeux.&lt;br&gt;
Ensuite, deux possibilités : soit tu fais le don toi-même et m'envoies ensuite le justificatif, soit je peux le faire à ta place.&lt;br&gt;
Au 1er février, à défaut de justificatif et sans nouvelle de ta part, je ferai automatiquement le don à ta place.</t>
  </si>
  <si>
    <t>De combien de personnes gères-tu l’argent ?</t>
  </si>
  <si>
    <t>En novembre 2020, 3 personnes. Plus moi, 4 :-)</t>
  </si>
  <si>
    <t>N’as-tu pas pensé à t’agrandir ? En faire ton métier ?</t>
  </si>
  <si>
    <t>Non, ça ne m’intéresse pas. Je n’ai pas besoin de plus d’argent, mais de plus de temps. Et gérer des clients, c’est beaucoup de temps. C’est pour ça que je préfère avoir des associés, qui sont des gens que je trie sur le volet parmis les amis que j’apprécie et avec qui j’ai une relation de confiance.</t>
  </si>
  <si>
    <t>As-tu des diplômes ?</t>
  </si>
  <si>
    <t>Je suis ingénieur en informatique avec un mineur en finance internationale.&lt;br&gt;
J’ai reçu mon habilitation à exercer le métier de Conseiller en Investissement Financier en mai 2020.</t>
  </si>
  <si>
    <t>Si j’investis avec toi, puis-je récupérer mon argent à tout moment ?</t>
  </si>
  <si>
    <t>Oui, l’argent investi est récupérable à tout moment, partiellement ou en totalité.</t>
  </si>
  <si>
    <t>Faut-il obligatoirement faire des versements mensuels ?</t>
  </si>
  <si>
    <t>Non, il n’y a aucune obligation de versement, ni minimum requis. Les versements comme les retraits peuvent se faire n’importe quand.</t>
  </si>
  <si>
    <t>Je veux participer, comment faire ?</t>
  </si>
  <si>
    <t>Tout d’abord, il faut remplir un petit formulaire afin que je récupère les informations essentielles à l’inscription. Conformément à la réglementation européenne, aucune de tes données personnelles ne sera diffusée, vendue ou partagée.&lt;br&gt;
Une fois rempli, je t’enverrai en pièce jointe d’un email, mon RIB afin d’effectuer un virement.&lt;br&gt;
A la réception du virement, je t'envoie par courrier postal une reconnaissance de dette en bonne et dûe forme, attestant que j’ai bien reçu l’argent à investir et que je le rembourserai à la demande du prêteur, moyennant un intérêt de 1,25% par an.</t>
  </si>
  <si>
    <t>Où se trouve ce formulaire ?</t>
  </si>
  <si>
    <t>https://bit.ly/FiMsForM</t>
  </si>
  <si>
    <t>Et si finalement je change d’avis ?</t>
  </si>
  <si>
    <t>Si tu constates le moindre problème ou changes d'avis, tu peux me demander un remboursement et / ou effectuer une opposition auprès de ta banque. L’opposition doit être faite dans les 8 jours suivant le virement.</t>
  </si>
  <si>
    <t>Et si je n’ai pas confiance en une reconnaissance de dette faite sous seing privé ?</t>
  </si>
  <si>
    <t>Libre à toi de la faire vérifier par ton notaire (prestation gratuite) et / ou de la faire enregistrer chez lui (prestation payante) si ça peut te sécuriser.</t>
  </si>
  <si>
    <t>Et si après mon virement, je ne reçois pas la reconnaissance de dette ?</t>
  </si>
  <si>
    <t>C’est sûrement que je suis parti avec cet argent pour me la couler douce aux Iles Cayman !&lt;br&gt;
Plus sérieusement, si c’est un problème postal, je la renvoie. Sinon, tu peux venir la réclamer à ma porte, ça me fera plaisir de te voir et de t’accueillir pour quelques jours de vacances.</t>
  </si>
  <si>
    <t>Si je demande à retirer de l’argent, quand sera-t-il sur mon compte ?</t>
  </si>
  <si>
    <t>Comme dit précédemment, tu peux ajouter ou retirer de l'argent à ta convenance, quand bon te semble et même en totalité si tu le souhaites. Les virements entre banques pouvant parfois prendre un temps indépendant de ma volonté, il y a forcément un laps qui s'écoule entre une demande et le virement effectif (sauf en ce qui concerne les virements mensuels récurrents). Cela prend d’habitude entre 3 et 5 jours ouvrés.</t>
  </si>
  <si>
    <t>Une fois que j’ai fait un virement, que se passe-t-il de ton côté ?</t>
  </si>
  <si>
    <t>Une fois l'argent reçu, il se peut qu'il n'y ait pas de projet intéressant dans l'immédiat. Auquel cas, l'argent sera mis en attente jusqu'à ce qu'un projet se présente. Pendant ce temps, la somme non investie rapporte automatiquement 1,25% par an.&lt;br&gt;
Une fois que l’argent est investi dans des projets, il n’y a plus qu’à attendre en sirotant un bon cocktail au bord d’une plage paradisiaque.</t>
  </si>
  <si>
    <t>Comment puis-je faire pour savoir combien mon argent me rapporte ?</t>
  </si>
  <si>
    <t>Afin de consulter l'historique des transferts ainsi que les résultats mois par mois, un lien vers un tableur avec graphisme te sera envoyé par email. Ce système devrait à terme être remplacé par une application web, prévu courant 2021.</t>
  </si>
  <si>
    <t>Comment cela se passe-t-il au niveau des impôts ?</t>
  </si>
  <si>
    <t>Ma société étant basée au Pays-Bas, je paye déjà des impôts là-bas pour toi. Comme dans une optique de réduction de coût, tes investissements et les miens sont mutualisés, tes impôts le sont donc aussi.&lt;br&gt;
Cependant, en tant que résident fiscal français, si la somme prêtée (et donc investie) dépasse les 5000 € par an, tu devras déclarer en France les intérêts que tu perçois. Tu paieras ainsi des impôts dessus en tant que plus-value sur revenus mobiliers.&lt;br&gt;
En dessous de 5000 € par an donc, aucune déclaration n’est nécessaire. Au-dessus, il faudra déclarer les 1,25% d'intérêts garantis sur la déclaration d’impôts annuelle, en tant que revenus mobiliers.&lt;br&gt;
Le reste des intérêts n’étant pas garantis, il est considéré comme un don que je te fais. A toi de voir si tu souhaites également le déclarer.&lt;br&gt;
Quoi qu'il en soit, je me tiens à ta disposition si tu as besoin d’aide lors de ta déclaration. Profites-en, c’est inclus dans le service ;-)</t>
  </si>
  <si>
    <t>As-tu une documentation pour que j’y vois plus clair ?</t>
  </si>
  <si>
    <r>
      <t xml:space="preserve">Bien sûr, c’est ici pour le prêt d’argent : </t>
    </r>
    <r>
      <rPr>
        <color rgb="FF1155CC"/>
        <u/>
      </rPr>
      <t>https://www.service-public.fr/particuliers/vosdroits/F1059</t>
    </r>
    <r>
      <t xml:space="preserve"> &lt;br&gt;
Et là, concernant la déclaration d’un don :</t>
    </r>
    <r>
      <rPr>
        <color rgb="FF000000"/>
      </rPr>
      <t xml:space="preserve"> </t>
    </r>
    <r>
      <rPr>
        <color rgb="FF1155CC"/>
        <u/>
      </rPr>
      <t>https://www.impots.gouv.fr/portail/particulier/don-manuel</t>
    </r>
  </si>
  <si>
    <t>Merci !</t>
  </si>
  <si>
    <t>Merci à toi de ta confiance.&lt;br&gt;
Et surtout, n'hésite pas si tu as d'autres questions ou suggestions. Elles sont les bienvenues ! Comme toi :-D</t>
  </si>
  <si>
    <t>Rejected</t>
  </si>
  <si>
    <t>Input</t>
  </si>
  <si>
    <t>Cumul value</t>
  </si>
  <si>
    <t>Monthly rate</t>
  </si>
  <si>
    <t>Cumul rate</t>
  </si>
  <si>
    <t>Monthly gain</t>
  </si>
  <si>
    <t>Minimum</t>
  </si>
  <si>
    <t>Normal</t>
  </si>
</sst>
</file>

<file path=xl/styles.xml><?xml version="1.0" encoding="utf-8"?>
<styleSheet xmlns="http://schemas.openxmlformats.org/spreadsheetml/2006/main" xmlns:x14ac="http://schemas.microsoft.com/office/spreadsheetml/2009/9/ac" xmlns:mc="http://schemas.openxmlformats.org/markup-compatibility/2006">
  <numFmts count="22">
    <numFmt numFmtId="164" formatCode="#,##0.00##\ [$€-1]"/>
    <numFmt numFmtId="165" formatCode="#,##0.00 €"/>
    <numFmt numFmtId="166" formatCode="dd&quot;/&quot;mm&quot;/&quot;yyyy"/>
    <numFmt numFmtId="167" formatCode="#,##0.00\ [$€-1]"/>
    <numFmt numFmtId="168" formatCode="M/d/yyyy H:mm:ss"/>
    <numFmt numFmtId="169" formatCode="M/d/yyyy"/>
    <numFmt numFmtId="170" formatCode="0.000"/>
    <numFmt numFmtId="171" formatCode="mm-dd-yyyy"/>
    <numFmt numFmtId="172" formatCode="#,##0.000 €"/>
    <numFmt numFmtId="173" formatCode="dd&quot;/&quot;mm&quot;/&quot;yyyy&quot; &quot;h&quot;:&quot;mm&quot;:&quot;ss"/>
    <numFmt numFmtId="174" formatCode="m/d/yyyy h:mm:ss"/>
    <numFmt numFmtId="175" formatCode="h:mm:ss am/pm"/>
    <numFmt numFmtId="176" formatCode="dd/MM/yyyy"/>
    <numFmt numFmtId="177" formatCode="0.0%"/>
    <numFmt numFmtId="178" formatCode="0.000%"/>
    <numFmt numFmtId="179" formatCode="0.0"/>
    <numFmt numFmtId="180" formatCode="#,##0.000\ [$€-1]"/>
    <numFmt numFmtId="181" formatCode="#,##0.0000"/>
    <numFmt numFmtId="182" formatCode="#,##0.00#\ [$€-1]"/>
    <numFmt numFmtId="183" formatCode="#,##0.0000000\ [$€-1]"/>
    <numFmt numFmtId="184" formatCode="mm&quot;/&quot;yyyy"/>
    <numFmt numFmtId="185" formatCode="#,##0.00&quot;€&quot;"/>
  </numFmts>
  <fonts count="33">
    <font>
      <sz val="10.0"/>
      <color rgb="FF000000"/>
      <name val="Arial"/>
    </font>
    <font>
      <b/>
    </font>
    <font/>
    <font>
      <b/>
      <color rgb="FF000000"/>
      <name val="Arial"/>
    </font>
    <font>
      <b/>
      <i/>
    </font>
    <font>
      <b/>
      <i/>
      <name val="Arial"/>
    </font>
    <font>
      <name val="Arial"/>
    </font>
    <font>
      <sz val="11.0"/>
      <color rgb="FF000000"/>
      <name val="Inconsolata"/>
    </font>
    <font>
      <i/>
      <sz val="11.0"/>
    </font>
    <font>
      <sz val="11.0"/>
    </font>
    <font>
      <i/>
      <sz val="11.0"/>
      <color rgb="FF000000"/>
    </font>
    <font>
      <sz val="11.0"/>
      <color rgb="FF000000"/>
    </font>
    <font>
      <i/>
      <sz val="11.0"/>
      <name val="Arial"/>
    </font>
    <font>
      <i/>
      <sz val="11.0"/>
      <color rgb="FF000000"/>
      <name val="Arial"/>
    </font>
    <font>
      <u/>
      <sz val="11.0"/>
      <color rgb="FF0000FF"/>
    </font>
    <font>
      <b/>
      <name val="Arial"/>
    </font>
    <font>
      <sz val="10.0"/>
    </font>
    <font>
      <color rgb="FFB7B7B7"/>
      <name val="Arial"/>
    </font>
    <font>
      <b/>
      <color rgb="FF000000"/>
    </font>
    <font>
      <sz val="10.0"/>
      <color rgb="FFFFFFFF"/>
      <name val="Inconsolata"/>
    </font>
    <font>
      <sz val="10.0"/>
      <color rgb="FFFFFFFF"/>
    </font>
    <font>
      <color rgb="FF999999"/>
      <name val="Arial"/>
    </font>
    <font>
      <color rgb="FF000000"/>
      <name val="Arial"/>
    </font>
    <font>
      <color rgb="FF000000"/>
      <name val="Roboto"/>
    </font>
    <font>
      <i/>
      <sz val="9.0"/>
      <color rgb="FF333333"/>
      <name val="Arial"/>
    </font>
    <font>
      <sz val="9.0"/>
      <color rgb="FF333333"/>
      <name val="Arial"/>
    </font>
    <font>
      <b/>
      <sz val="9.0"/>
      <color rgb="FF333333"/>
      <name val="Arial"/>
    </font>
    <font>
      <b/>
      <i/>
      <sz val="10.0"/>
    </font>
    <font>
      <b/>
      <sz val="10.0"/>
    </font>
    <font>
      <u/>
      <color rgb="FF0000FF"/>
    </font>
    <font>
      <u/>
      <color rgb="FF0000FF"/>
    </font>
    <font>
      <u/>
      <color rgb="FF0000FF"/>
    </font>
    <font>
      <u/>
      <color rgb="FF0000FF"/>
    </font>
  </fonts>
  <fills count="19">
    <fill>
      <patternFill patternType="none"/>
    </fill>
    <fill>
      <patternFill patternType="lightGray"/>
    </fill>
    <fill>
      <patternFill patternType="solid">
        <fgColor rgb="FFEFEFEF"/>
        <bgColor rgb="FFEFEFEF"/>
      </patternFill>
    </fill>
    <fill>
      <patternFill patternType="solid">
        <fgColor rgb="FFFFFFFF"/>
        <bgColor rgb="FFFFFFFF"/>
      </patternFill>
    </fill>
    <fill>
      <patternFill patternType="solid">
        <fgColor rgb="FFC9DAF8"/>
        <bgColor rgb="FFC9DAF8"/>
      </patternFill>
    </fill>
    <fill>
      <patternFill patternType="solid">
        <fgColor rgb="FFD9D9D9"/>
        <bgColor rgb="FFD9D9D9"/>
      </patternFill>
    </fill>
    <fill>
      <patternFill patternType="solid">
        <fgColor rgb="FFA4C2F4"/>
        <bgColor rgb="FFA4C2F4"/>
      </patternFill>
    </fill>
    <fill>
      <patternFill patternType="solid">
        <fgColor rgb="FFD9EAD3"/>
        <bgColor rgb="FFD9EAD3"/>
      </patternFill>
    </fill>
    <fill>
      <patternFill patternType="solid">
        <fgColor rgb="FFFFF2CC"/>
        <bgColor rgb="FFFFF2CC"/>
      </patternFill>
    </fill>
    <fill>
      <patternFill patternType="solid">
        <fgColor rgb="FFD9D2E9"/>
        <bgColor rgb="FFD9D2E9"/>
      </patternFill>
    </fill>
    <fill>
      <patternFill patternType="solid">
        <fgColor rgb="FFEAD1DC"/>
        <bgColor rgb="FFEAD1DC"/>
      </patternFill>
    </fill>
    <fill>
      <patternFill patternType="solid">
        <fgColor rgb="FFE6B8AF"/>
        <bgColor rgb="FFE6B8AF"/>
      </patternFill>
    </fill>
    <fill>
      <patternFill patternType="solid">
        <fgColor rgb="FF9FC5E8"/>
        <bgColor rgb="FF9FC5E8"/>
      </patternFill>
    </fill>
    <fill>
      <patternFill patternType="solid">
        <fgColor rgb="FFB6D7A8"/>
        <bgColor rgb="FFB6D7A8"/>
      </patternFill>
    </fill>
    <fill>
      <patternFill patternType="solid">
        <fgColor rgb="FFFFE599"/>
        <bgColor rgb="FFFFE599"/>
      </patternFill>
    </fill>
    <fill>
      <patternFill patternType="solid">
        <fgColor rgb="FFEA9999"/>
        <bgColor rgb="FFEA9999"/>
      </patternFill>
    </fill>
    <fill>
      <patternFill patternType="solid">
        <fgColor rgb="FFF9CB9C"/>
        <bgColor rgb="FFF9CB9C"/>
      </patternFill>
    </fill>
    <fill>
      <patternFill patternType="solid">
        <fgColor rgb="FFF4CCCC"/>
        <bgColor rgb="FFF4CCCC"/>
      </patternFill>
    </fill>
    <fill>
      <patternFill patternType="solid">
        <fgColor rgb="FFCFE2F3"/>
        <bgColor rgb="FFCFE2F3"/>
      </patternFill>
    </fill>
  </fills>
  <borders count="7">
    <border/>
    <border>
      <right style="thin">
        <color rgb="FF000000"/>
      </right>
      <top style="thin">
        <color rgb="FF000000"/>
      </top>
    </border>
    <border>
      <top style="thin">
        <color rgb="FF000000"/>
      </top>
    </border>
    <border>
      <right style="thin">
        <color rgb="FF000000"/>
      </right>
    </border>
    <border>
      <left style="thin">
        <color rgb="FF000000"/>
      </left>
    </border>
    <border>
      <bottom style="thin">
        <color rgb="FF000000"/>
      </bottom>
    </border>
    <border>
      <left style="thin">
        <color rgb="FF000000"/>
      </left>
      <top style="thin">
        <color rgb="FF000000"/>
      </top>
    </border>
  </borders>
  <cellStyleXfs count="1">
    <xf borderId="0" fillId="0" fontId="0" numFmtId="0" applyAlignment="1" applyFont="1"/>
  </cellStyleXfs>
  <cellXfs count="349">
    <xf borderId="0" fillId="0" fontId="0" numFmtId="0" xfId="0" applyAlignment="1" applyFont="1">
      <alignment readingOrder="0" shrinkToFit="0" vertical="bottom" wrapText="1"/>
    </xf>
    <xf borderId="1" fillId="0" fontId="1" numFmtId="0" xfId="0" applyAlignment="1" applyBorder="1" applyFont="1">
      <alignment horizontal="center" readingOrder="0" shrinkToFit="0" wrapText="1"/>
    </xf>
    <xf borderId="2" fillId="2" fontId="2" numFmtId="0" xfId="0" applyAlignment="1" applyBorder="1" applyFill="1" applyFont="1">
      <alignment horizontal="center" shrinkToFit="0" wrapText="1"/>
    </xf>
    <xf borderId="3" fillId="0" fontId="1" numFmtId="0" xfId="0" applyAlignment="1" applyBorder="1" applyFont="1">
      <alignment horizontal="center" readingOrder="0" shrinkToFit="0" wrapText="1"/>
    </xf>
    <xf borderId="0" fillId="2" fontId="2" numFmtId="0" xfId="0" applyAlignment="1" applyFont="1">
      <alignment horizontal="center" shrinkToFit="0" wrapText="1"/>
    </xf>
    <xf borderId="0" fillId="2" fontId="2" numFmtId="0" xfId="0" applyAlignment="1" applyFont="1">
      <alignment horizontal="center" readingOrder="0" shrinkToFit="0" wrapText="1"/>
    </xf>
    <xf borderId="2" fillId="0" fontId="1" numFmtId="0" xfId="0" applyAlignment="1" applyBorder="1" applyFont="1">
      <alignment horizontal="center" readingOrder="0" shrinkToFit="0" wrapText="1"/>
    </xf>
    <xf borderId="0" fillId="3" fontId="3" numFmtId="0" xfId="0" applyAlignment="1" applyFill="1" applyFont="1">
      <alignment horizontal="center" readingOrder="0" shrinkToFit="0" wrapText="1"/>
    </xf>
    <xf borderId="0" fillId="0" fontId="2" numFmtId="0" xfId="0" applyAlignment="1" applyFont="1">
      <alignment horizontal="center" readingOrder="0" shrinkToFit="0" wrapText="1"/>
    </xf>
    <xf borderId="0" fillId="4" fontId="4" numFmtId="0" xfId="0" applyAlignment="1" applyFill="1" applyFont="1">
      <alignment horizontal="center" readingOrder="0" shrinkToFit="0" wrapText="1"/>
    </xf>
    <xf borderId="0" fillId="4" fontId="4" numFmtId="0" xfId="0" applyAlignment="1" applyFont="1">
      <alignment horizontal="center" readingOrder="0" shrinkToFit="0" wrapText="0"/>
    </xf>
    <xf borderId="0" fillId="4" fontId="4" numFmtId="164" xfId="0" applyAlignment="1" applyFont="1" applyNumberFormat="1">
      <alignment horizontal="center" readingOrder="0" shrinkToFit="0" wrapText="1"/>
    </xf>
    <xf borderId="0" fillId="4" fontId="4" numFmtId="165" xfId="0" applyAlignment="1" applyFont="1" applyNumberFormat="1">
      <alignment horizontal="center" readingOrder="0" shrinkToFit="0" wrapText="1"/>
    </xf>
    <xf borderId="0" fillId="4" fontId="4" numFmtId="165" xfId="0" applyAlignment="1" applyFont="1" applyNumberFormat="1">
      <alignment horizontal="center" readingOrder="0" shrinkToFit="0" wrapText="0"/>
    </xf>
    <xf borderId="0" fillId="0" fontId="2" numFmtId="166" xfId="0" applyAlignment="1" applyFont="1" applyNumberFormat="1">
      <alignment readingOrder="0" shrinkToFit="0" wrapText="1"/>
    </xf>
    <xf borderId="0" fillId="0" fontId="2" numFmtId="167" xfId="0" applyAlignment="1" applyFont="1" applyNumberFormat="1">
      <alignment readingOrder="0" shrinkToFit="0" wrapText="1"/>
    </xf>
    <xf borderId="0" fillId="0" fontId="2" numFmtId="10" xfId="0" applyAlignment="1" applyFont="1" applyNumberFormat="1">
      <alignment readingOrder="0" shrinkToFit="0" wrapText="1"/>
    </xf>
    <xf borderId="0" fillId="0" fontId="2" numFmtId="0" xfId="0" applyAlignment="1" applyFont="1">
      <alignment readingOrder="0" shrinkToFit="0" wrapText="1"/>
    </xf>
    <xf borderId="0" fillId="0" fontId="2" numFmtId="167" xfId="0" applyAlignment="1" applyFont="1" applyNumberFormat="1">
      <alignment shrinkToFit="0" wrapText="1"/>
    </xf>
    <xf borderId="0" fillId="0" fontId="2" numFmtId="0" xfId="0" applyAlignment="1" applyFont="1">
      <alignment readingOrder="0" shrinkToFit="0" wrapText="1"/>
    </xf>
    <xf borderId="0" fillId="0" fontId="2" numFmtId="49" xfId="0" applyAlignment="1" applyFont="1" applyNumberFormat="1">
      <alignment readingOrder="0" shrinkToFit="0" wrapText="1"/>
    </xf>
    <xf borderId="0" fillId="0" fontId="2" numFmtId="49" xfId="0" applyAlignment="1" applyFont="1" applyNumberFormat="1">
      <alignment readingOrder="0" shrinkToFit="0" wrapText="0"/>
    </xf>
    <xf borderId="4" fillId="4" fontId="2" numFmtId="0" xfId="0" applyAlignment="1" applyBorder="1" applyFont="1">
      <alignment shrinkToFit="0" wrapText="1"/>
    </xf>
    <xf borderId="0" fillId="4" fontId="2" numFmtId="49" xfId="0" applyAlignment="1" applyFont="1" applyNumberFormat="1">
      <alignment readingOrder="0" shrinkToFit="0" wrapText="1"/>
    </xf>
    <xf borderId="0" fillId="4" fontId="5" numFmtId="168" xfId="0" applyAlignment="1" applyFont="1" applyNumberFormat="1">
      <alignment horizontal="center" shrinkToFit="0" vertical="bottom" wrapText="1"/>
    </xf>
    <xf borderId="0" fillId="4" fontId="5" numFmtId="169" xfId="0" applyAlignment="1" applyFont="1" applyNumberFormat="1">
      <alignment horizontal="center" shrinkToFit="0" vertical="bottom" wrapText="1"/>
    </xf>
    <xf borderId="0" fillId="4" fontId="5" numFmtId="49" xfId="0" applyAlignment="1" applyFont="1" applyNumberFormat="1">
      <alignment horizontal="center" readingOrder="0" shrinkToFit="0" vertical="bottom" wrapText="1"/>
    </xf>
    <xf borderId="0" fillId="4" fontId="5" numFmtId="49" xfId="0" applyAlignment="1" applyFont="1" applyNumberFormat="1">
      <alignment horizontal="center" readingOrder="0" shrinkToFit="0" vertical="bottom" wrapText="0"/>
    </xf>
    <xf borderId="0" fillId="4" fontId="5" numFmtId="170" xfId="0" applyAlignment="1" applyFont="1" applyNumberFormat="1">
      <alignment horizontal="center" shrinkToFit="0" vertical="bottom" wrapText="1"/>
    </xf>
    <xf borderId="0" fillId="4" fontId="5" numFmtId="167" xfId="0" applyAlignment="1" applyFont="1" applyNumberFormat="1">
      <alignment horizontal="center" shrinkToFit="0" vertical="bottom" wrapText="1"/>
    </xf>
    <xf borderId="0" fillId="4" fontId="6" numFmtId="165" xfId="0" applyAlignment="1" applyFont="1" applyNumberFormat="1">
      <alignment shrinkToFit="0" vertical="bottom" wrapText="0"/>
    </xf>
    <xf borderId="0" fillId="4" fontId="6" numFmtId="49" xfId="0" applyAlignment="1" applyFont="1" applyNumberFormat="1">
      <alignment shrinkToFit="0" vertical="bottom" wrapText="0"/>
    </xf>
    <xf borderId="0" fillId="4" fontId="2" numFmtId="49" xfId="0" applyAlignment="1" applyFont="1" applyNumberFormat="1">
      <alignment readingOrder="0" shrinkToFit="0" wrapText="0"/>
    </xf>
    <xf borderId="4" fillId="5" fontId="2" numFmtId="0" xfId="0" applyAlignment="1" applyBorder="1" applyFill="1" applyFont="1">
      <alignment shrinkToFit="0" wrapText="1"/>
    </xf>
    <xf borderId="0" fillId="5" fontId="2" numFmtId="4" xfId="0" applyAlignment="1" applyFont="1" applyNumberFormat="1">
      <alignment shrinkToFit="0" wrapText="1"/>
    </xf>
    <xf borderId="0" fillId="5" fontId="2" numFmtId="168" xfId="0" applyAlignment="1" applyFont="1" applyNumberFormat="1">
      <alignment readingOrder="0" shrinkToFit="0" wrapText="1"/>
    </xf>
    <xf borderId="0" fillId="5" fontId="2" numFmtId="169" xfId="0" applyAlignment="1" applyFont="1" applyNumberFormat="1">
      <alignment readingOrder="0" shrinkToFit="0" wrapText="1"/>
    </xf>
    <xf borderId="0" fillId="5" fontId="2" numFmtId="0" xfId="0" applyAlignment="1" applyFont="1">
      <alignment shrinkToFit="0" wrapText="1"/>
    </xf>
    <xf borderId="0" fillId="5" fontId="2" numFmtId="0" xfId="0" applyAlignment="1" applyFont="1">
      <alignment shrinkToFit="0" wrapText="0"/>
    </xf>
    <xf borderId="0" fillId="5" fontId="2" numFmtId="3" xfId="0" applyAlignment="1" applyFont="1" applyNumberFormat="1">
      <alignment shrinkToFit="0" wrapText="1"/>
    </xf>
    <xf borderId="0" fillId="5" fontId="2" numFmtId="170" xfId="0" applyAlignment="1" applyFont="1" applyNumberFormat="1">
      <alignment shrinkToFit="0" wrapText="1"/>
    </xf>
    <xf borderId="4" fillId="5" fontId="2" numFmtId="0" xfId="0" applyAlignment="1" applyBorder="1" applyFont="1">
      <alignment shrinkToFit="0" wrapText="0"/>
    </xf>
    <xf borderId="0" fillId="5" fontId="2" numFmtId="49" xfId="0" applyAlignment="1" applyFont="1" applyNumberFormat="1">
      <alignment shrinkToFit="0" wrapText="0"/>
    </xf>
    <xf borderId="0" fillId="5" fontId="2" numFmtId="0" xfId="0" applyAlignment="1" applyFont="1">
      <alignment shrinkToFit="0" wrapText="0"/>
    </xf>
    <xf borderId="0" fillId="5" fontId="2" numFmtId="49" xfId="0" applyAlignment="1" applyFont="1" applyNumberFormat="1">
      <alignment readingOrder="0" shrinkToFit="0" wrapText="0"/>
    </xf>
    <xf borderId="0" fillId="0" fontId="2" numFmtId="49" xfId="0" applyAlignment="1" applyFont="1" applyNumberFormat="1">
      <alignment shrinkToFit="0" wrapText="1"/>
    </xf>
    <xf borderId="0" fillId="0" fontId="2" numFmtId="49" xfId="0" applyAlignment="1" applyFont="1" applyNumberFormat="1">
      <alignment shrinkToFit="0" wrapText="0"/>
    </xf>
    <xf borderId="0" fillId="0" fontId="2" numFmtId="171" xfId="0" applyAlignment="1" applyFont="1" applyNumberFormat="1">
      <alignment readingOrder="0" shrinkToFit="0" wrapText="1"/>
    </xf>
    <xf borderId="0" fillId="0" fontId="2" numFmtId="20" xfId="0" applyAlignment="1" applyFont="1" applyNumberFormat="1">
      <alignment readingOrder="0" shrinkToFit="0" wrapText="1"/>
    </xf>
    <xf borderId="0" fillId="0" fontId="2" numFmtId="0" xfId="0" applyAlignment="1" applyFont="1">
      <alignment readingOrder="0" shrinkToFit="0" wrapText="0"/>
    </xf>
    <xf borderId="0" fillId="0" fontId="2" numFmtId="3" xfId="0" applyAlignment="1" applyFont="1" applyNumberFormat="1">
      <alignment readingOrder="0" shrinkToFit="0" wrapText="1"/>
    </xf>
    <xf borderId="0" fillId="4" fontId="4" numFmtId="169" xfId="0" applyAlignment="1" applyFont="1" applyNumberFormat="1">
      <alignment horizontal="center" readingOrder="0" shrinkToFit="0" wrapText="1"/>
    </xf>
    <xf borderId="0" fillId="4" fontId="4" numFmtId="49" xfId="0" applyAlignment="1" applyFont="1" applyNumberFormat="1">
      <alignment horizontal="center" readingOrder="0" shrinkToFit="0" wrapText="1"/>
    </xf>
    <xf borderId="0" fillId="4" fontId="4" numFmtId="49" xfId="0" applyAlignment="1" applyFont="1" applyNumberFormat="1">
      <alignment horizontal="center" readingOrder="0" shrinkToFit="0" wrapText="0"/>
    </xf>
    <xf borderId="0" fillId="4" fontId="4" numFmtId="172" xfId="0" applyAlignment="1" applyFont="1" applyNumberFormat="1">
      <alignment horizontal="center" readingOrder="0" shrinkToFit="0" wrapText="1"/>
    </xf>
    <xf borderId="0" fillId="4" fontId="4" numFmtId="167" xfId="0" applyAlignment="1" applyFont="1" applyNumberFormat="1">
      <alignment horizontal="center" readingOrder="0" shrinkToFit="0" wrapText="1"/>
    </xf>
    <xf borderId="0" fillId="0" fontId="2" numFmtId="169" xfId="0" applyAlignment="1" applyFont="1" applyNumberFormat="1">
      <alignment readingOrder="0" shrinkToFit="0" wrapText="1"/>
    </xf>
    <xf borderId="0" fillId="0" fontId="2" numFmtId="0" xfId="0" applyAlignment="1" applyFont="1">
      <alignment shrinkToFit="0" wrapText="0"/>
    </xf>
    <xf borderId="0" fillId="0" fontId="2" numFmtId="3" xfId="0" applyAlignment="1" applyFont="1" applyNumberFormat="1">
      <alignment shrinkToFit="0" wrapText="1"/>
    </xf>
    <xf borderId="0" fillId="0" fontId="2" numFmtId="172" xfId="0" applyAlignment="1" applyFont="1" applyNumberFormat="1">
      <alignment readingOrder="0" shrinkToFit="0" wrapText="1"/>
    </xf>
    <xf borderId="0" fillId="0" fontId="2" numFmtId="165" xfId="0" applyAlignment="1" applyFont="1" applyNumberFormat="1">
      <alignment readingOrder="0" shrinkToFit="0" wrapText="1"/>
    </xf>
    <xf borderId="0" fillId="0" fontId="2" numFmtId="0" xfId="0" applyAlignment="1" applyFont="1">
      <alignment shrinkToFit="0" wrapText="0"/>
    </xf>
    <xf borderId="0" fillId="0" fontId="6" numFmtId="49" xfId="0" applyAlignment="1" applyFont="1" applyNumberFormat="1">
      <alignment shrinkToFit="0" vertical="bottom" wrapText="1"/>
    </xf>
    <xf borderId="0" fillId="6" fontId="4" numFmtId="167" xfId="0" applyAlignment="1" applyFill="1" applyFont="1" applyNumberFormat="1">
      <alignment horizontal="center" readingOrder="0" shrinkToFit="0" wrapText="1"/>
    </xf>
    <xf borderId="0" fillId="0" fontId="1" numFmtId="3" xfId="0" applyAlignment="1" applyFont="1" applyNumberFormat="1">
      <alignment shrinkToFit="0" wrapText="1"/>
    </xf>
    <xf borderId="0" fillId="0" fontId="1" numFmtId="3" xfId="0" applyAlignment="1" applyFont="1" applyNumberFormat="1">
      <alignment readingOrder="0" shrinkToFit="0" wrapText="1"/>
    </xf>
    <xf borderId="0" fillId="0" fontId="1" numFmtId="173" xfId="0" applyAlignment="1" applyFont="1" applyNumberFormat="1">
      <alignment readingOrder="0" shrinkToFit="0" wrapText="1"/>
    </xf>
    <xf borderId="0" fillId="0" fontId="4" numFmtId="0" xfId="0" applyAlignment="1" applyFont="1">
      <alignment readingOrder="0" shrinkToFit="0" wrapText="1"/>
    </xf>
    <xf borderId="0" fillId="0" fontId="2" numFmtId="174" xfId="0" applyAlignment="1" applyFont="1" applyNumberFormat="1">
      <alignment shrinkToFit="0" wrapText="1"/>
    </xf>
    <xf borderId="0" fillId="0" fontId="2" numFmtId="169" xfId="0" applyAlignment="1" applyFont="1" applyNumberFormat="1">
      <alignment shrinkToFit="0" wrapText="1"/>
    </xf>
    <xf borderId="0" fillId="0" fontId="2" numFmtId="175" xfId="0" applyAlignment="1" applyFont="1" applyNumberFormat="1">
      <alignment shrinkToFit="0" wrapText="1"/>
    </xf>
    <xf borderId="2" fillId="0" fontId="4" numFmtId="0" xfId="0" applyAlignment="1" applyBorder="1" applyFont="1">
      <alignment readingOrder="0" shrinkToFit="0" wrapText="1"/>
    </xf>
    <xf borderId="2" fillId="0" fontId="2" numFmtId="0" xfId="0" applyAlignment="1" applyBorder="1" applyFont="1">
      <alignment readingOrder="0" shrinkToFit="0" wrapText="1"/>
    </xf>
    <xf borderId="0" fillId="0" fontId="2" numFmtId="19" xfId="0" applyAlignment="1" applyFont="1" applyNumberFormat="1">
      <alignment readingOrder="0" shrinkToFit="0" wrapText="1"/>
    </xf>
    <xf borderId="0" fillId="3" fontId="7" numFmtId="0" xfId="0" applyAlignment="1" applyFont="1">
      <alignment shrinkToFit="0" wrapText="1"/>
    </xf>
    <xf borderId="4" fillId="0" fontId="6" numFmtId="164" xfId="0" applyAlignment="1" applyBorder="1" applyFont="1" applyNumberFormat="1">
      <alignment horizontal="right" shrinkToFit="0" vertical="bottom" wrapText="1"/>
    </xf>
    <xf borderId="3" fillId="0" fontId="6" numFmtId="164" xfId="0" applyAlignment="1" applyBorder="1" applyFont="1" applyNumberFormat="1">
      <alignment horizontal="right" shrinkToFit="0" vertical="bottom" wrapText="1"/>
    </xf>
    <xf borderId="0" fillId="0" fontId="2" numFmtId="176" xfId="0" applyAlignment="1" applyFont="1" applyNumberFormat="1">
      <alignment shrinkToFit="0" wrapText="1"/>
    </xf>
    <xf borderId="2" fillId="4" fontId="8" numFmtId="0" xfId="0" applyAlignment="1" applyBorder="1" applyFont="1">
      <alignment readingOrder="0" shrinkToFit="0" wrapText="1"/>
    </xf>
    <xf borderId="2" fillId="4" fontId="9" numFmtId="165" xfId="0" applyAlignment="1" applyBorder="1" applyFont="1" applyNumberFormat="1">
      <alignment shrinkToFit="0" wrapText="1"/>
    </xf>
    <xf borderId="0" fillId="4" fontId="10" numFmtId="0" xfId="0" applyAlignment="1" applyFont="1">
      <alignment readingOrder="0" shrinkToFit="0" vertical="bottom" wrapText="0"/>
    </xf>
    <xf borderId="0" fillId="4" fontId="11" numFmtId="10" xfId="0" applyAlignment="1" applyFont="1" applyNumberFormat="1">
      <alignment readingOrder="0" shrinkToFit="0" vertical="bottom" wrapText="0"/>
    </xf>
    <xf borderId="0" fillId="4" fontId="8" numFmtId="0" xfId="0" applyAlignment="1" applyFont="1">
      <alignment readingOrder="0" shrinkToFit="0" wrapText="1"/>
    </xf>
    <xf borderId="0" fillId="4" fontId="9" numFmtId="165" xfId="0" applyAlignment="1" applyFont="1" applyNumberFormat="1">
      <alignment shrinkToFit="0" wrapText="1"/>
    </xf>
    <xf borderId="0" fillId="4" fontId="9" numFmtId="10" xfId="0" applyAlignment="1" applyFont="1" applyNumberFormat="1">
      <alignment shrinkToFit="0" wrapText="1"/>
    </xf>
    <xf borderId="0" fillId="4" fontId="9" numFmtId="165" xfId="0" applyAlignment="1" applyFont="1" applyNumberFormat="1">
      <alignment readingOrder="0" shrinkToFit="0" wrapText="1"/>
    </xf>
    <xf borderId="0" fillId="4" fontId="9" numFmtId="0" xfId="0" applyAlignment="1" applyFont="1">
      <alignment horizontal="right" shrinkToFit="0" vertical="bottom" wrapText="1"/>
    </xf>
    <xf borderId="0" fillId="4" fontId="9" numFmtId="0" xfId="0" applyAlignment="1" applyFont="1">
      <alignment horizontal="right" shrinkToFit="0" wrapText="1"/>
    </xf>
    <xf borderId="0" fillId="4" fontId="9" numFmtId="3" xfId="0" applyAlignment="1" applyFont="1" applyNumberFormat="1">
      <alignment horizontal="right" shrinkToFit="0" vertical="bottom" wrapText="1"/>
    </xf>
    <xf borderId="2" fillId="7" fontId="10" numFmtId="0" xfId="0" applyAlignment="1" applyBorder="1" applyFill="1" applyFont="1">
      <alignment readingOrder="0" shrinkToFit="0" vertical="bottom" wrapText="0"/>
    </xf>
    <xf borderId="2" fillId="7" fontId="11" numFmtId="165" xfId="0" applyAlignment="1" applyBorder="1" applyFont="1" applyNumberFormat="1">
      <alignment readingOrder="0" shrinkToFit="0" vertical="bottom" wrapText="0"/>
    </xf>
    <xf borderId="0" fillId="7" fontId="10" numFmtId="0" xfId="0" applyAlignment="1" applyFont="1">
      <alignment readingOrder="0" shrinkToFit="0" vertical="bottom" wrapText="0"/>
    </xf>
    <xf borderId="0" fillId="7" fontId="11" numFmtId="165" xfId="0" applyAlignment="1" applyFont="1" applyNumberFormat="1">
      <alignment readingOrder="0" shrinkToFit="0" vertical="bottom" wrapText="0"/>
    </xf>
    <xf borderId="0" fillId="7" fontId="8" numFmtId="0" xfId="0" applyAlignment="1" applyFont="1">
      <alignment readingOrder="0" shrinkToFit="0" wrapText="1"/>
    </xf>
    <xf borderId="0" fillId="7" fontId="9" numFmtId="10" xfId="0" applyAlignment="1" applyFont="1" applyNumberFormat="1">
      <alignment shrinkToFit="0" wrapText="1"/>
    </xf>
    <xf borderId="0" fillId="7" fontId="9" numFmtId="165" xfId="0" applyAlignment="1" applyFont="1" applyNumberFormat="1">
      <alignment shrinkToFit="0" wrapText="1"/>
    </xf>
    <xf borderId="0" fillId="7" fontId="9" numFmtId="165" xfId="0" applyAlignment="1" applyFont="1" applyNumberFormat="1">
      <alignment readingOrder="0" shrinkToFit="0" wrapText="1"/>
    </xf>
    <xf borderId="0" fillId="7" fontId="9" numFmtId="167" xfId="0" applyAlignment="1" applyFont="1" applyNumberFormat="1">
      <alignment shrinkToFit="0" wrapText="1"/>
    </xf>
    <xf borderId="0" fillId="7" fontId="9" numFmtId="165" xfId="0" applyAlignment="1" applyFont="1" applyNumberFormat="1">
      <alignment horizontal="right" readingOrder="0" shrinkToFit="0" wrapText="1"/>
    </xf>
    <xf borderId="5" fillId="7" fontId="8" numFmtId="0" xfId="0" applyAlignment="1" applyBorder="1" applyFont="1">
      <alignment readingOrder="0" shrinkToFit="0" wrapText="1"/>
    </xf>
    <xf borderId="5" fillId="7" fontId="9" numFmtId="9" xfId="0" applyAlignment="1" applyBorder="1" applyFont="1" applyNumberFormat="1">
      <alignment horizontal="right" readingOrder="0" shrinkToFit="0" wrapText="1"/>
    </xf>
    <xf borderId="0" fillId="8" fontId="8" numFmtId="0" xfId="0" applyAlignment="1" applyFill="1" applyFont="1">
      <alignment readingOrder="0" shrinkToFit="0" wrapText="1"/>
    </xf>
    <xf borderId="0" fillId="8" fontId="9" numFmtId="165" xfId="0" applyAlignment="1" applyFont="1" applyNumberFormat="1">
      <alignment readingOrder="0" shrinkToFit="0" wrapText="1"/>
    </xf>
    <xf borderId="5" fillId="8" fontId="8" numFmtId="0" xfId="0" applyAlignment="1" applyBorder="1" applyFont="1">
      <alignment readingOrder="0" shrinkToFit="0" wrapText="1"/>
    </xf>
    <xf borderId="5" fillId="8" fontId="9" numFmtId="165" xfId="0" applyAlignment="1" applyBorder="1" applyFont="1" applyNumberFormat="1">
      <alignment readingOrder="0" shrinkToFit="0" wrapText="1"/>
    </xf>
    <xf borderId="0" fillId="9" fontId="8" numFmtId="0" xfId="0" applyAlignment="1" applyFill="1" applyFont="1">
      <alignment readingOrder="0" shrinkToFit="0" wrapText="1"/>
    </xf>
    <xf borderId="0" fillId="9" fontId="9" numFmtId="0" xfId="0" applyAlignment="1" applyFont="1">
      <alignment horizontal="right" shrinkToFit="0" vertical="bottom" wrapText="1"/>
    </xf>
    <xf borderId="0" fillId="10" fontId="12" numFmtId="0" xfId="0" applyAlignment="1" applyFill="1" applyFont="1">
      <alignment shrinkToFit="0" vertical="bottom" wrapText="1"/>
    </xf>
    <xf borderId="0" fillId="10" fontId="9" numFmtId="0" xfId="0" applyAlignment="1" applyFont="1">
      <alignment horizontal="right" shrinkToFit="0" wrapText="1"/>
    </xf>
    <xf borderId="0" fillId="10" fontId="8" numFmtId="0" xfId="0" applyAlignment="1" applyFont="1">
      <alignment readingOrder="0" shrinkToFit="0" wrapText="1"/>
    </xf>
    <xf borderId="0" fillId="10" fontId="9" numFmtId="165" xfId="0" applyAlignment="1" applyFont="1" applyNumberFormat="1">
      <alignment shrinkToFit="0" wrapText="1"/>
    </xf>
    <xf borderId="0" fillId="10" fontId="9" numFmtId="165" xfId="0" applyAlignment="1" applyFont="1" applyNumberFormat="1">
      <alignment shrinkToFit="0" wrapText="1"/>
    </xf>
    <xf borderId="0" fillId="10" fontId="9" numFmtId="10" xfId="0" applyAlignment="1" applyFont="1" applyNumberFormat="1">
      <alignment horizontal="right" shrinkToFit="0" wrapText="1"/>
    </xf>
    <xf borderId="0" fillId="10" fontId="13" numFmtId="0" xfId="0" applyAlignment="1" applyFont="1">
      <alignment horizontal="left" readingOrder="0" shrinkToFit="0" wrapText="1"/>
    </xf>
    <xf borderId="2" fillId="11" fontId="8" numFmtId="0" xfId="0" applyAlignment="1" applyBorder="1" applyFill="1" applyFont="1">
      <alignment readingOrder="0" shrinkToFit="0" wrapText="1"/>
    </xf>
    <xf borderId="2" fillId="11" fontId="9" numFmtId="165" xfId="0" applyAlignment="1" applyBorder="1" applyFont="1" applyNumberFormat="1">
      <alignment readingOrder="0" shrinkToFit="0" wrapText="1"/>
    </xf>
    <xf borderId="0" fillId="11" fontId="8" numFmtId="0" xfId="0" applyAlignment="1" applyFont="1">
      <alignment readingOrder="0" shrinkToFit="0" wrapText="1"/>
    </xf>
    <xf borderId="0" fillId="11" fontId="9" numFmtId="165" xfId="0" applyAlignment="1" applyFont="1" applyNumberFormat="1">
      <alignment readingOrder="0" shrinkToFit="0" wrapText="1"/>
    </xf>
    <xf borderId="0" fillId="11" fontId="9" numFmtId="177" xfId="0" applyAlignment="1" applyFont="1" applyNumberFormat="1">
      <alignment horizontal="right" readingOrder="0" shrinkToFit="0" wrapText="1"/>
    </xf>
    <xf borderId="2" fillId="12" fontId="8" numFmtId="0" xfId="0" applyAlignment="1" applyBorder="1" applyFill="1" applyFont="1">
      <alignment readingOrder="0" shrinkToFit="0" wrapText="1"/>
    </xf>
    <xf borderId="2" fillId="12" fontId="9" numFmtId="178" xfId="0" applyAlignment="1" applyBorder="1" applyFont="1" applyNumberFormat="1">
      <alignment readingOrder="0" shrinkToFit="0" wrapText="1"/>
    </xf>
    <xf borderId="0" fillId="12" fontId="8" numFmtId="0" xfId="0" applyAlignment="1" applyFont="1">
      <alignment readingOrder="0" shrinkToFit="0" wrapText="1"/>
    </xf>
    <xf borderId="0" fillId="12" fontId="9" numFmtId="178" xfId="0" applyAlignment="1" applyFont="1" applyNumberFormat="1">
      <alignment readingOrder="0" shrinkToFit="0" wrapText="1"/>
    </xf>
    <xf borderId="0" fillId="12" fontId="9" numFmtId="165" xfId="0" applyAlignment="1" applyFont="1" applyNumberFormat="1">
      <alignment readingOrder="0" shrinkToFit="0" wrapText="1"/>
    </xf>
    <xf borderId="2" fillId="7" fontId="8" numFmtId="0" xfId="0" applyAlignment="1" applyBorder="1" applyFill="1" applyFont="1">
      <alignment readingOrder="0" shrinkToFit="0" wrapText="1"/>
    </xf>
    <xf borderId="2" fillId="7" fontId="9" numFmtId="167" xfId="0" applyAlignment="1" applyBorder="1" applyFont="1" applyNumberFormat="1">
      <alignment horizontal="right" readingOrder="0" shrinkToFit="0" wrapText="1"/>
    </xf>
    <xf borderId="0" fillId="7" fontId="8" numFmtId="0" xfId="0" applyAlignment="1" applyFont="1">
      <alignment readingOrder="0" shrinkToFit="0" wrapText="1"/>
    </xf>
    <xf borderId="0" fillId="7" fontId="9" numFmtId="167" xfId="0" applyAlignment="1" applyFont="1" applyNumberFormat="1">
      <alignment horizontal="right" readingOrder="0" shrinkToFit="0" wrapText="1"/>
    </xf>
    <xf borderId="0" fillId="7" fontId="9" numFmtId="179" xfId="0" applyAlignment="1" applyFont="1" applyNumberFormat="1">
      <alignment horizontal="right" readingOrder="0" shrinkToFit="0" wrapText="1"/>
    </xf>
    <xf borderId="0" fillId="7" fontId="9" numFmtId="165" xfId="0" applyAlignment="1" applyFont="1" applyNumberFormat="1">
      <alignment horizontal="right" readingOrder="0" shrinkToFit="0" wrapText="1"/>
    </xf>
    <xf borderId="0" fillId="7" fontId="9" numFmtId="10" xfId="0" applyAlignment="1" applyFont="1" applyNumberFormat="1">
      <alignment horizontal="right" readingOrder="0" shrinkToFit="0" wrapText="1"/>
    </xf>
    <xf borderId="0" fillId="7" fontId="9" numFmtId="3" xfId="0" applyAlignment="1" applyFont="1" applyNumberFormat="1">
      <alignment horizontal="right" readingOrder="0" shrinkToFit="0" wrapText="1"/>
    </xf>
    <xf borderId="0" fillId="7" fontId="9" numFmtId="46" xfId="0" applyAlignment="1" applyFont="1" applyNumberFormat="1">
      <alignment horizontal="right" readingOrder="0" shrinkToFit="0" wrapText="1"/>
    </xf>
    <xf borderId="0" fillId="7" fontId="14" numFmtId="3" xfId="0" applyAlignment="1" applyFont="1" applyNumberFormat="1">
      <alignment horizontal="right" readingOrder="0" shrinkToFit="0" wrapText="1"/>
    </xf>
    <xf borderId="0" fillId="13" fontId="4" numFmtId="0" xfId="0" applyAlignment="1" applyFill="1" applyFont="1">
      <alignment horizontal="center" readingOrder="0" shrinkToFit="0" wrapText="1"/>
    </xf>
    <xf borderId="0" fillId="13" fontId="4" numFmtId="0" xfId="0" applyAlignment="1" applyFont="1">
      <alignment horizontal="center" readingOrder="0" shrinkToFit="0" wrapText="1"/>
    </xf>
    <xf borderId="0" fillId="13" fontId="4" numFmtId="0" xfId="0" applyAlignment="1" applyFont="1">
      <alignment horizontal="center" readingOrder="0" shrinkToFit="0" wrapText="0"/>
    </xf>
    <xf borderId="4" fillId="14" fontId="4" numFmtId="3" xfId="0" applyAlignment="1" applyBorder="1" applyFill="1" applyFont="1" applyNumberFormat="1">
      <alignment horizontal="center" readingOrder="0" shrinkToFit="0" wrapText="1"/>
    </xf>
    <xf borderId="0" fillId="14" fontId="4" numFmtId="164" xfId="0" applyAlignment="1" applyFont="1" applyNumberFormat="1">
      <alignment horizontal="center" readingOrder="0" shrinkToFit="0" wrapText="1"/>
    </xf>
    <xf borderId="0" fillId="14" fontId="4" numFmtId="167" xfId="0" applyAlignment="1" applyFont="1" applyNumberFormat="1">
      <alignment horizontal="center" readingOrder="0" shrinkToFit="0" wrapText="1"/>
    </xf>
    <xf borderId="4" fillId="6" fontId="4" numFmtId="167" xfId="0" applyAlignment="1" applyBorder="1" applyFont="1" applyNumberFormat="1">
      <alignment horizontal="center" readingOrder="0" shrinkToFit="0" wrapText="1"/>
    </xf>
    <xf borderId="0" fillId="6" fontId="4" numFmtId="0" xfId="0" applyAlignment="1" applyFont="1">
      <alignment horizontal="center" readingOrder="0" shrinkToFit="0" wrapText="1"/>
    </xf>
    <xf borderId="0" fillId="6" fontId="4" numFmtId="10" xfId="0" applyAlignment="1" applyFont="1" applyNumberFormat="1">
      <alignment horizontal="center" readingOrder="0" shrinkToFit="0" wrapText="1"/>
    </xf>
    <xf borderId="4" fillId="15" fontId="4" numFmtId="167" xfId="0" applyAlignment="1" applyBorder="1" applyFill="1" applyFont="1" applyNumberFormat="1">
      <alignment horizontal="center" readingOrder="0" shrinkToFit="0" wrapText="1"/>
    </xf>
    <xf borderId="0" fillId="15" fontId="4" numFmtId="167" xfId="0" applyAlignment="1" applyFont="1" applyNumberFormat="1">
      <alignment horizontal="center" readingOrder="0" shrinkToFit="0" wrapText="0"/>
    </xf>
    <xf borderId="0" fillId="15" fontId="4" numFmtId="167" xfId="0" applyAlignment="1" applyFont="1" applyNumberFormat="1">
      <alignment horizontal="center" readingOrder="0" shrinkToFit="0" wrapText="1"/>
    </xf>
    <xf borderId="0" fillId="15" fontId="5" numFmtId="167" xfId="0" applyAlignment="1" applyFont="1" applyNumberFormat="1">
      <alignment horizontal="center" readingOrder="0" shrinkToFit="0" vertical="bottom" wrapText="1"/>
    </xf>
    <xf borderId="3" fillId="15" fontId="4" numFmtId="167" xfId="0" applyAlignment="1" applyBorder="1" applyFont="1" applyNumberFormat="1">
      <alignment horizontal="center" readingOrder="0" shrinkToFit="0" wrapText="1"/>
    </xf>
    <xf borderId="0" fillId="13" fontId="4" numFmtId="167" xfId="0" applyAlignment="1" applyFont="1" applyNumberFormat="1">
      <alignment horizontal="center" readingOrder="0" shrinkToFit="0" wrapText="1"/>
    </xf>
    <xf borderId="4" fillId="6" fontId="4" numFmtId="0" xfId="0" applyAlignment="1" applyBorder="1" applyFont="1">
      <alignment horizontal="center" readingOrder="0" shrinkToFit="0" wrapText="1"/>
    </xf>
    <xf borderId="4" fillId="14" fontId="4" numFmtId="0" xfId="0" applyAlignment="1" applyBorder="1" applyFont="1">
      <alignment horizontal="center" readingOrder="0" shrinkToFit="0" wrapText="1"/>
    </xf>
    <xf borderId="0" fillId="14" fontId="4" numFmtId="0" xfId="0" applyAlignment="1" applyFont="1">
      <alignment horizontal="center" readingOrder="0" shrinkToFit="0" wrapText="1"/>
    </xf>
    <xf borderId="0" fillId="14" fontId="4" numFmtId="49" xfId="0" applyAlignment="1" applyFont="1" applyNumberFormat="1">
      <alignment horizontal="center" readingOrder="0" shrinkToFit="0" wrapText="1"/>
    </xf>
    <xf borderId="3" fillId="14" fontId="4" numFmtId="167" xfId="0" applyAlignment="1" applyBorder="1" applyFont="1" applyNumberFormat="1">
      <alignment horizontal="center" readingOrder="0" shrinkToFit="0" wrapText="1"/>
    </xf>
    <xf borderId="0" fillId="8" fontId="4" numFmtId="167" xfId="0" applyAlignment="1" applyFont="1" applyNumberFormat="1">
      <alignment horizontal="center" readingOrder="0" shrinkToFit="0" wrapText="1"/>
    </xf>
    <xf borderId="0" fillId="8" fontId="1" numFmtId="180" xfId="0" applyAlignment="1" applyFont="1" applyNumberFormat="1">
      <alignment readingOrder="0" shrinkToFit="0" wrapText="1"/>
    </xf>
    <xf borderId="4" fillId="8" fontId="5" numFmtId="167" xfId="0" applyAlignment="1" applyBorder="1" applyFont="1" applyNumberFormat="1">
      <alignment horizontal="center" readingOrder="0" shrinkToFit="0" vertical="bottom" wrapText="1"/>
    </xf>
    <xf borderId="0" fillId="8" fontId="5" numFmtId="167" xfId="0" applyAlignment="1" applyFont="1" applyNumberFormat="1">
      <alignment horizontal="center" readingOrder="0" shrinkToFit="0" vertical="bottom" wrapText="1"/>
    </xf>
    <xf borderId="0" fillId="0" fontId="1" numFmtId="0" xfId="0" applyAlignment="1" applyFont="1">
      <alignment horizontal="left" readingOrder="0" shrinkToFit="0" wrapText="1"/>
    </xf>
    <xf borderId="0" fillId="0" fontId="1" numFmtId="177" xfId="0" applyAlignment="1" applyFont="1" applyNumberFormat="1">
      <alignment readingOrder="0" shrinkToFit="0" wrapText="1"/>
    </xf>
    <xf borderId="0" fillId="0" fontId="15" numFmtId="0" xfId="0" applyAlignment="1" applyFont="1">
      <alignment horizontal="center" shrinkToFit="0" vertical="bottom" wrapText="1"/>
    </xf>
    <xf borderId="0" fillId="0" fontId="15" numFmtId="0" xfId="0" applyAlignment="1" applyFont="1">
      <alignment shrinkToFit="0" vertical="bottom" wrapText="0"/>
    </xf>
    <xf borderId="0" fillId="0" fontId="6" numFmtId="0" xfId="0" applyAlignment="1" applyFont="1">
      <alignment shrinkToFit="0" vertical="bottom" wrapText="0"/>
    </xf>
    <xf borderId="0" fillId="0" fontId="6" numFmtId="181" xfId="0" applyAlignment="1" applyFont="1" applyNumberFormat="1">
      <alignment shrinkToFit="0" vertical="bottom" wrapText="1"/>
    </xf>
    <xf borderId="0" fillId="0" fontId="6" numFmtId="0" xfId="0" applyAlignment="1" applyFont="1">
      <alignment shrinkToFit="0" vertical="bottom" wrapText="1"/>
    </xf>
    <xf borderId="4" fillId="0" fontId="2" numFmtId="3" xfId="0" applyAlignment="1" applyBorder="1" applyFont="1" applyNumberFormat="1">
      <alignment readingOrder="0" shrinkToFit="0" wrapText="1"/>
    </xf>
    <xf borderId="0" fillId="0" fontId="4" numFmtId="164" xfId="0" applyAlignment="1" applyFont="1" applyNumberFormat="1">
      <alignment horizontal="center" readingOrder="0" shrinkToFit="0" wrapText="1"/>
    </xf>
    <xf borderId="0" fillId="0" fontId="16" numFmtId="164" xfId="0" applyAlignment="1" applyFont="1" applyNumberFormat="1">
      <alignment readingOrder="0" shrinkToFit="0" wrapText="1"/>
    </xf>
    <xf borderId="0" fillId="0" fontId="2" numFmtId="167" xfId="0" applyAlignment="1" applyFont="1" applyNumberFormat="1">
      <alignment shrinkToFit="0" wrapText="1"/>
    </xf>
    <xf borderId="4" fillId="0" fontId="2" numFmtId="167" xfId="0" applyAlignment="1" applyBorder="1" applyFont="1" applyNumberFormat="1">
      <alignment shrinkToFit="0" wrapText="1"/>
    </xf>
    <xf borderId="0" fillId="0" fontId="2" numFmtId="1" xfId="0" applyAlignment="1" applyFont="1" applyNumberFormat="1">
      <alignment shrinkToFit="0" wrapText="0"/>
    </xf>
    <xf borderId="0" fillId="0" fontId="2" numFmtId="0" xfId="0" applyAlignment="1" applyFont="1">
      <alignment shrinkToFit="0" wrapText="1"/>
    </xf>
    <xf borderId="0" fillId="0" fontId="6" numFmtId="167" xfId="0" applyAlignment="1" applyFont="1" applyNumberFormat="1">
      <alignment horizontal="right" shrinkToFit="0" vertical="bottom" wrapText="1"/>
    </xf>
    <xf borderId="0" fillId="0" fontId="6" numFmtId="167" xfId="0" applyAlignment="1" applyFont="1" applyNumberFormat="1">
      <alignment horizontal="right" shrinkToFit="0" vertical="bottom" wrapText="1"/>
    </xf>
    <xf borderId="0" fillId="0" fontId="2" numFmtId="10" xfId="0" applyAlignment="1" applyFont="1" applyNumberFormat="1">
      <alignment shrinkToFit="0" wrapText="1"/>
    </xf>
    <xf borderId="0" fillId="0" fontId="2" numFmtId="10" xfId="0" applyAlignment="1" applyFont="1" applyNumberFormat="1">
      <alignment shrinkToFit="0" wrapText="0"/>
    </xf>
    <xf borderId="0" fillId="0" fontId="15" numFmtId="167" xfId="0" applyAlignment="1" applyFont="1" applyNumberFormat="1">
      <alignment horizontal="right" shrinkToFit="0" vertical="bottom" wrapText="1"/>
    </xf>
    <xf borderId="3" fillId="0" fontId="1" numFmtId="10" xfId="0" applyAlignment="1" applyBorder="1" applyFont="1" applyNumberFormat="1">
      <alignment shrinkToFit="0" wrapText="1"/>
    </xf>
    <xf borderId="0" fillId="0" fontId="2" numFmtId="167" xfId="0" applyAlignment="1" applyFont="1" applyNumberFormat="1">
      <alignment shrinkToFit="0" wrapText="1"/>
    </xf>
    <xf borderId="0" fillId="0" fontId="2" numFmtId="177" xfId="0" applyAlignment="1" applyFont="1" applyNumberFormat="1">
      <alignment shrinkToFit="0" wrapText="1"/>
    </xf>
    <xf borderId="0" fillId="0" fontId="2" numFmtId="182" xfId="0" applyAlignment="1" applyFont="1" applyNumberFormat="1">
      <alignment shrinkToFit="0" wrapText="1"/>
    </xf>
    <xf borderId="4" fillId="0" fontId="2" numFmtId="167" xfId="0" applyAlignment="1" applyBorder="1" applyFont="1" applyNumberFormat="1">
      <alignment readingOrder="0" shrinkToFit="0" wrapText="1"/>
    </xf>
    <xf borderId="0" fillId="0" fontId="6" numFmtId="168" xfId="0" applyAlignment="1" applyFont="1" applyNumberFormat="1">
      <alignment horizontal="right" readingOrder="0" shrinkToFit="0" vertical="bottom" wrapText="1"/>
    </xf>
    <xf borderId="4" fillId="0" fontId="6" numFmtId="176" xfId="0" applyAlignment="1" applyBorder="1" applyFont="1" applyNumberFormat="1">
      <alignment horizontal="right" readingOrder="0" shrinkToFit="0" vertical="bottom" wrapText="1"/>
    </xf>
    <xf borderId="0" fillId="0" fontId="6" numFmtId="176" xfId="0" applyAlignment="1" applyFont="1" applyNumberFormat="1">
      <alignment horizontal="right" readingOrder="0" shrinkToFit="0" vertical="bottom" wrapText="1"/>
    </xf>
    <xf borderId="0" fillId="0" fontId="6" numFmtId="49" xfId="0" applyAlignment="1" applyFont="1" applyNumberFormat="1">
      <alignment horizontal="right" readingOrder="0" shrinkToFit="0" vertical="bottom" wrapText="1"/>
    </xf>
    <xf borderId="3" fillId="0" fontId="2" numFmtId="167" xfId="0" applyAlignment="1" applyBorder="1" applyFont="1" applyNumberFormat="1">
      <alignment shrinkToFit="0" wrapText="1"/>
    </xf>
    <xf borderId="0" fillId="8" fontId="1" numFmtId="10" xfId="0" applyAlignment="1" applyFont="1" applyNumberFormat="1">
      <alignment shrinkToFit="0" wrapText="1"/>
    </xf>
    <xf borderId="0" fillId="8" fontId="1" numFmtId="167" xfId="0" applyAlignment="1" applyFont="1" applyNumberFormat="1">
      <alignment shrinkToFit="0" wrapText="1"/>
    </xf>
    <xf borderId="0" fillId="8" fontId="1" numFmtId="180" xfId="0" applyAlignment="1" applyFont="1" applyNumberFormat="1">
      <alignment shrinkToFit="0" wrapText="1"/>
    </xf>
    <xf borderId="4" fillId="8" fontId="17" numFmtId="167" xfId="0" applyAlignment="1" applyBorder="1" applyFont="1" applyNumberFormat="1">
      <alignment horizontal="center" shrinkToFit="0" vertical="bottom" wrapText="1"/>
    </xf>
    <xf borderId="0" fillId="8" fontId="17" numFmtId="167" xfId="0" applyAlignment="1" applyFont="1" applyNumberFormat="1">
      <alignment horizontal="center" shrinkToFit="0" vertical="bottom" wrapText="1"/>
    </xf>
    <xf borderId="0" fillId="0" fontId="15" numFmtId="0" xfId="0" applyAlignment="1" applyFont="1">
      <alignment horizontal="center" readingOrder="0" shrinkToFit="0" vertical="bottom" wrapText="1"/>
    </xf>
    <xf borderId="0" fillId="0" fontId="15" numFmtId="0" xfId="0" applyAlignment="1" applyFont="1">
      <alignment readingOrder="0" shrinkToFit="0" vertical="bottom" wrapText="0"/>
    </xf>
    <xf borderId="5" fillId="0" fontId="16" numFmtId="164" xfId="0" applyAlignment="1" applyBorder="1" applyFont="1" applyNumberFormat="1">
      <alignment readingOrder="0" shrinkToFit="0" wrapText="1"/>
    </xf>
    <xf borderId="0" fillId="0" fontId="15" numFmtId="167" xfId="0" applyAlignment="1" applyFont="1" applyNumberFormat="1">
      <alignment horizontal="right" shrinkToFit="0" vertical="bottom" wrapText="1"/>
    </xf>
    <xf borderId="2" fillId="0" fontId="1" numFmtId="0" xfId="0" applyAlignment="1" applyBorder="1" applyFont="1">
      <alignment readingOrder="0" shrinkToFit="0" wrapText="1"/>
    </xf>
    <xf borderId="2" fillId="0" fontId="18" numFmtId="10" xfId="0" applyAlignment="1" applyBorder="1" applyFont="1" applyNumberFormat="1">
      <alignment shrinkToFit="0" wrapText="1"/>
    </xf>
    <xf borderId="2" fillId="0" fontId="1" numFmtId="0" xfId="0" applyAlignment="1" applyBorder="1" applyFont="1">
      <alignment readingOrder="0" shrinkToFit="0" wrapText="1"/>
    </xf>
    <xf borderId="2" fillId="0" fontId="19" numFmtId="0" xfId="0" applyAlignment="1" applyBorder="1" applyFont="1">
      <alignment readingOrder="0" shrinkToFit="0" wrapText="0"/>
    </xf>
    <xf borderId="2" fillId="0" fontId="20" numFmtId="0" xfId="0" applyAlignment="1" applyBorder="1" applyFont="1">
      <alignment readingOrder="0" shrinkToFit="0" wrapText="0"/>
    </xf>
    <xf borderId="2" fillId="0" fontId="20" numFmtId="0" xfId="0" applyAlignment="1" applyBorder="1" applyFont="1">
      <alignment readingOrder="0" shrinkToFit="0" wrapText="1"/>
    </xf>
    <xf borderId="2" fillId="0" fontId="19" numFmtId="0" xfId="0" applyAlignment="1" applyBorder="1" applyFont="1">
      <alignment readingOrder="0" shrinkToFit="0" wrapText="1"/>
    </xf>
    <xf borderId="2" fillId="0" fontId="1" numFmtId="0" xfId="0" applyAlignment="1" applyBorder="1" applyFont="1">
      <alignment readingOrder="0" shrinkToFit="0" wrapText="0"/>
    </xf>
    <xf borderId="2" fillId="3" fontId="16" numFmtId="183" xfId="0" applyAlignment="1" applyBorder="1" applyFont="1" applyNumberFormat="1">
      <alignment shrinkToFit="0" wrapText="1"/>
    </xf>
    <xf borderId="2" fillId="0" fontId="16" numFmtId="164" xfId="0" applyAlignment="1" applyBorder="1" applyFont="1" applyNumberFormat="1">
      <alignment readingOrder="0" shrinkToFit="0" wrapText="0"/>
    </xf>
    <xf borderId="0" fillId="0" fontId="16" numFmtId="164" xfId="0" applyAlignment="1" applyFont="1" applyNumberFormat="1">
      <alignment readingOrder="0" shrinkToFit="0" wrapText="0"/>
    </xf>
    <xf borderId="2" fillId="0" fontId="1" numFmtId="167" xfId="0" applyAlignment="1" applyBorder="1" applyFont="1" applyNumberFormat="1">
      <alignment shrinkToFit="0" wrapText="1"/>
    </xf>
    <xf borderId="6" fillId="0" fontId="1" numFmtId="167" xfId="0" applyAlignment="1" applyBorder="1" applyFont="1" applyNumberFormat="1">
      <alignment shrinkToFit="0" wrapText="1"/>
    </xf>
    <xf borderId="2" fillId="0" fontId="18" numFmtId="167" xfId="0" applyAlignment="1" applyBorder="1" applyFont="1" applyNumberFormat="1">
      <alignment shrinkToFit="0" wrapText="1"/>
    </xf>
    <xf borderId="2" fillId="0" fontId="2" numFmtId="167" xfId="0" applyAlignment="1" applyBorder="1" applyFont="1" applyNumberFormat="1">
      <alignment shrinkToFit="0" wrapText="1"/>
    </xf>
    <xf borderId="2" fillId="0" fontId="15" numFmtId="0" xfId="0" applyAlignment="1" applyBorder="1" applyFont="1">
      <alignment horizontal="center" shrinkToFit="0" vertical="bottom" wrapText="1"/>
    </xf>
    <xf borderId="2" fillId="0" fontId="1" numFmtId="10" xfId="0" applyAlignment="1" applyBorder="1" applyFont="1" applyNumberFormat="1">
      <alignment shrinkToFit="0" wrapText="0"/>
    </xf>
    <xf borderId="2" fillId="0" fontId="1" numFmtId="10" xfId="0" applyAlignment="1" applyBorder="1" applyFont="1" applyNumberFormat="1">
      <alignment shrinkToFit="0" wrapText="1"/>
    </xf>
    <xf borderId="2" fillId="0" fontId="15" numFmtId="167" xfId="0" applyAlignment="1" applyBorder="1" applyFont="1" applyNumberFormat="1">
      <alignment horizontal="right" shrinkToFit="0" vertical="bottom" wrapText="1"/>
    </xf>
    <xf borderId="6" fillId="0" fontId="15" numFmtId="167" xfId="0" applyAlignment="1" applyBorder="1" applyFont="1" applyNumberFormat="1">
      <alignment horizontal="right" shrinkToFit="0" vertical="bottom" wrapText="1"/>
    </xf>
    <xf borderId="2" fillId="0" fontId="15" numFmtId="167" xfId="0" applyAlignment="1" applyBorder="1" applyFont="1" applyNumberFormat="1">
      <alignment horizontal="right" shrinkToFit="0" vertical="bottom" wrapText="1"/>
    </xf>
    <xf borderId="2" fillId="0" fontId="15" numFmtId="10" xfId="0" applyAlignment="1" applyBorder="1" applyFont="1" applyNumberFormat="1">
      <alignment horizontal="right" shrinkToFit="0" vertical="bottom" wrapText="1"/>
    </xf>
    <xf borderId="6" fillId="0" fontId="2" numFmtId="167" xfId="0" applyAlignment="1" applyBorder="1" applyFont="1" applyNumberFormat="1">
      <alignment readingOrder="0" shrinkToFit="0" wrapText="1"/>
    </xf>
    <xf borderId="2" fillId="0" fontId="2" numFmtId="0" xfId="0" applyAlignment="1" applyBorder="1" applyFont="1">
      <alignment shrinkToFit="0" wrapText="1"/>
    </xf>
    <xf borderId="2" fillId="0" fontId="6" numFmtId="46" xfId="0" applyAlignment="1" applyBorder="1" applyFont="1" applyNumberFormat="1">
      <alignment horizontal="right" shrinkToFit="0" vertical="bottom" wrapText="1"/>
    </xf>
    <xf borderId="6" fillId="0" fontId="18" numFmtId="166" xfId="0" applyAlignment="1" applyBorder="1" applyFont="1" applyNumberFormat="1">
      <alignment shrinkToFit="0" wrapText="1"/>
    </xf>
    <xf borderId="2" fillId="0" fontId="18" numFmtId="166" xfId="0" applyAlignment="1" applyBorder="1" applyFont="1" applyNumberFormat="1">
      <alignment shrinkToFit="0" wrapText="1"/>
    </xf>
    <xf borderId="2" fillId="0" fontId="18" numFmtId="49" xfId="0" applyAlignment="1" applyBorder="1" applyFont="1" applyNumberFormat="1">
      <alignment shrinkToFit="0" wrapText="1"/>
    </xf>
    <xf borderId="1" fillId="0" fontId="15" numFmtId="167" xfId="0" applyAlignment="1" applyBorder="1" applyFont="1" applyNumberFormat="1">
      <alignment horizontal="right" shrinkToFit="0" vertical="bottom" wrapText="1"/>
    </xf>
    <xf borderId="2" fillId="8" fontId="1" numFmtId="167" xfId="0" applyAlignment="1" applyBorder="1" applyFont="1" applyNumberFormat="1">
      <alignment shrinkToFit="0" wrapText="1"/>
    </xf>
    <xf borderId="2" fillId="8" fontId="1" numFmtId="180" xfId="0" applyAlignment="1" applyBorder="1" applyFont="1" applyNumberFormat="1">
      <alignment shrinkToFit="0" wrapText="1"/>
    </xf>
    <xf borderId="6" fillId="8" fontId="15" numFmtId="167" xfId="0" applyAlignment="1" applyBorder="1" applyFont="1" applyNumberFormat="1">
      <alignment horizontal="center" shrinkToFit="0" vertical="bottom" wrapText="1"/>
    </xf>
    <xf borderId="6" fillId="8" fontId="21" numFmtId="167" xfId="0" applyAlignment="1" applyBorder="1" applyFont="1" applyNumberFormat="1">
      <alignment horizontal="center" shrinkToFit="0" vertical="bottom" wrapText="1"/>
    </xf>
    <xf borderId="0" fillId="0" fontId="6" numFmtId="0" xfId="0" applyAlignment="1" applyFont="1">
      <alignment readingOrder="0" shrinkToFit="0" vertical="bottom" wrapText="1"/>
    </xf>
    <xf borderId="0" fillId="0" fontId="6" numFmtId="0" xfId="0" applyAlignment="1" applyFont="1">
      <alignment readingOrder="0" shrinkToFit="0" vertical="bottom" wrapText="0"/>
    </xf>
    <xf borderId="0" fillId="0" fontId="6" numFmtId="3" xfId="0" applyAlignment="1" applyFont="1" applyNumberFormat="1">
      <alignment readingOrder="0" shrinkToFit="0" vertical="bottom" wrapText="1"/>
    </xf>
    <xf borderId="0" fillId="0" fontId="2" numFmtId="164" xfId="0" applyAlignment="1" applyFont="1" applyNumberFormat="1">
      <alignment readingOrder="0" shrinkToFit="0" wrapText="1"/>
    </xf>
    <xf borderId="0" fillId="0" fontId="6" numFmtId="165" xfId="0" applyAlignment="1" applyFont="1" applyNumberFormat="1">
      <alignment horizontal="right" readingOrder="0" shrinkToFit="0" vertical="bottom" wrapText="1"/>
    </xf>
    <xf borderId="0" fillId="0" fontId="2" numFmtId="165" xfId="0" applyAlignment="1" applyFont="1" applyNumberFormat="1">
      <alignment readingOrder="0" shrinkToFit="0" wrapText="0"/>
    </xf>
    <xf borderId="0" fillId="0" fontId="6" numFmtId="165" xfId="0" applyAlignment="1" applyFont="1" applyNumberFormat="1">
      <alignment horizontal="right" shrinkToFit="0" vertical="bottom" wrapText="1"/>
    </xf>
    <xf borderId="0" fillId="0" fontId="2" numFmtId="165" xfId="0" applyAlignment="1" applyFont="1" applyNumberFormat="1">
      <alignment shrinkToFit="0" wrapText="0"/>
    </xf>
    <xf borderId="0" fillId="16" fontId="6" numFmtId="0" xfId="0" applyAlignment="1" applyFill="1" applyFont="1">
      <alignment readingOrder="0" shrinkToFit="0" vertical="bottom" wrapText="0"/>
    </xf>
    <xf borderId="0" fillId="0" fontId="6" numFmtId="3" xfId="0" applyAlignment="1" applyFont="1" applyNumberFormat="1">
      <alignment horizontal="right" readingOrder="0" shrinkToFit="0" vertical="bottom" wrapText="1"/>
    </xf>
    <xf borderId="0" fillId="0" fontId="6" numFmtId="164" xfId="0" applyAlignment="1" applyFont="1" applyNumberFormat="1">
      <alignment horizontal="right" readingOrder="0" shrinkToFit="0" vertical="bottom" wrapText="1"/>
    </xf>
    <xf borderId="0" fillId="0" fontId="6" numFmtId="3" xfId="0" applyAlignment="1" applyFont="1" applyNumberFormat="1">
      <alignment horizontal="right" shrinkToFit="0" vertical="bottom" wrapText="1"/>
    </xf>
    <xf borderId="0" fillId="0" fontId="6" numFmtId="164" xfId="0" applyAlignment="1" applyFont="1" applyNumberFormat="1">
      <alignment horizontal="right" shrinkToFit="0" vertical="bottom" wrapText="1"/>
    </xf>
    <xf borderId="0" fillId="0" fontId="6" numFmtId="176" xfId="0" applyAlignment="1" applyFont="1" applyNumberFormat="1">
      <alignment horizontal="right" shrinkToFit="0" vertical="bottom" wrapText="1"/>
    </xf>
    <xf borderId="0" fillId="0" fontId="2" numFmtId="164" xfId="0" applyAlignment="1" applyFont="1" applyNumberFormat="1">
      <alignment readingOrder="0" shrinkToFit="0" wrapText="1"/>
    </xf>
    <xf borderId="0" fillId="0" fontId="6" numFmtId="3" xfId="0" applyAlignment="1" applyFont="1" applyNumberFormat="1">
      <alignment shrinkToFit="0" vertical="bottom" wrapText="1"/>
    </xf>
    <xf borderId="0" fillId="0" fontId="6" numFmtId="0" xfId="0" applyAlignment="1" applyFont="1">
      <alignment shrinkToFit="0" vertical="bottom" wrapText="0"/>
    </xf>
    <xf borderId="3" fillId="0" fontId="6" numFmtId="0" xfId="0" applyAlignment="1" applyBorder="1" applyFont="1">
      <alignment readingOrder="0" shrinkToFit="0" vertical="bottom" wrapText="0"/>
    </xf>
    <xf borderId="3" fillId="0" fontId="2" numFmtId="165" xfId="0" applyAlignment="1" applyBorder="1" applyFont="1" applyNumberFormat="1">
      <alignment readingOrder="0" shrinkToFit="0" wrapText="0"/>
    </xf>
    <xf borderId="0" fillId="17" fontId="6" numFmtId="176" xfId="0" applyAlignment="1" applyFill="1" applyFont="1" applyNumberFormat="1">
      <alignment horizontal="right" readingOrder="0" shrinkToFit="0" vertical="bottom" wrapText="1"/>
    </xf>
    <xf borderId="0" fillId="17" fontId="2" numFmtId="0" xfId="0" applyAlignment="1" applyFont="1">
      <alignment shrinkToFit="0" wrapText="1"/>
    </xf>
    <xf borderId="0" fillId="17" fontId="2" numFmtId="0" xfId="0" applyAlignment="1" applyFont="1">
      <alignment shrinkToFit="0" wrapText="0"/>
    </xf>
    <xf borderId="0" fillId="17" fontId="2" numFmtId="0" xfId="0" applyAlignment="1" applyFont="1">
      <alignment readingOrder="0" shrinkToFit="0" wrapText="1"/>
    </xf>
    <xf borderId="0" fillId="17" fontId="2" numFmtId="164" xfId="0" applyAlignment="1" applyFont="1" applyNumberFormat="1">
      <alignment readingOrder="0" shrinkToFit="0" wrapText="1"/>
    </xf>
    <xf borderId="0" fillId="17" fontId="6" numFmtId="165" xfId="0" applyAlignment="1" applyFont="1" applyNumberFormat="1">
      <alignment horizontal="right" readingOrder="0" shrinkToFit="0" vertical="bottom" wrapText="1"/>
    </xf>
    <xf borderId="0" fillId="18" fontId="6" numFmtId="176" xfId="0" applyAlignment="1" applyFill="1" applyFont="1" applyNumberFormat="1">
      <alignment horizontal="right" readingOrder="0" shrinkToFit="0" vertical="bottom" wrapText="1"/>
    </xf>
    <xf borderId="0" fillId="18" fontId="2" numFmtId="176" xfId="0" applyAlignment="1" applyFont="1" applyNumberFormat="1">
      <alignment readingOrder="0" shrinkToFit="0" wrapText="1"/>
    </xf>
    <xf borderId="0" fillId="18" fontId="2" numFmtId="0" xfId="0" applyAlignment="1" applyFont="1">
      <alignment readingOrder="0" shrinkToFit="0" wrapText="0"/>
    </xf>
    <xf borderId="0" fillId="18" fontId="2" numFmtId="0" xfId="0" applyAlignment="1" applyFont="1">
      <alignment readingOrder="0" shrinkToFit="0" wrapText="1"/>
    </xf>
    <xf borderId="0" fillId="18" fontId="2" numFmtId="164" xfId="0" applyAlignment="1" applyFont="1" applyNumberFormat="1">
      <alignment readingOrder="0" shrinkToFit="0" wrapText="1"/>
    </xf>
    <xf borderId="0" fillId="18" fontId="6" numFmtId="165" xfId="0" applyAlignment="1" applyFont="1" applyNumberFormat="1">
      <alignment horizontal="right" readingOrder="0" shrinkToFit="0" vertical="bottom" wrapText="1"/>
    </xf>
    <xf borderId="0" fillId="18" fontId="2" numFmtId="176" xfId="0" applyAlignment="1" applyFont="1" applyNumberFormat="1">
      <alignment readingOrder="0" shrinkToFit="0" wrapText="0"/>
    </xf>
    <xf borderId="0" fillId="0" fontId="2" numFmtId="0" xfId="0" applyAlignment="1" applyFont="1">
      <alignment shrinkToFit="0" wrapText="0"/>
    </xf>
    <xf borderId="0" fillId="3" fontId="22" numFmtId="0" xfId="0" applyAlignment="1" applyFont="1">
      <alignment horizontal="left" readingOrder="0" shrinkToFit="0" wrapText="1"/>
    </xf>
    <xf borderId="0" fillId="17" fontId="2" numFmtId="0" xfId="0" applyAlignment="1" applyFont="1">
      <alignment readingOrder="0" shrinkToFit="0" wrapText="0"/>
    </xf>
    <xf borderId="0" fillId="17" fontId="2" numFmtId="176" xfId="0" applyAlignment="1" applyFont="1" applyNumberFormat="1">
      <alignment readingOrder="0" shrinkToFit="0" wrapText="1"/>
    </xf>
    <xf borderId="0" fillId="0" fontId="6" numFmtId="176" xfId="0" applyAlignment="1" applyFont="1" applyNumberFormat="1">
      <alignment shrinkToFit="0" vertical="bottom" wrapText="1"/>
    </xf>
    <xf borderId="0" fillId="0" fontId="6" numFmtId="164" xfId="0" applyAlignment="1" applyFont="1" applyNumberFormat="1">
      <alignment shrinkToFit="0" vertical="bottom" wrapText="1"/>
    </xf>
    <xf borderId="0" fillId="0" fontId="6" numFmtId="165" xfId="0" applyAlignment="1" applyFont="1" applyNumberFormat="1">
      <alignment readingOrder="0" shrinkToFit="0" vertical="bottom" wrapText="0"/>
    </xf>
    <xf borderId="0" fillId="0" fontId="6" numFmtId="165" xfId="0" applyAlignment="1" applyFont="1" applyNumberFormat="1">
      <alignment shrinkToFit="0" vertical="bottom" wrapText="1"/>
    </xf>
    <xf borderId="0" fillId="0" fontId="2" numFmtId="176" xfId="0" applyAlignment="1" applyFont="1" applyNumberFormat="1">
      <alignment readingOrder="0" shrinkToFit="0" wrapText="1"/>
    </xf>
    <xf borderId="0" fillId="0" fontId="6" numFmtId="0" xfId="0" applyAlignment="1" applyFont="1">
      <alignment shrinkToFit="0" vertical="bottom" wrapText="1"/>
    </xf>
    <xf borderId="0" fillId="0" fontId="6" numFmtId="0" xfId="0" applyAlignment="1" applyFont="1">
      <alignment shrinkToFit="0" vertical="bottom" wrapText="0"/>
    </xf>
    <xf borderId="0" fillId="0" fontId="2" numFmtId="176" xfId="0" applyAlignment="1" applyFont="1" applyNumberFormat="1">
      <alignment readingOrder="0" shrinkToFit="0" wrapText="0"/>
    </xf>
    <xf borderId="0" fillId="3" fontId="23" numFmtId="0" xfId="0" applyAlignment="1" applyFont="1">
      <alignment shrinkToFit="0" vertical="bottom" wrapText="1"/>
    </xf>
    <xf borderId="0" fillId="3" fontId="22" numFmtId="0" xfId="0" applyAlignment="1" applyFont="1">
      <alignment horizontal="left" readingOrder="0" shrinkToFit="0" vertical="bottom" wrapText="0"/>
    </xf>
    <xf borderId="0" fillId="3" fontId="22" numFmtId="0" xfId="0" applyAlignment="1" applyFont="1">
      <alignment horizontal="left" readingOrder="0" shrinkToFit="0" vertical="bottom" wrapText="1"/>
    </xf>
    <xf borderId="0" fillId="11" fontId="2" numFmtId="176" xfId="0" applyAlignment="1" applyFont="1" applyNumberFormat="1">
      <alignment readingOrder="0" shrinkToFit="0" wrapText="1"/>
    </xf>
    <xf borderId="0" fillId="11" fontId="2" numFmtId="176" xfId="0" applyAlignment="1" applyFont="1" applyNumberFormat="1">
      <alignment readingOrder="0" shrinkToFit="0" wrapText="0"/>
    </xf>
    <xf borderId="0" fillId="11" fontId="2" numFmtId="0" xfId="0" applyAlignment="1" applyFont="1">
      <alignment readingOrder="0" shrinkToFit="0" wrapText="1"/>
    </xf>
    <xf borderId="0" fillId="0" fontId="6" numFmtId="10" xfId="0" applyAlignment="1" applyFont="1" applyNumberFormat="1">
      <alignment horizontal="right" shrinkToFit="0" vertical="bottom" wrapText="1"/>
    </xf>
    <xf borderId="0" fillId="17" fontId="6" numFmtId="10" xfId="0" applyAlignment="1" applyFont="1" applyNumberFormat="1">
      <alignment horizontal="right" shrinkToFit="0" vertical="bottom" wrapText="1"/>
    </xf>
    <xf borderId="0" fillId="0" fontId="6" numFmtId="10" xfId="0" applyAlignment="1" applyFont="1" applyNumberFormat="1">
      <alignment horizontal="right" readingOrder="0" shrinkToFit="0" vertical="bottom" wrapText="1"/>
    </xf>
    <xf borderId="0" fillId="17" fontId="6" numFmtId="10" xfId="0" applyAlignment="1" applyFont="1" applyNumberFormat="1">
      <alignment horizontal="right" readingOrder="0" shrinkToFit="0" vertical="bottom" wrapText="1"/>
    </xf>
    <xf borderId="0" fillId="3" fontId="22" numFmtId="10" xfId="0" applyAlignment="1" applyFont="1" applyNumberFormat="1">
      <alignment horizontal="right" shrinkToFit="0" vertical="bottom" wrapText="1"/>
    </xf>
    <xf borderId="0" fillId="3" fontId="22" numFmtId="165" xfId="0" applyAlignment="1" applyFont="1" applyNumberFormat="1">
      <alignment horizontal="right" readingOrder="0" shrinkToFit="0" vertical="bottom" wrapText="1"/>
    </xf>
    <xf borderId="0" fillId="0" fontId="22" numFmtId="165" xfId="0" applyAlignment="1" applyFont="1" applyNumberFormat="1">
      <alignment horizontal="right" shrinkToFit="0" vertical="bottom" wrapText="1"/>
    </xf>
    <xf borderId="0" fillId="0" fontId="16" numFmtId="165" xfId="0" applyAlignment="1" applyFont="1" applyNumberFormat="1">
      <alignment readingOrder="0" shrinkToFit="0" wrapText="1"/>
    </xf>
    <xf borderId="0" fillId="0" fontId="16" numFmtId="165" xfId="0" applyAlignment="1" applyFont="1" applyNumberFormat="1">
      <alignment shrinkToFit="0" wrapText="1"/>
    </xf>
    <xf borderId="0" fillId="0" fontId="6" numFmtId="165" xfId="0" applyAlignment="1" applyFont="1" applyNumberFormat="1">
      <alignment horizontal="right" shrinkToFit="0" wrapText="1"/>
    </xf>
    <xf borderId="0" fillId="0" fontId="24" numFmtId="0" xfId="0" applyAlignment="1" applyFont="1">
      <alignment horizontal="center" readingOrder="0" shrinkToFit="0" vertical="bottom" wrapText="1"/>
    </xf>
    <xf borderId="0" fillId="0" fontId="25" numFmtId="0" xfId="0" applyAlignment="1" applyFont="1">
      <alignment horizontal="left" readingOrder="0" shrinkToFit="0" wrapText="1"/>
    </xf>
    <xf borderId="0" fillId="0" fontId="26" numFmtId="0" xfId="0" applyAlignment="1" applyFont="1">
      <alignment horizontal="left" readingOrder="0" shrinkToFit="0" wrapText="1"/>
    </xf>
    <xf borderId="0" fillId="0" fontId="1" numFmtId="167" xfId="0" applyAlignment="1" applyFont="1" applyNumberFormat="1">
      <alignment shrinkToFit="0" wrapText="1"/>
    </xf>
    <xf borderId="2" fillId="0" fontId="24" numFmtId="0" xfId="0" applyAlignment="1" applyBorder="1" applyFont="1">
      <alignment horizontal="center" readingOrder="0" shrinkToFit="0" vertical="bottom" wrapText="1"/>
    </xf>
    <xf borderId="2" fillId="0" fontId="26" numFmtId="0" xfId="0" applyAlignment="1" applyBorder="1" applyFont="1">
      <alignment horizontal="left" readingOrder="0" shrinkToFit="0" wrapText="1"/>
    </xf>
    <xf borderId="0" fillId="0" fontId="1" numFmtId="167" xfId="0" applyAlignment="1" applyFont="1" applyNumberFormat="1">
      <alignment readingOrder="0" shrinkToFit="0" wrapText="1"/>
    </xf>
    <xf borderId="2" fillId="0" fontId="25" numFmtId="0" xfId="0" applyAlignment="1" applyBorder="1" applyFont="1">
      <alignment horizontal="left" readingOrder="0" shrinkToFit="0" wrapText="1"/>
    </xf>
    <xf borderId="2" fillId="0" fontId="2" numFmtId="167" xfId="0" applyAlignment="1" applyBorder="1" applyFont="1" applyNumberFormat="1">
      <alignment readingOrder="0" shrinkToFit="0" wrapText="1"/>
    </xf>
    <xf borderId="4" fillId="4" fontId="4" numFmtId="0" xfId="0" applyAlignment="1" applyBorder="1" applyFont="1">
      <alignment horizontal="center" readingOrder="0" shrinkToFit="0" wrapText="1"/>
    </xf>
    <xf borderId="4" fillId="0" fontId="6" numFmtId="165" xfId="0" applyAlignment="1" applyBorder="1" applyFont="1" applyNumberFormat="1">
      <alignment horizontal="right" readingOrder="0" shrinkToFit="0" vertical="bottom" wrapText="1"/>
    </xf>
    <xf borderId="0" fillId="0" fontId="15" numFmtId="165" xfId="0" applyAlignment="1" applyFont="1" applyNumberFormat="1">
      <alignment horizontal="right" readingOrder="0" shrinkToFit="0" vertical="bottom" wrapText="1"/>
    </xf>
    <xf borderId="4" fillId="0" fontId="6" numFmtId="165" xfId="0" applyAlignment="1" applyBorder="1" applyFont="1" applyNumberFormat="1">
      <alignment horizontal="right" shrinkToFit="0" vertical="bottom" wrapText="1"/>
    </xf>
    <xf borderId="0" fillId="0" fontId="15" numFmtId="165" xfId="0" applyAlignment="1" applyFont="1" applyNumberFormat="1">
      <alignment horizontal="right" shrinkToFit="0" vertical="bottom" wrapText="1"/>
    </xf>
    <xf borderId="0" fillId="18" fontId="5" numFmtId="0" xfId="0" applyAlignment="1" applyFont="1">
      <alignment horizontal="center" readingOrder="0" shrinkToFit="0" vertical="bottom" wrapText="1"/>
    </xf>
    <xf borderId="0" fillId="0" fontId="6" numFmtId="184" xfId="0" applyAlignment="1" applyFont="1" applyNumberFormat="1">
      <alignment horizontal="right" readingOrder="0" shrinkToFit="0" vertical="bottom" wrapText="1"/>
    </xf>
    <xf borderId="0" fillId="5" fontId="22" numFmtId="165" xfId="0" applyAlignment="1" applyFont="1" applyNumberFormat="1">
      <alignment horizontal="right" readingOrder="0" shrinkToFit="0" wrapText="1"/>
    </xf>
    <xf borderId="0" fillId="18" fontId="5" numFmtId="185" xfId="0" applyAlignment="1" applyFont="1" applyNumberFormat="1">
      <alignment horizontal="center" readingOrder="0" shrinkToFit="0" vertical="bottom" wrapText="1"/>
    </xf>
    <xf borderId="0" fillId="3" fontId="6" numFmtId="176" xfId="0" applyAlignment="1" applyFont="1" applyNumberFormat="1">
      <alignment horizontal="right" readingOrder="0" shrinkToFit="0" vertical="bottom" wrapText="1"/>
    </xf>
    <xf borderId="0" fillId="3" fontId="2" numFmtId="0" xfId="0" applyAlignment="1" applyFont="1">
      <alignment readingOrder="0" shrinkToFit="0" wrapText="0"/>
    </xf>
    <xf borderId="0" fillId="3" fontId="6" numFmtId="165" xfId="0" applyAlignment="1" applyFont="1" applyNumberFormat="1">
      <alignment horizontal="right" readingOrder="0" shrinkToFit="0" vertical="bottom" wrapText="1"/>
    </xf>
    <xf borderId="0" fillId="3" fontId="2" numFmtId="0" xfId="0" applyAlignment="1" applyFont="1">
      <alignment readingOrder="0" shrinkToFit="0" wrapText="1"/>
    </xf>
    <xf borderId="0" fillId="0" fontId="2" numFmtId="0" xfId="0" applyAlignment="1" applyFont="1">
      <alignment readingOrder="0" shrinkToFit="0" wrapText="1"/>
    </xf>
    <xf borderId="0" fillId="3" fontId="6" numFmtId="176" xfId="0" applyAlignment="1" applyFont="1" applyNumberFormat="1">
      <alignment horizontal="right" shrinkToFit="0" vertical="bottom" wrapText="1"/>
    </xf>
    <xf borderId="0" fillId="3" fontId="6" numFmtId="0" xfId="0" applyAlignment="1" applyFont="1">
      <alignment shrinkToFit="0" vertical="bottom" wrapText="1"/>
    </xf>
    <xf borderId="0" fillId="3" fontId="2" numFmtId="0" xfId="0" applyAlignment="1" applyFont="1">
      <alignment readingOrder="0" shrinkToFit="0" wrapText="1"/>
    </xf>
    <xf borderId="0" fillId="0" fontId="27" numFmtId="165" xfId="0" applyAlignment="1" applyFont="1" applyNumberFormat="1">
      <alignment readingOrder="0" shrinkToFit="0" wrapText="1"/>
    </xf>
    <xf borderId="0" fillId="0" fontId="6" numFmtId="167" xfId="0" applyAlignment="1" applyFont="1" applyNumberFormat="1">
      <alignment horizontal="center" readingOrder="0" shrinkToFit="0" vertical="bottom" wrapText="1"/>
    </xf>
    <xf borderId="0" fillId="0" fontId="6" numFmtId="167" xfId="0" applyAlignment="1" applyFont="1" applyNumberFormat="1">
      <alignment horizontal="right" readingOrder="0" shrinkToFit="0" vertical="bottom" wrapText="1"/>
    </xf>
    <xf borderId="0" fillId="0" fontId="1" numFmtId="0" xfId="0" applyAlignment="1" applyFont="1">
      <alignment shrinkToFit="0" wrapText="1"/>
    </xf>
    <xf borderId="2" fillId="0" fontId="6" numFmtId="167" xfId="0" applyAlignment="1" applyBorder="1" applyFont="1" applyNumberFormat="1">
      <alignment horizontal="center" readingOrder="0" shrinkToFit="0" vertical="bottom" wrapText="1"/>
    </xf>
    <xf borderId="2" fillId="0" fontId="6" numFmtId="167" xfId="0" applyAlignment="1" applyBorder="1" applyFont="1" applyNumberFormat="1">
      <alignment horizontal="right" readingOrder="0" shrinkToFit="0" vertical="bottom" wrapText="1"/>
    </xf>
    <xf borderId="2" fillId="0" fontId="6" numFmtId="176" xfId="0" applyAlignment="1" applyBorder="1" applyFont="1" applyNumberFormat="1">
      <alignment horizontal="right" readingOrder="0" shrinkToFit="0" vertical="bottom" wrapText="1"/>
    </xf>
    <xf borderId="2" fillId="0" fontId="2" numFmtId="10" xfId="0" applyAlignment="1" applyBorder="1" applyFont="1" applyNumberFormat="1">
      <alignment shrinkToFit="0" wrapText="1"/>
    </xf>
    <xf borderId="2" fillId="0" fontId="1" numFmtId="0" xfId="0" applyAlignment="1" applyBorder="1" applyFont="1">
      <alignment shrinkToFit="0" wrapText="1"/>
    </xf>
    <xf borderId="0" fillId="4" fontId="5" numFmtId="0" xfId="0" applyAlignment="1" applyFont="1">
      <alignment horizontal="center" shrinkToFit="0" vertical="bottom" wrapText="1"/>
    </xf>
    <xf borderId="4" fillId="4" fontId="5" numFmtId="0" xfId="0" applyAlignment="1" applyBorder="1" applyFont="1">
      <alignment horizontal="center" shrinkToFit="0" vertical="bottom" wrapText="1"/>
    </xf>
    <xf borderId="0" fillId="0" fontId="6" numFmtId="164" xfId="0" applyAlignment="1" applyFont="1" applyNumberFormat="1">
      <alignment horizontal="right" shrinkToFit="0" vertical="bottom" wrapText="1"/>
    </xf>
    <xf borderId="3" fillId="0" fontId="6" numFmtId="164" xfId="0" applyAlignment="1" applyBorder="1" applyFont="1" applyNumberFormat="1">
      <alignment horizontal="right" shrinkToFit="0" vertical="bottom" wrapText="1"/>
    </xf>
    <xf borderId="4" fillId="0" fontId="6" numFmtId="10" xfId="0" applyAlignment="1" applyBorder="1" applyFont="1" applyNumberFormat="1">
      <alignment horizontal="right" shrinkToFit="0" vertical="bottom" wrapText="1"/>
    </xf>
    <xf borderId="0" fillId="0" fontId="6" numFmtId="164" xfId="0" applyAlignment="1" applyFont="1" applyNumberFormat="1">
      <alignment horizontal="right" readingOrder="0" shrinkToFit="0" vertical="bottom" wrapText="1"/>
    </xf>
    <xf borderId="3" fillId="0" fontId="6" numFmtId="164" xfId="0" applyAlignment="1" applyBorder="1" applyFont="1" applyNumberFormat="1">
      <alignment horizontal="right" readingOrder="0" shrinkToFit="0" vertical="bottom" wrapText="1"/>
    </xf>
    <xf borderId="4" fillId="0" fontId="6" numFmtId="10" xfId="0" applyAlignment="1" applyBorder="1" applyFont="1" applyNumberFormat="1">
      <alignment horizontal="right" readingOrder="0" shrinkToFit="0" vertical="bottom" wrapText="1"/>
    </xf>
    <xf borderId="4" fillId="14" fontId="4" numFmtId="167" xfId="0" applyAlignment="1" applyBorder="1" applyFont="1" applyNumberFormat="1">
      <alignment horizontal="center" readingOrder="0" shrinkToFit="0" wrapText="1"/>
    </xf>
    <xf borderId="0" fillId="14" fontId="4" numFmtId="169" xfId="0" applyAlignment="1" applyFont="1" applyNumberFormat="1">
      <alignment horizontal="center" readingOrder="0" shrinkToFit="0" wrapText="1"/>
    </xf>
    <xf borderId="0" fillId="0" fontId="16" numFmtId="10" xfId="0" applyAlignment="1" applyFont="1" applyNumberFormat="1">
      <alignment readingOrder="0" shrinkToFit="0" wrapText="1"/>
    </xf>
    <xf borderId="0" fillId="0" fontId="28" numFmtId="165" xfId="0" applyAlignment="1" applyFont="1" applyNumberFormat="1">
      <alignment readingOrder="0" shrinkToFit="0" wrapText="1"/>
    </xf>
    <xf borderId="4" fillId="0" fontId="2" numFmtId="0" xfId="0" applyAlignment="1" applyBorder="1" applyFont="1">
      <alignment horizontal="center" readingOrder="0" shrinkToFit="0" wrapText="1"/>
    </xf>
    <xf borderId="0" fillId="3" fontId="6" numFmtId="176" xfId="0" applyAlignment="1" applyFont="1" applyNumberFormat="1">
      <alignment horizontal="center" readingOrder="0" shrinkToFit="0" vertical="bottom" wrapText="1"/>
    </xf>
    <xf borderId="0" fillId="0" fontId="29" numFmtId="0" xfId="0" applyAlignment="1" applyFont="1">
      <alignment horizontal="center" readingOrder="0" shrinkToFit="0" wrapText="1"/>
    </xf>
    <xf borderId="0" fillId="3" fontId="23" numFmtId="0" xfId="0" applyAlignment="1" applyFont="1">
      <alignment horizontal="left" readingOrder="0" shrinkToFit="0" wrapText="1"/>
    </xf>
    <xf borderId="0" fillId="0" fontId="30" numFmtId="0" xfId="0" applyAlignment="1" applyFont="1">
      <alignment readingOrder="0" shrinkToFit="0" wrapText="1"/>
    </xf>
    <xf borderId="0" fillId="0" fontId="6" numFmtId="176" xfId="0" applyAlignment="1" applyFont="1" applyNumberFormat="1">
      <alignment horizontal="center" readingOrder="0" shrinkToFit="0" vertical="bottom" wrapText="1"/>
    </xf>
    <xf borderId="0" fillId="6" fontId="4" numFmtId="0" xfId="0" applyAlignment="1" applyFont="1">
      <alignment horizontal="center" readingOrder="0" shrinkToFit="0" vertical="top" wrapText="1"/>
    </xf>
    <xf borderId="0" fillId="6" fontId="4" numFmtId="167" xfId="0" applyAlignment="1" applyFont="1" applyNumberFormat="1">
      <alignment horizontal="center" readingOrder="0" shrinkToFit="0" vertical="top" wrapText="1"/>
    </xf>
    <xf borderId="0" fillId="3" fontId="6" numFmtId="0" xfId="0" applyAlignment="1" applyFont="1">
      <alignment horizontal="center" readingOrder="0" shrinkToFit="0" vertical="top" wrapText="1"/>
    </xf>
    <xf borderId="0" fillId="0" fontId="6" numFmtId="0" xfId="0" applyAlignment="1" applyFont="1">
      <alignment horizontal="center" readingOrder="0" shrinkToFit="0" vertical="top" wrapText="1"/>
    </xf>
    <xf borderId="0" fillId="0" fontId="2" numFmtId="0" xfId="0" applyAlignment="1" applyFont="1">
      <alignment horizontal="center" readingOrder="0" shrinkToFit="0" vertical="top" wrapText="1"/>
    </xf>
    <xf borderId="0" fillId="0" fontId="31" numFmtId="0" xfId="0" applyAlignment="1" applyFont="1">
      <alignment horizontal="center" readingOrder="0" shrinkToFit="0" vertical="top" wrapText="1"/>
    </xf>
    <xf borderId="0" fillId="0" fontId="32" numFmtId="0" xfId="0" applyAlignment="1" applyFont="1">
      <alignment horizontal="center" readingOrder="0" shrinkToFit="0" vertical="top" wrapText="1"/>
    </xf>
  </cellXfs>
  <cellStyles count="1">
    <cellStyle xfId="0" name="Normal" builtinId="0"/>
  </cellStyles>
  <dxfs count="21">
    <dxf>
      <font>
        <b/>
      </font>
      <fill>
        <patternFill patternType="none"/>
      </fill>
      <border/>
    </dxf>
    <dxf>
      <font/>
      <fill>
        <patternFill patternType="solid">
          <fgColor rgb="FFCC0000"/>
          <bgColor rgb="FFCC0000"/>
        </patternFill>
      </fill>
      <border/>
    </dxf>
    <dxf>
      <font>
        <b/>
      </font>
      <fill>
        <patternFill patternType="solid">
          <fgColor rgb="FFE06666"/>
          <bgColor rgb="FFE06666"/>
        </patternFill>
      </fill>
      <border/>
    </dxf>
    <dxf>
      <font>
        <b/>
      </font>
      <fill>
        <patternFill patternType="solid">
          <fgColor rgb="FF93C47D"/>
          <bgColor rgb="FF93C47D"/>
        </patternFill>
      </fill>
      <border/>
    </dxf>
    <dxf>
      <font>
        <color rgb="FFB7B7B7"/>
      </font>
      <fill>
        <patternFill patternType="none"/>
      </fill>
      <border/>
    </dxf>
    <dxf>
      <font>
        <color rgb="FFCCCCCC"/>
      </font>
      <fill>
        <patternFill patternType="none"/>
      </fill>
      <border/>
    </dxf>
    <dxf>
      <font/>
      <fill>
        <patternFill patternType="solid">
          <fgColor rgb="FFFF0000"/>
          <bgColor rgb="FFFF0000"/>
        </patternFill>
      </fill>
      <border/>
    </dxf>
    <dxf>
      <font/>
      <fill>
        <patternFill patternType="solid">
          <fgColor rgb="FF93C47D"/>
          <bgColor rgb="FF93C47D"/>
        </patternFill>
      </fill>
      <border/>
    </dxf>
    <dxf>
      <font/>
      <fill>
        <patternFill patternType="solid">
          <fgColor rgb="FFB6D7A8"/>
          <bgColor rgb="FFB6D7A8"/>
        </patternFill>
      </fill>
      <border/>
    </dxf>
    <dxf>
      <font/>
      <fill>
        <patternFill patternType="solid">
          <fgColor rgb="FFEA9999"/>
          <bgColor rgb="FFEA9999"/>
        </patternFill>
      </fill>
      <border/>
    </dxf>
    <dxf>
      <font>
        <b/>
        <color rgb="FF000000"/>
      </font>
      <fill>
        <patternFill patternType="none"/>
      </fill>
      <border/>
    </dxf>
    <dxf>
      <font>
        <b/>
      </font>
      <fill>
        <patternFill patternType="solid">
          <fgColor rgb="FFFF0000"/>
          <bgColor rgb="FFFF0000"/>
        </patternFill>
      </fill>
      <border/>
    </dxf>
    <dxf>
      <font/>
      <fill>
        <patternFill patternType="solid">
          <fgColor rgb="FFE06666"/>
          <bgColor rgb="FFE06666"/>
        </patternFill>
      </fill>
      <border/>
    </dxf>
    <dxf>
      <font/>
      <fill>
        <patternFill patternType="solid">
          <fgColor rgb="FFD9EAD3"/>
          <bgColor rgb="FFD9EAD3"/>
        </patternFill>
      </fill>
      <border/>
    </dxf>
    <dxf>
      <font/>
      <fill>
        <patternFill patternType="solid">
          <fgColor rgb="FFF4CCCC"/>
          <bgColor rgb="FFF4CCCC"/>
        </patternFill>
      </fill>
      <border/>
    </dxf>
    <dxf>
      <font>
        <b/>
      </font>
      <fill>
        <patternFill patternType="solid">
          <fgColor rgb="FFB7E1CD"/>
          <bgColor rgb="FFB7E1CD"/>
        </patternFill>
      </fill>
      <border/>
    </dxf>
    <dxf>
      <font>
        <color rgb="FFFFFFFF"/>
      </font>
      <fill>
        <patternFill patternType="solid">
          <fgColor rgb="FFFFFFFF"/>
          <bgColor rgb="FFFFFFFF"/>
        </patternFill>
      </fill>
      <border/>
    </dxf>
    <dxf>
      <font>
        <b/>
      </font>
      <fill>
        <patternFill patternType="solid">
          <fgColor rgb="FFF4C7C3"/>
          <bgColor rgb="FFF4C7C3"/>
        </patternFill>
      </fill>
      <border/>
    </dxf>
    <dxf>
      <font>
        <b/>
      </font>
      <fill>
        <patternFill patternType="solid">
          <fgColor rgb="FF6AA84F"/>
          <bgColor rgb="FF6AA84F"/>
        </patternFill>
      </fill>
      <border/>
    </dxf>
    <dxf>
      <font>
        <b/>
      </font>
      <fill>
        <patternFill patternType="solid">
          <fgColor rgb="FFCC0000"/>
          <bgColor rgb="FFCC0000"/>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22" Type="http://schemas.openxmlformats.org/officeDocument/2006/relationships/worksheet" Target="worksheets/sheet20.xml"/><Relationship Id="rId21" Type="http://schemas.openxmlformats.org/officeDocument/2006/relationships/worksheet" Target="worksheets/sheet19.xml"/><Relationship Id="rId24" Type="http://schemas.openxmlformats.org/officeDocument/2006/relationships/worksheet" Target="worksheets/sheet22.xml"/><Relationship Id="rId23" Type="http://schemas.openxmlformats.org/officeDocument/2006/relationships/worksheet" Target="worksheets/sheet21.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26" Type="http://schemas.openxmlformats.org/officeDocument/2006/relationships/worksheet" Target="worksheets/sheet24.xml"/><Relationship Id="rId25" Type="http://schemas.openxmlformats.org/officeDocument/2006/relationships/worksheet" Target="worksheets/sheet23.xml"/><Relationship Id="rId28" Type="http://schemas.openxmlformats.org/officeDocument/2006/relationships/worksheet" Target="worksheets/sheet26.xml"/><Relationship Id="rId27" Type="http://schemas.openxmlformats.org/officeDocument/2006/relationships/worksheet" Target="worksheets/sheet25.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8" Type="http://schemas.openxmlformats.org/officeDocument/2006/relationships/worksheet" Target="worksheets/sheet1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6.xml"/><Relationship Id="rId3"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goo.gl/amjmSv" TargetMode="External"/><Relationship Id="rId3" Type="http://schemas.openxmlformats.org/officeDocument/2006/relationships/drawing" Target="../drawings/drawing9.xml"/><Relationship Id="rId4"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0.xml"/><Relationship Id="rId3"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1.xml"/><Relationship Id="rId3"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12.xml"/><Relationship Id="rId3"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14.xml"/><Relationship Id="rId3" Type="http://schemas.openxmlformats.org/officeDocument/2006/relationships/vmlDrawing" Target="../drawings/vmlDrawing8.v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amazon.fr" TargetMode="External"/><Relationship Id="rId2" Type="http://schemas.openxmlformats.org/officeDocument/2006/relationships/hyperlink" Target="http://www.aliexpress.com" TargetMode="External"/><Relationship Id="rId3" Type="http://schemas.openxmlformats.org/officeDocument/2006/relationships/hyperlink" Target="http://www.aliexpress.com" TargetMode="External"/><Relationship Id="rId4"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7.xml"/><Relationship Id="rId3" Type="http://schemas.openxmlformats.org/officeDocument/2006/relationships/vmlDrawing" Target="../drawings/vmlDrawing9.v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dons.restosducoeur.org/particulier/~mon-don" TargetMode="External"/><Relationship Id="rId3" Type="http://schemas.openxmlformats.org/officeDocument/2006/relationships/hyperlink" Target="https://association-les-tout-petits.org/faire-un-don/" TargetMode="External"/><Relationship Id="rId4" Type="http://schemas.openxmlformats.org/officeDocument/2006/relationships/drawing" Target="../drawings/drawing20.xml"/><Relationship Id="rId5" Type="http://schemas.openxmlformats.org/officeDocument/2006/relationships/vmlDrawing" Target="../drawings/vmlDrawing10.vml"/></Relationships>
</file>

<file path=xl/worksheets/_rels/sheet21.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21.xml"/><Relationship Id="rId3" Type="http://schemas.openxmlformats.org/officeDocument/2006/relationships/vmlDrawing" Target="../drawings/vmlDrawing11.vml"/></Relationships>
</file>

<file path=xl/worksheets/_rels/sheet22.xml.rels><?xml version="1.0" encoding="UTF-8" standalone="yes"?><Relationships xmlns="http://schemas.openxmlformats.org/package/2006/relationships"><Relationship Id="rId1" Type="http://schemas.openxmlformats.org/officeDocument/2006/relationships/hyperlink" Target="https://bit.ly/FiMsForM" TargetMode="External"/><Relationship Id="rId2" Type="http://schemas.openxmlformats.org/officeDocument/2006/relationships/hyperlink" Target="https://www.service-public.fr/particuliers/vosdroits/F1059" TargetMode="External"/><Relationship Id="rId3"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comments" Target="../comments12.xml"/><Relationship Id="rId2" Type="http://schemas.openxmlformats.org/officeDocument/2006/relationships/drawing" Target="../drawings/drawing23.xml"/><Relationship Id="rId3" Type="http://schemas.openxmlformats.org/officeDocument/2006/relationships/vmlDrawing" Target="../drawings/vmlDrawing12.vml"/></Relationships>
</file>

<file path=xl/worksheets/_rels/sheet24.xml.rels><?xml version="1.0" encoding="UTF-8" standalone="yes"?><Relationships xmlns="http://schemas.openxmlformats.org/package/2006/relationships"><Relationship Id="rId1" Type="http://schemas.openxmlformats.org/officeDocument/2006/relationships/comments" Target="../comments13.xml"/><Relationship Id="rId2" Type="http://schemas.openxmlformats.org/officeDocument/2006/relationships/drawing" Target="../drawings/drawing24.xml"/><Relationship Id="rId3" Type="http://schemas.openxmlformats.org/officeDocument/2006/relationships/vmlDrawing" Target="../drawings/vmlDrawing13.vml"/></Relationships>
</file>

<file path=xl/worksheets/_rels/sheet25.xml.rels><?xml version="1.0" encoding="UTF-8" standalone="yes"?><Relationships xmlns="http://schemas.openxmlformats.org/package/2006/relationships"><Relationship Id="rId1" Type="http://schemas.openxmlformats.org/officeDocument/2006/relationships/comments" Target="../comments14.xml"/><Relationship Id="rId2" Type="http://schemas.openxmlformats.org/officeDocument/2006/relationships/drawing" Target="../drawings/drawing25.xml"/><Relationship Id="rId3" Type="http://schemas.openxmlformats.org/officeDocument/2006/relationships/vmlDrawing" Target="../drawings/vmlDrawing14.vml"/></Relationships>
</file>

<file path=xl/worksheets/_rels/sheet26.xml.rels><?xml version="1.0" encoding="UTF-8" standalone="yes"?><Relationships xmlns="http://schemas.openxmlformats.org/package/2006/relationships"><Relationship Id="rId1" Type="http://schemas.openxmlformats.org/officeDocument/2006/relationships/comments" Target="../comments15.xml"/><Relationship Id="rId2" Type="http://schemas.openxmlformats.org/officeDocument/2006/relationships/drawing" Target="../drawings/drawing26.xml"/><Relationship Id="rId3" Type="http://schemas.openxmlformats.org/officeDocument/2006/relationships/vmlDrawing" Target="../drawings/vmlDrawing15.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22.29"/>
    <col customWidth="1" min="2" max="2" width="35.0"/>
    <col customWidth="1" min="3" max="4" width="32.29"/>
    <col customWidth="1" min="5" max="5" width="35.14"/>
    <col customWidth="1" min="6" max="6" width="32.29"/>
  </cols>
  <sheetData>
    <row r="1">
      <c r="A1" s="1" t="s">
        <v>0</v>
      </c>
      <c r="B1" s="2" t="s">
        <v>1</v>
      </c>
      <c r="C1" s="2" t="s">
        <v>2</v>
      </c>
      <c r="D1" s="2" t="s">
        <v>3</v>
      </c>
      <c r="E1" s="2" t="s">
        <v>4</v>
      </c>
      <c r="F1" s="2" t="s">
        <v>5</v>
      </c>
    </row>
    <row r="2">
      <c r="A2" s="3" t="s">
        <v>6</v>
      </c>
      <c r="B2" s="4" t="s">
        <v>7</v>
      </c>
      <c r="C2" s="4" t="s">
        <v>8</v>
      </c>
      <c r="D2" s="4" t="s">
        <v>9</v>
      </c>
      <c r="E2" s="4" t="s">
        <v>10</v>
      </c>
      <c r="F2" s="4" t="s">
        <v>11</v>
      </c>
    </row>
    <row r="3">
      <c r="A3" s="3" t="s">
        <v>12</v>
      </c>
      <c r="B3" s="4" t="s">
        <v>13</v>
      </c>
      <c r="C3" s="4" t="s">
        <v>14</v>
      </c>
      <c r="D3" s="4" t="s">
        <v>15</v>
      </c>
      <c r="E3" s="5" t="s">
        <v>16</v>
      </c>
      <c r="F3" s="5" t="s">
        <v>17</v>
      </c>
    </row>
    <row r="4">
      <c r="A4" s="3" t="s">
        <v>18</v>
      </c>
      <c r="B4" s="4" t="s">
        <v>19</v>
      </c>
      <c r="C4" s="4" t="s">
        <v>20</v>
      </c>
      <c r="D4" s="4" t="s">
        <v>21</v>
      </c>
      <c r="E4" s="4" t="s">
        <v>22</v>
      </c>
      <c r="F4" s="4" t="s">
        <v>23</v>
      </c>
    </row>
    <row r="5">
      <c r="A5" s="3" t="s">
        <v>24</v>
      </c>
      <c r="B5" s="4" t="s">
        <v>25</v>
      </c>
      <c r="C5" s="4" t="s">
        <v>26</v>
      </c>
      <c r="D5" s="4" t="s">
        <v>27</v>
      </c>
      <c r="E5" s="5" t="s">
        <v>28</v>
      </c>
      <c r="F5" s="4" t="s">
        <v>29</v>
      </c>
    </row>
    <row r="6">
      <c r="A6" s="3" t="s">
        <v>30</v>
      </c>
      <c r="B6" s="5" t="s">
        <v>31</v>
      </c>
      <c r="C6" s="5" t="s">
        <v>32</v>
      </c>
      <c r="D6" s="5" t="s">
        <v>33</v>
      </c>
      <c r="E6" s="5" t="s">
        <v>34</v>
      </c>
      <c r="F6" s="5" t="s">
        <v>35</v>
      </c>
    </row>
    <row r="7">
      <c r="A7" s="3" t="s">
        <v>36</v>
      </c>
      <c r="B7" s="5" t="s">
        <v>37</v>
      </c>
      <c r="C7" s="5" t="s">
        <v>38</v>
      </c>
      <c r="D7" s="5" t="s">
        <v>39</v>
      </c>
      <c r="E7" s="5" t="s">
        <v>40</v>
      </c>
      <c r="F7" s="5" t="s">
        <v>41</v>
      </c>
    </row>
    <row r="8">
      <c r="A8" s="6" t="s">
        <v>26</v>
      </c>
      <c r="B8" s="6" t="s">
        <v>42</v>
      </c>
      <c r="C8" s="6" t="s">
        <v>43</v>
      </c>
      <c r="D8" s="6" t="s">
        <v>44</v>
      </c>
      <c r="E8" s="6" t="s">
        <v>45</v>
      </c>
      <c r="F8" s="7" t="s">
        <v>16</v>
      </c>
    </row>
    <row r="9">
      <c r="A9" s="5" t="s">
        <v>26</v>
      </c>
      <c r="B9" s="4" t="s">
        <v>19</v>
      </c>
      <c r="C9" s="4" t="s">
        <v>20</v>
      </c>
      <c r="D9" s="5" t="s">
        <v>21</v>
      </c>
      <c r="E9" s="4" t="s">
        <v>22</v>
      </c>
      <c r="F9" s="5" t="s">
        <v>16</v>
      </c>
    </row>
    <row r="10" hidden="1">
      <c r="A10" s="3" t="str">
        <f t="shared" ref="A10:A17" si="1">A1</f>
        <v>Savings</v>
      </c>
      <c r="B10" s="8">
        <f>MATCH(B1,Dashboard!$A:$A,0)</f>
        <v>1</v>
      </c>
      <c r="C10" s="8">
        <f>MATCH(C1,Dashboard!$A:$A,0)</f>
        <v>18</v>
      </c>
      <c r="D10" s="8">
        <f>MATCH(D1,Dashboard!$A:$A,0)</f>
        <v>30</v>
      </c>
      <c r="E10" s="8">
        <f>MATCH(E1,Dashboard!$A:$A,0)</f>
        <v>31</v>
      </c>
      <c r="F10" s="8">
        <f>MATCH(F1,Dashboard!$A:$A,0)</f>
        <v>32</v>
      </c>
    </row>
    <row r="11" hidden="1">
      <c r="A11" s="3" t="str">
        <f t="shared" si="1"/>
        <v>Expenses</v>
      </c>
      <c r="B11" s="8">
        <f>MATCH(B2,Dashboard!$A:$A,0)</f>
        <v>16</v>
      </c>
      <c r="C11" s="8">
        <f>MATCH(C2,Dashboard!$A:$A,0)</f>
        <v>14</v>
      </c>
      <c r="D11" s="8">
        <f>MATCH(D2,Dashboard!$A:$A,0)</f>
        <v>17</v>
      </c>
      <c r="E11" s="8">
        <f>MATCH(E2,Dashboard!$A:$A,0)</f>
        <v>20</v>
      </c>
      <c r="F11" s="8">
        <f>MATCH(F2,Dashboard!$A:$A,0)</f>
        <v>57</v>
      </c>
    </row>
    <row r="12" hidden="1">
      <c r="A12" s="3" t="str">
        <f t="shared" si="1"/>
        <v>Account</v>
      </c>
      <c r="B12" s="8">
        <f>MATCH(B3,Dashboard!$A:$A,0)</f>
        <v>46</v>
      </c>
      <c r="C12" s="8">
        <f>MATCH(C3,Dashboard!$A:$A,0)</f>
        <v>48</v>
      </c>
      <c r="D12" s="8">
        <f>MATCH(D3,Dashboard!$A:$A,0)</f>
        <v>47</v>
      </c>
      <c r="E12" s="8">
        <f>MATCH(E3,Dashboard!$A:$A,0)</f>
        <v>59</v>
      </c>
      <c r="F12" s="8">
        <f>MATCH(F3,Dashboard!$A:$A,0)</f>
        <v>60</v>
      </c>
    </row>
    <row r="13" hidden="1">
      <c r="A13" s="3" t="str">
        <f t="shared" si="1"/>
        <v>Portfolio</v>
      </c>
      <c r="B13" s="8">
        <f>MATCH(B4,Dashboard!$A:$A,0)</f>
        <v>35</v>
      </c>
      <c r="C13" s="8">
        <f>MATCH(C4,Dashboard!$A:$A,0)</f>
        <v>36</v>
      </c>
      <c r="D13" s="8">
        <f>MATCH(D4,Dashboard!$A:$A,0)</f>
        <v>37</v>
      </c>
      <c r="E13" s="8">
        <f>MATCH(E4,Dashboard!$A:$A,0)</f>
        <v>38</v>
      </c>
      <c r="F13" s="8">
        <f>MATCH(F4,Dashboard!$A:$A,0)</f>
        <v>39</v>
      </c>
    </row>
    <row r="14" hidden="1">
      <c r="A14" s="3" t="str">
        <f t="shared" si="1"/>
        <v>Allocations</v>
      </c>
      <c r="B14" s="8">
        <f>MATCH(B5,Dashboard!$A:$A,0)</f>
        <v>49</v>
      </c>
      <c r="C14" s="8">
        <f>MATCH(C5,Dashboard!$A:$A,0)</f>
        <v>51</v>
      </c>
      <c r="D14" s="8">
        <f>MATCH(D5,Dashboard!$A:$A,0)</f>
        <v>52</v>
      </c>
      <c r="E14" s="8">
        <f>MATCH(E5,Dashboard!$A:$A,0)</f>
        <v>50</v>
      </c>
      <c r="F14" s="8">
        <f>MATCH(F5,Dashboard!$A:$A,0)</f>
        <v>56</v>
      </c>
    </row>
    <row r="15" hidden="1">
      <c r="A15" s="3" t="str">
        <f t="shared" si="1"/>
        <v>Performances</v>
      </c>
      <c r="B15" s="8">
        <f>MATCH(B6,Dashboard!$A:$A,0)</f>
        <v>62</v>
      </c>
      <c r="C15" s="8">
        <f>MATCH(C6,Dashboard!$A:$A,0)</f>
        <v>61</v>
      </c>
      <c r="D15" s="8">
        <f>MATCH(D6,Dashboard!$A:$A,0)</f>
        <v>63</v>
      </c>
      <c r="E15" s="8">
        <f>MATCH(E6,Dashboard!$A:$A,0)</f>
        <v>21</v>
      </c>
      <c r="F15" s="8">
        <f>MATCH(F6,Dashboard!$A:$A,0)</f>
        <v>64</v>
      </c>
    </row>
    <row r="16" hidden="1">
      <c r="A16" s="3" t="str">
        <f t="shared" si="1"/>
        <v>Monthly</v>
      </c>
      <c r="B16" s="8">
        <f>MATCH(B7,Dashboard!$A:$A,0)</f>
        <v>24</v>
      </c>
      <c r="C16" s="8">
        <f>MATCH(C7,Dashboard!$A:$A,0)</f>
        <v>25</v>
      </c>
      <c r="D16" s="8">
        <f>MATCH(D7,Dashboard!$A:$A,0)</f>
        <v>26</v>
      </c>
      <c r="E16" s="8">
        <f>MATCH(E7,Dashboard!$A:$A,0)</f>
        <v>27</v>
      </c>
      <c r="F16" s="8">
        <f>MATCH(F7,Dashboard!$A:$A,0)</f>
        <v>28</v>
      </c>
    </row>
    <row r="17" hidden="1">
      <c r="A17" s="6" t="str">
        <f t="shared" si="1"/>
        <v>Margin</v>
      </c>
      <c r="B17" s="6" t="str">
        <f t="shared" ref="B17:F17" si="2">B8</f>
        <v>Stock value</v>
      </c>
      <c r="C17" s="6" t="str">
        <f t="shared" si="2"/>
        <v>Cash Fund</v>
      </c>
      <c r="D17" s="6" t="str">
        <f t="shared" si="2"/>
        <v>Total portfolio</v>
      </c>
      <c r="E17" s="6" t="str">
        <f t="shared" si="2"/>
        <v>Cumulated result</v>
      </c>
      <c r="F17" s="6" t="str">
        <f t="shared" si="2"/>
        <v>Today's result</v>
      </c>
    </row>
    <row r="18" hidden="1">
      <c r="A18" s="8">
        <f>MATCH(A9,Dashboard!$A:$A,0)</f>
        <v>51</v>
      </c>
      <c r="B18" s="8">
        <f>MATCH(B9,Dashboard!$A:$A,0)</f>
        <v>35</v>
      </c>
      <c r="C18" s="8">
        <f>MATCH(C9,Dashboard!$A:$A,0)</f>
        <v>36</v>
      </c>
      <c r="D18" s="8">
        <f>MATCH(D9,Dashboard!$A:$A,0)</f>
        <v>37</v>
      </c>
      <c r="E18" s="8">
        <f>MATCH(E9,Dashboard!$A:$A,0)</f>
        <v>38</v>
      </c>
      <c r="F18" s="8">
        <f>MATCH(F9,Dashboard!$A:$A,0)</f>
        <v>59</v>
      </c>
    </row>
  </sheetData>
  <dataValidations>
    <dataValidation type="list" allowBlank="1" showErrorMessage="1" sqref="B1:F7 A9:F9">
      <formula1>Dashboard!$A:$A</formula1>
    </dataValidation>
  </dataValidation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0.57"/>
    <col customWidth="1" min="2" max="2" width="13.43"/>
    <col customWidth="1" min="3" max="3" width="9.57"/>
    <col customWidth="1" min="4" max="4" width="13.71"/>
    <col customWidth="1" min="5" max="5" width="17.71"/>
    <col customWidth="1" min="6" max="6" width="10.29"/>
    <col customWidth="1" min="7" max="7" width="12.0"/>
    <col customWidth="1" min="8" max="8" width="12.29"/>
    <col customWidth="1" min="9" max="9" width="14.86"/>
    <col customWidth="1" min="10" max="10" width="18.86"/>
  </cols>
  <sheetData>
    <row r="1">
      <c r="A1" s="9" t="s">
        <v>46</v>
      </c>
      <c r="B1" s="9" t="s">
        <v>47</v>
      </c>
      <c r="C1" s="10" t="s">
        <v>48</v>
      </c>
      <c r="D1" s="9" t="s">
        <v>49</v>
      </c>
      <c r="E1" s="9" t="s">
        <v>50</v>
      </c>
      <c r="F1" s="11" t="s">
        <v>51</v>
      </c>
      <c r="G1" s="12" t="s">
        <v>52</v>
      </c>
      <c r="H1" s="13" t="s">
        <v>53</v>
      </c>
      <c r="I1" s="12" t="s">
        <v>54</v>
      </c>
      <c r="J1" s="13" t="s">
        <v>55</v>
      </c>
    </row>
    <row r="2">
      <c r="A2" s="14">
        <f>IF(ISDATE($A1),IF($A1+$F1&lt;=EOMONTH(DateTime!$B$1-TIME(3,0,0),0),$A1+$F1,""),IF($A1&lt;&gt;"",EOMONTH(DateTime!$B$1-TIME(3,0,0),-1)+1+CHOOSE(WEEKDAY(EOMONTH(DateTime!$B$1-TIME(3,0,0),-1)+1,2),0,0,0,0,0,2,1),))</f>
        <v>44137</v>
      </c>
      <c r="B2" s="15">
        <f>IF($A2,-SUMIFS(Historic!$G:$G,Historic!$H:$H,"&lt;&gt;XXXXXX",Historic!$A:$A,"&lt;="&amp;$A2),)</f>
        <v>875534.31</v>
      </c>
      <c r="C2" s="16" t="str">
        <f t="shared" ref="C2:C24" si="1">IF($A2,"EUR",)</f>
        <v>EUR</v>
      </c>
      <c r="D2" s="16">
        <v>0.0125</v>
      </c>
      <c r="E2" s="16">
        <f t="shared" ref="E2:E24" si="2">IF($A2,4%,)</f>
        <v>0.04</v>
      </c>
      <c r="F2" s="17">
        <f t="shared" ref="F2:F24" si="3">IF(WEEKDAY($A2,2)&lt;&gt;5,IF($A2,1,),3)</f>
        <v>1</v>
      </c>
      <c r="G2" s="15">
        <f t="shared" ref="G2:G24" si="4">IF($A2,(-H2*D2-I2*E2)/360*F2,)</f>
        <v>-30.48611111</v>
      </c>
      <c r="H2" s="18">
        <f>IF($A2,Dashboard!$B$49,)</f>
        <v>878000</v>
      </c>
      <c r="I2" s="18" t="str">
        <f t="shared" ref="I2:I24" si="5">IF(AND($H2&lt;&gt;"",$B2-$H2&gt;0),ROUNDUP($B2-$H2),"")</f>
        <v/>
      </c>
      <c r="J2" s="15">
        <f t="shared" ref="J2:J24" si="6">IFS(ROW()=2,$G2,$A2,$G2+$J1,$A2="","")</f>
        <v>-30.48611111</v>
      </c>
    </row>
    <row r="3">
      <c r="A3" s="14">
        <f>IF(ISDATE($A2),IF($A2+$F2&lt;=EOMONTH(DateTime!$B$1-TIME(3,0,0),0),$A2+$F2,""),IF($A2&lt;&gt;"",EOMONTH(DateTime!$B$1-TIME(3,0,0),-1)+1+CHOOSE(WEEKDAY(EOMONTH(DateTime!$B$1-TIME(3,0,0),-1)+1,2),0,0,0,0,0,2,1),))</f>
        <v>44138</v>
      </c>
      <c r="B3" s="15">
        <f>IF($A3,-SUMIFS(Historic!$G:$G,Historic!$H:$H,"&lt;&gt;XXXXXX",Historic!$A:$A,"&lt;="&amp;$A3),)</f>
        <v>876534.31</v>
      </c>
      <c r="C3" s="16" t="str">
        <f t="shared" si="1"/>
        <v>EUR</v>
      </c>
      <c r="D3" s="16">
        <v>0.0125</v>
      </c>
      <c r="E3" s="16">
        <f t="shared" si="2"/>
        <v>0.04</v>
      </c>
      <c r="F3" s="17">
        <f t="shared" si="3"/>
        <v>1</v>
      </c>
      <c r="G3" s="15">
        <f t="shared" si="4"/>
        <v>-30.48611111</v>
      </c>
      <c r="H3" s="18">
        <f>IF($A3,Dashboard!$B$49,)</f>
        <v>878000</v>
      </c>
      <c r="I3" s="18" t="str">
        <f t="shared" si="5"/>
        <v/>
      </c>
      <c r="J3" s="15">
        <f t="shared" si="6"/>
        <v>-60.97222222</v>
      </c>
    </row>
    <row r="4">
      <c r="A4" s="14">
        <f>IF(ISDATE($A3),IF($A3+$F3&lt;=EOMONTH(DateTime!$B$1-TIME(3,0,0),0),$A3+$F3,""),IF($A3&lt;&gt;"",EOMONTH(DateTime!$B$1-TIME(3,0,0),-1)+1+CHOOSE(WEEKDAY(EOMONTH(DateTime!$B$1-TIME(3,0,0),-1)+1,2),0,0,0,0,0,2,1),))</f>
        <v>44139</v>
      </c>
      <c r="B4" s="15">
        <f>IF($A4,-SUMIFS(Historic!$G:$G,Historic!$H:$H,"&lt;&gt;XXXXXX",Historic!$A:$A,"&lt;="&amp;$A4),)</f>
        <v>875534.31</v>
      </c>
      <c r="C4" s="16" t="str">
        <f t="shared" si="1"/>
        <v>EUR</v>
      </c>
      <c r="D4" s="16">
        <v>0.0125</v>
      </c>
      <c r="E4" s="16">
        <f t="shared" si="2"/>
        <v>0.04</v>
      </c>
      <c r="F4" s="17">
        <f t="shared" si="3"/>
        <v>1</v>
      </c>
      <c r="G4" s="15">
        <f t="shared" si="4"/>
        <v>-30.48611111</v>
      </c>
      <c r="H4" s="18">
        <f>IF($A4,Dashboard!$B$49,)</f>
        <v>878000</v>
      </c>
      <c r="I4" s="18" t="str">
        <f t="shared" si="5"/>
        <v/>
      </c>
      <c r="J4" s="15">
        <f t="shared" si="6"/>
        <v>-91.45833333</v>
      </c>
    </row>
    <row r="5">
      <c r="A5" s="14">
        <f>IF(ISDATE($A4),IF($A4+$F4&lt;=EOMONTH(DateTime!$B$1-TIME(3,0,0),0),$A4+$F4,""),IF($A4&lt;&gt;"",EOMONTH(DateTime!$B$1-TIME(3,0,0),-1)+1+CHOOSE(WEEKDAY(EOMONTH(DateTime!$B$1-TIME(3,0,0),-1)+1,2),0,0,0,0,0,2,1),))</f>
        <v>44140</v>
      </c>
      <c r="B5" s="15">
        <f>IF($A5,-SUMIFS(Historic!$G:$G,Historic!$H:$H,"&lt;&gt;XXXXXX",Historic!$A:$A,"&lt;="&amp;$A5),)</f>
        <v>862546.81</v>
      </c>
      <c r="C5" s="16" t="str">
        <f t="shared" si="1"/>
        <v>EUR</v>
      </c>
      <c r="D5" s="16">
        <v>0.0125</v>
      </c>
      <c r="E5" s="16">
        <f t="shared" si="2"/>
        <v>0.04</v>
      </c>
      <c r="F5" s="17">
        <f t="shared" si="3"/>
        <v>1</v>
      </c>
      <c r="G5" s="15">
        <f t="shared" si="4"/>
        <v>-30.48611111</v>
      </c>
      <c r="H5" s="18">
        <f>IF($A5,Dashboard!$B$49,)</f>
        <v>878000</v>
      </c>
      <c r="I5" s="18" t="str">
        <f t="shared" si="5"/>
        <v/>
      </c>
      <c r="J5" s="15">
        <f t="shared" si="6"/>
        <v>-121.9444444</v>
      </c>
    </row>
    <row r="6">
      <c r="A6" s="14">
        <f>IF(ISDATE($A5),IF($A5+$F5&lt;=EOMONTH(DateTime!$B$1-TIME(3,0,0),0),$A5+$F5,""),IF($A5&lt;&gt;"",EOMONTH(DateTime!$B$1-TIME(3,0,0),-1)+1+CHOOSE(WEEKDAY(EOMONTH(DateTime!$B$1-TIME(3,0,0),-1)+1,2),0,0,0,0,0,2,1),))</f>
        <v>44141</v>
      </c>
      <c r="B6" s="15">
        <f>IF($A6,-SUMIFS(Historic!$G:$G,Historic!$H:$H,"&lt;&gt;XXXXXX",Historic!$A:$A,"&lt;="&amp;$A6),)</f>
        <v>868765.33</v>
      </c>
      <c r="C6" s="16" t="str">
        <f t="shared" si="1"/>
        <v>EUR</v>
      </c>
      <c r="D6" s="16">
        <v>0.0125</v>
      </c>
      <c r="E6" s="16">
        <f t="shared" si="2"/>
        <v>0.04</v>
      </c>
      <c r="F6" s="17">
        <f t="shared" si="3"/>
        <v>3</v>
      </c>
      <c r="G6" s="15">
        <f t="shared" si="4"/>
        <v>-91.45833333</v>
      </c>
      <c r="H6" s="18">
        <f>IF($A6,Dashboard!$B$49,)</f>
        <v>878000</v>
      </c>
      <c r="I6" s="18" t="str">
        <f t="shared" si="5"/>
        <v/>
      </c>
      <c r="J6" s="15">
        <f t="shared" si="6"/>
        <v>-213.4027778</v>
      </c>
    </row>
    <row r="7">
      <c r="A7" s="14">
        <f>IF(ISDATE($A6),IF($A6+$F6&lt;=EOMONTH(DateTime!$B$1-TIME(3,0,0),0),$A6+$F6,""),IF($A6&lt;&gt;"",EOMONTH(DateTime!$B$1-TIME(3,0,0),-1)+1+CHOOSE(WEEKDAY(EOMONTH(DateTime!$B$1-TIME(3,0,0),-1)+1,2),0,0,0,0,0,2,1),))</f>
        <v>44144</v>
      </c>
      <c r="B7" s="15">
        <f>IF($A7,-SUMIFS(Historic!$G:$G,Historic!$H:$H,"&lt;&gt;XXXXXX",Historic!$A:$A,"&lt;="&amp;$A7),)</f>
        <v>880317.55</v>
      </c>
      <c r="C7" s="16" t="str">
        <f t="shared" si="1"/>
        <v>EUR</v>
      </c>
      <c r="D7" s="16">
        <v>0.0125</v>
      </c>
      <c r="E7" s="16">
        <f t="shared" si="2"/>
        <v>0.04</v>
      </c>
      <c r="F7" s="17">
        <f t="shared" si="3"/>
        <v>1</v>
      </c>
      <c r="G7" s="15">
        <f t="shared" si="4"/>
        <v>-30.74366667</v>
      </c>
      <c r="H7" s="18">
        <f>IF($A7,Dashboard!$B$49,)</f>
        <v>878000</v>
      </c>
      <c r="I7" s="18">
        <f t="shared" si="5"/>
        <v>2318</v>
      </c>
      <c r="J7" s="15">
        <f t="shared" si="6"/>
        <v>-244.1464444</v>
      </c>
    </row>
    <row r="8">
      <c r="A8" s="14">
        <f>IF(ISDATE($A7),IF($A7+$F7&lt;=EOMONTH(DateTime!$B$1-TIME(3,0,0),0),$A7+$F7,""),IF($A7&lt;&gt;"",EOMONTH(DateTime!$B$1-TIME(3,0,0),-1)+1+CHOOSE(WEEKDAY(EOMONTH(DateTime!$B$1-TIME(3,0,0),-1)+1,2),0,0,0,0,0,2,1),))</f>
        <v>44145</v>
      </c>
      <c r="B8" s="15">
        <f>IF($A8,-SUMIFS(Historic!$G:$G,Historic!$H:$H,"&lt;&gt;XXXXXX",Historic!$A:$A,"&lt;="&amp;$A8),)</f>
        <v>880317.55</v>
      </c>
      <c r="C8" s="16" t="str">
        <f t="shared" si="1"/>
        <v>EUR</v>
      </c>
      <c r="D8" s="16">
        <v>0.0125</v>
      </c>
      <c r="E8" s="16">
        <f t="shared" si="2"/>
        <v>0.04</v>
      </c>
      <c r="F8" s="17">
        <f t="shared" si="3"/>
        <v>1</v>
      </c>
      <c r="G8" s="15">
        <f t="shared" si="4"/>
        <v>-30.74366667</v>
      </c>
      <c r="H8" s="18">
        <f>IF($A8,Dashboard!$B$49,)</f>
        <v>878000</v>
      </c>
      <c r="I8" s="18">
        <f t="shared" si="5"/>
        <v>2318</v>
      </c>
      <c r="J8" s="15">
        <f t="shared" si="6"/>
        <v>-274.8901111</v>
      </c>
    </row>
    <row r="9">
      <c r="A9" s="14">
        <f>IF(ISDATE($A8),IF($A8+$F8&lt;=EOMONTH(DateTime!$B$1-TIME(3,0,0),0),$A8+$F8,""),IF($A8&lt;&gt;"",EOMONTH(DateTime!$B$1-TIME(3,0,0),-1)+1+CHOOSE(WEEKDAY(EOMONTH(DateTime!$B$1-TIME(3,0,0),-1)+1,2),0,0,0,0,0,2,1),))</f>
        <v>44146</v>
      </c>
      <c r="B9" s="15">
        <f>IF($A9,-SUMIFS(Historic!$G:$G,Historic!$H:$H,"&lt;&gt;XXXXXX",Historic!$A:$A,"&lt;="&amp;$A9),)</f>
        <v>880317.55</v>
      </c>
      <c r="C9" s="16" t="str">
        <f t="shared" si="1"/>
        <v>EUR</v>
      </c>
      <c r="D9" s="16">
        <v>0.0125</v>
      </c>
      <c r="E9" s="16">
        <f t="shared" si="2"/>
        <v>0.04</v>
      </c>
      <c r="F9" s="17">
        <f t="shared" si="3"/>
        <v>1</v>
      </c>
      <c r="G9" s="15">
        <f t="shared" si="4"/>
        <v>-30.74366667</v>
      </c>
      <c r="H9" s="18">
        <f>IF($A9,Dashboard!$B$49,)</f>
        <v>878000</v>
      </c>
      <c r="I9" s="18">
        <f t="shared" si="5"/>
        <v>2318</v>
      </c>
      <c r="J9" s="15">
        <f t="shared" si="6"/>
        <v>-305.6337778</v>
      </c>
    </row>
    <row r="10">
      <c r="A10" s="14">
        <f>IF(ISDATE($A9),IF($A9+$F9&lt;=EOMONTH(DateTime!$B$1-TIME(3,0,0),0),$A9+$F9,""),IF($A9&lt;&gt;"",EOMONTH(DateTime!$B$1-TIME(3,0,0),-1)+1+CHOOSE(WEEKDAY(EOMONTH(DateTime!$B$1-TIME(3,0,0),-1)+1,2),0,0,0,0,0,2,1),))</f>
        <v>44147</v>
      </c>
      <c r="B10" s="15">
        <f>IF($A10,-SUMIFS(Historic!$G:$G,Historic!$H:$H,"&lt;&gt;XXXXXX",Historic!$A:$A,"&lt;="&amp;$A10),)</f>
        <v>880317.55</v>
      </c>
      <c r="C10" s="16" t="str">
        <f t="shared" si="1"/>
        <v>EUR</v>
      </c>
      <c r="D10" s="16">
        <v>0.0125</v>
      </c>
      <c r="E10" s="16">
        <f t="shared" si="2"/>
        <v>0.04</v>
      </c>
      <c r="F10" s="17">
        <f t="shared" si="3"/>
        <v>1</v>
      </c>
      <c r="G10" s="15">
        <f t="shared" si="4"/>
        <v>-30.74366667</v>
      </c>
      <c r="H10" s="18">
        <f>IF($A10,Dashboard!$B$49,)</f>
        <v>878000</v>
      </c>
      <c r="I10" s="18">
        <f t="shared" si="5"/>
        <v>2318</v>
      </c>
      <c r="J10" s="15">
        <f t="shared" si="6"/>
        <v>-336.3774444</v>
      </c>
    </row>
    <row r="11">
      <c r="A11" s="14">
        <f>IF(ISDATE($A10),IF($A10+$F10&lt;=EOMONTH(DateTime!$B$1-TIME(3,0,0),0),$A10+$F10,""),IF($A10&lt;&gt;"",EOMONTH(DateTime!$B$1-TIME(3,0,0),-1)+1+CHOOSE(WEEKDAY(EOMONTH(DateTime!$B$1-TIME(3,0,0),-1)+1,2),0,0,0,0,0,2,1),))</f>
        <v>44148</v>
      </c>
      <c r="B11" s="15">
        <f>IF($A11,-SUMIFS(Historic!$G:$G,Historic!$H:$H,"&lt;&gt;XXXXXX",Historic!$A:$A,"&lt;="&amp;$A11),)</f>
        <v>880317.55</v>
      </c>
      <c r="C11" s="16" t="str">
        <f t="shared" si="1"/>
        <v>EUR</v>
      </c>
      <c r="D11" s="16">
        <v>0.0125</v>
      </c>
      <c r="E11" s="16">
        <f t="shared" si="2"/>
        <v>0.04</v>
      </c>
      <c r="F11" s="17">
        <f t="shared" si="3"/>
        <v>3</v>
      </c>
      <c r="G11" s="15">
        <f t="shared" si="4"/>
        <v>-92.231</v>
      </c>
      <c r="H11" s="18">
        <f>IF($A11,Dashboard!$B$49,)</f>
        <v>878000</v>
      </c>
      <c r="I11" s="18">
        <f t="shared" si="5"/>
        <v>2318</v>
      </c>
      <c r="J11" s="15">
        <f t="shared" si="6"/>
        <v>-428.6084444</v>
      </c>
    </row>
    <row r="12">
      <c r="A12" s="14">
        <f>IF(ISDATE($A11),IF($A11+$F11&lt;=EOMONTH(DateTime!$B$1-TIME(3,0,0),0),$A11+$F11,""),IF($A11&lt;&gt;"",EOMONTH(DateTime!$B$1-TIME(3,0,0),-1)+1+CHOOSE(WEEKDAY(EOMONTH(DateTime!$B$1-TIME(3,0,0),-1)+1,2),0,0,0,0,0,2,1),))</f>
        <v>44151</v>
      </c>
      <c r="B12" s="15">
        <f>IF($A12,-SUMIFS(Historic!$G:$G,Historic!$H:$H,"&lt;&gt;XXXXXX",Historic!$A:$A,"&lt;="&amp;$A12),)</f>
        <v>880317.55</v>
      </c>
      <c r="C12" s="16" t="str">
        <f t="shared" si="1"/>
        <v>EUR</v>
      </c>
      <c r="D12" s="16">
        <v>0.0125</v>
      </c>
      <c r="E12" s="16">
        <f t="shared" si="2"/>
        <v>0.04</v>
      </c>
      <c r="F12" s="17">
        <f t="shared" si="3"/>
        <v>1</v>
      </c>
      <c r="G12" s="15">
        <f t="shared" si="4"/>
        <v>-30.74366667</v>
      </c>
      <c r="H12" s="18">
        <f>IF($A12,Dashboard!$B$49,)</f>
        <v>878000</v>
      </c>
      <c r="I12" s="18">
        <f t="shared" si="5"/>
        <v>2318</v>
      </c>
      <c r="J12" s="15">
        <f t="shared" si="6"/>
        <v>-459.3521111</v>
      </c>
    </row>
    <row r="13">
      <c r="A13" s="14">
        <f>IF(ISDATE($A12),IF($A12+$F12&lt;=EOMONTH(DateTime!$B$1-TIME(3,0,0),0),$A12+$F12,""),IF($A12&lt;&gt;"",EOMONTH(DateTime!$B$1-TIME(3,0,0),-1)+1+CHOOSE(WEEKDAY(EOMONTH(DateTime!$B$1-TIME(3,0,0),-1)+1,2),0,0,0,0,0,2,1),))</f>
        <v>44152</v>
      </c>
      <c r="B13" s="15">
        <f>IF($A13,-SUMIFS(Historic!$G:$G,Historic!$H:$H,"&lt;&gt;XXXXXX",Historic!$A:$A,"&lt;="&amp;$A13),)</f>
        <v>880317.55</v>
      </c>
      <c r="C13" s="16" t="str">
        <f t="shared" si="1"/>
        <v>EUR</v>
      </c>
      <c r="D13" s="16">
        <v>0.0125</v>
      </c>
      <c r="E13" s="16">
        <f t="shared" si="2"/>
        <v>0.04</v>
      </c>
      <c r="F13" s="17">
        <f t="shared" si="3"/>
        <v>1</v>
      </c>
      <c r="G13" s="15">
        <f t="shared" si="4"/>
        <v>-30.74366667</v>
      </c>
      <c r="H13" s="18">
        <f>IF($A13,Dashboard!$B$49,)</f>
        <v>878000</v>
      </c>
      <c r="I13" s="18">
        <f t="shared" si="5"/>
        <v>2318</v>
      </c>
      <c r="J13" s="15">
        <f t="shared" si="6"/>
        <v>-490.0957778</v>
      </c>
    </row>
    <row r="14">
      <c r="A14" s="14">
        <f>IF(ISDATE($A13),IF($A13+$F13&lt;=EOMONTH(DateTime!$B$1-TIME(3,0,0),0),$A13+$F13,""),IF($A13&lt;&gt;"",EOMONTH(DateTime!$B$1-TIME(3,0,0),-1)+1+CHOOSE(WEEKDAY(EOMONTH(DateTime!$B$1-TIME(3,0,0),-1)+1,2),0,0,0,0,0,2,1),))</f>
        <v>44153</v>
      </c>
      <c r="B14" s="15">
        <f>IF($A14,-SUMIFS(Historic!$G:$G,Historic!$H:$H,"&lt;&gt;XXXXXX",Historic!$A:$A,"&lt;="&amp;$A14),)</f>
        <v>880317.55</v>
      </c>
      <c r="C14" s="16" t="str">
        <f t="shared" si="1"/>
        <v>EUR</v>
      </c>
      <c r="D14" s="16">
        <v>0.0125</v>
      </c>
      <c r="E14" s="16">
        <f t="shared" si="2"/>
        <v>0.04</v>
      </c>
      <c r="F14" s="17">
        <f t="shared" si="3"/>
        <v>1</v>
      </c>
      <c r="G14" s="15">
        <f t="shared" si="4"/>
        <v>-30.74366667</v>
      </c>
      <c r="H14" s="18">
        <f>IF($A14,Dashboard!$B$49,)</f>
        <v>878000</v>
      </c>
      <c r="I14" s="18">
        <f t="shared" si="5"/>
        <v>2318</v>
      </c>
      <c r="J14" s="15">
        <f t="shared" si="6"/>
        <v>-520.8394444</v>
      </c>
    </row>
    <row r="15">
      <c r="A15" s="14">
        <f>IF(ISDATE($A14),IF($A14+$F14&lt;=EOMONTH(DateTime!$B$1-TIME(3,0,0),0),$A14+$F14,""),IF($A14&lt;&gt;"",EOMONTH(DateTime!$B$1-TIME(3,0,0),-1)+1+CHOOSE(WEEKDAY(EOMONTH(DateTime!$B$1-TIME(3,0,0),-1)+1,2),0,0,0,0,0,2,1),))</f>
        <v>44154</v>
      </c>
      <c r="B15" s="15">
        <f>IF($A15,-SUMIFS(Historic!$G:$G,Historic!$H:$H,"&lt;&gt;XXXXXX",Historic!$A:$A,"&lt;="&amp;$A15),)</f>
        <v>880317.55</v>
      </c>
      <c r="C15" s="16" t="str">
        <f t="shared" si="1"/>
        <v>EUR</v>
      </c>
      <c r="D15" s="16">
        <v>0.0125</v>
      </c>
      <c r="E15" s="16">
        <f t="shared" si="2"/>
        <v>0.04</v>
      </c>
      <c r="F15" s="17">
        <f t="shared" si="3"/>
        <v>1</v>
      </c>
      <c r="G15" s="15">
        <f t="shared" si="4"/>
        <v>-30.74366667</v>
      </c>
      <c r="H15" s="18">
        <f>IF($A15,Dashboard!$B$49,)</f>
        <v>878000</v>
      </c>
      <c r="I15" s="18">
        <f t="shared" si="5"/>
        <v>2318</v>
      </c>
      <c r="J15" s="15">
        <f t="shared" si="6"/>
        <v>-551.5831111</v>
      </c>
    </row>
    <row r="16">
      <c r="A16" s="14">
        <f>IF(ISDATE($A15),IF($A15+$F15&lt;=EOMONTH(DateTime!$B$1-TIME(3,0,0),0),$A15+$F15,""),IF($A15&lt;&gt;"",EOMONTH(DateTime!$B$1-TIME(3,0,0),-1)+1+CHOOSE(WEEKDAY(EOMONTH(DateTime!$B$1-TIME(3,0,0),-1)+1,2),0,0,0,0,0,2,1),))</f>
        <v>44155</v>
      </c>
      <c r="B16" s="15">
        <f>IF($A16,-SUMIFS(Historic!$G:$G,Historic!$H:$H,"&lt;&gt;XXXXXX",Historic!$A:$A,"&lt;="&amp;$A16),)</f>
        <v>880317.55</v>
      </c>
      <c r="C16" s="16" t="str">
        <f t="shared" si="1"/>
        <v>EUR</v>
      </c>
      <c r="D16" s="16">
        <v>0.0125</v>
      </c>
      <c r="E16" s="16">
        <f t="shared" si="2"/>
        <v>0.04</v>
      </c>
      <c r="F16" s="17">
        <f t="shared" si="3"/>
        <v>3</v>
      </c>
      <c r="G16" s="15">
        <f t="shared" si="4"/>
        <v>-92.231</v>
      </c>
      <c r="H16" s="18">
        <f>IF($A16,Dashboard!$B$49,)</f>
        <v>878000</v>
      </c>
      <c r="I16" s="18">
        <f t="shared" si="5"/>
        <v>2318</v>
      </c>
      <c r="J16" s="15">
        <f t="shared" si="6"/>
        <v>-643.8141111</v>
      </c>
    </row>
    <row r="17">
      <c r="A17" s="14">
        <f>IF(ISDATE($A16),IF($A16+$F16&lt;=EOMONTH(DateTime!$B$1-TIME(3,0,0),0),$A16+$F16,""),IF($A16&lt;&gt;"",EOMONTH(DateTime!$B$1-TIME(3,0,0),-1)+1+CHOOSE(WEEKDAY(EOMONTH(DateTime!$B$1-TIME(3,0,0),-1)+1,2),0,0,0,0,0,2,1),))</f>
        <v>44158</v>
      </c>
      <c r="B17" s="15">
        <f>IF($A17,-SUMIFS(Historic!$G:$G,Historic!$H:$H,"&lt;&gt;XXXXXX",Historic!$A:$A,"&lt;="&amp;$A17),)</f>
        <v>880317.55</v>
      </c>
      <c r="C17" s="16" t="str">
        <f t="shared" si="1"/>
        <v>EUR</v>
      </c>
      <c r="D17" s="16">
        <v>0.0125</v>
      </c>
      <c r="E17" s="16">
        <f t="shared" si="2"/>
        <v>0.04</v>
      </c>
      <c r="F17" s="17">
        <f t="shared" si="3"/>
        <v>1</v>
      </c>
      <c r="G17" s="15">
        <f t="shared" si="4"/>
        <v>-30.74366667</v>
      </c>
      <c r="H17" s="18">
        <f>IF($A17,Dashboard!$B$49,)</f>
        <v>878000</v>
      </c>
      <c r="I17" s="18">
        <f t="shared" si="5"/>
        <v>2318</v>
      </c>
      <c r="J17" s="15">
        <f t="shared" si="6"/>
        <v>-674.5577778</v>
      </c>
    </row>
    <row r="18">
      <c r="A18" s="14">
        <f>IF(ISDATE($A17),IF($A17+$F17&lt;=EOMONTH(DateTime!$B$1-TIME(3,0,0),0),$A17+$F17,""),IF($A17&lt;&gt;"",EOMONTH(DateTime!$B$1-TIME(3,0,0),-1)+1+CHOOSE(WEEKDAY(EOMONTH(DateTime!$B$1-TIME(3,0,0),-1)+1,2),0,0,0,0,0,2,1),))</f>
        <v>44159</v>
      </c>
      <c r="B18" s="15">
        <f>IF($A18,-SUMIFS(Historic!$G:$G,Historic!$H:$H,"&lt;&gt;XXXXXX",Historic!$A:$A,"&lt;="&amp;$A18),)</f>
        <v>880317.55</v>
      </c>
      <c r="C18" s="16" t="str">
        <f t="shared" si="1"/>
        <v>EUR</v>
      </c>
      <c r="D18" s="16">
        <v>0.0125</v>
      </c>
      <c r="E18" s="16">
        <f t="shared" si="2"/>
        <v>0.04</v>
      </c>
      <c r="F18" s="17">
        <f t="shared" si="3"/>
        <v>1</v>
      </c>
      <c r="G18" s="15">
        <f t="shared" si="4"/>
        <v>-30.74366667</v>
      </c>
      <c r="H18" s="18">
        <f>IF($A18,Dashboard!$B$49,)</f>
        <v>878000</v>
      </c>
      <c r="I18" s="18">
        <f t="shared" si="5"/>
        <v>2318</v>
      </c>
      <c r="J18" s="15">
        <f t="shared" si="6"/>
        <v>-705.3014444</v>
      </c>
    </row>
    <row r="19">
      <c r="A19" s="14">
        <f>IF(ISDATE($A18),IF($A18+$F18&lt;=EOMONTH(DateTime!$B$1-TIME(3,0,0),0),$A18+$F18,""),IF($A18&lt;&gt;"",EOMONTH(DateTime!$B$1-TIME(3,0,0),-1)+1+CHOOSE(WEEKDAY(EOMONTH(DateTime!$B$1-TIME(3,0,0),-1)+1,2),0,0,0,0,0,2,1),))</f>
        <v>44160</v>
      </c>
      <c r="B19" s="15">
        <f>IF($A19,-SUMIFS(Historic!$G:$G,Historic!$H:$H,"&lt;&gt;XXXXXX",Historic!$A:$A,"&lt;="&amp;$A19),)</f>
        <v>880317.55</v>
      </c>
      <c r="C19" s="16" t="str">
        <f t="shared" si="1"/>
        <v>EUR</v>
      </c>
      <c r="D19" s="16">
        <v>0.0125</v>
      </c>
      <c r="E19" s="16">
        <f t="shared" si="2"/>
        <v>0.04</v>
      </c>
      <c r="F19" s="17">
        <f t="shared" si="3"/>
        <v>1</v>
      </c>
      <c r="G19" s="15">
        <f t="shared" si="4"/>
        <v>-30.74366667</v>
      </c>
      <c r="H19" s="18">
        <f>IF($A19,Dashboard!$B$49,)</f>
        <v>878000</v>
      </c>
      <c r="I19" s="18">
        <f t="shared" si="5"/>
        <v>2318</v>
      </c>
      <c r="J19" s="15">
        <f t="shared" si="6"/>
        <v>-736.0451111</v>
      </c>
    </row>
    <row r="20">
      <c r="A20" s="14">
        <f>IF(ISDATE($A19),IF($A19+$F19&lt;=EOMONTH(DateTime!$B$1-TIME(3,0,0),0),$A19+$F19,""),IF($A19&lt;&gt;"",EOMONTH(DateTime!$B$1-TIME(3,0,0),-1)+1+CHOOSE(WEEKDAY(EOMONTH(DateTime!$B$1-TIME(3,0,0),-1)+1,2),0,0,0,0,0,2,1),))</f>
        <v>44161</v>
      </c>
      <c r="B20" s="15">
        <f>IF($A20,-SUMIFS(Historic!$G:$G,Historic!$H:$H,"&lt;&gt;XXXXXX",Historic!$A:$A,"&lt;="&amp;$A20),)</f>
        <v>880317.55</v>
      </c>
      <c r="C20" s="16" t="str">
        <f t="shared" si="1"/>
        <v>EUR</v>
      </c>
      <c r="D20" s="16">
        <v>0.0125</v>
      </c>
      <c r="E20" s="16">
        <f t="shared" si="2"/>
        <v>0.04</v>
      </c>
      <c r="F20" s="17">
        <f t="shared" si="3"/>
        <v>1</v>
      </c>
      <c r="G20" s="15">
        <f t="shared" si="4"/>
        <v>-30.74366667</v>
      </c>
      <c r="H20" s="18">
        <f>IF($A20,Dashboard!$B$49,)</f>
        <v>878000</v>
      </c>
      <c r="I20" s="18">
        <f t="shared" si="5"/>
        <v>2318</v>
      </c>
      <c r="J20" s="15">
        <f t="shared" si="6"/>
        <v>-766.7887778</v>
      </c>
    </row>
    <row r="21">
      <c r="A21" s="14">
        <f>IF(ISDATE($A20),IF($A20+$F20&lt;=EOMONTH(DateTime!$B$1-TIME(3,0,0),0),$A20+$F20,""),IF($A20&lt;&gt;"",EOMONTH(DateTime!$B$1-TIME(3,0,0),-1)+1+CHOOSE(WEEKDAY(EOMONTH(DateTime!$B$1-TIME(3,0,0),-1)+1,2),0,0,0,0,0,2,1),))</f>
        <v>44162</v>
      </c>
      <c r="B21" s="15">
        <f>IF($A21,-SUMIFS(Historic!$G:$G,Historic!$H:$H,"&lt;&gt;XXXXXX",Historic!$A:$A,"&lt;="&amp;$A21),)</f>
        <v>880317.55</v>
      </c>
      <c r="C21" s="16" t="str">
        <f t="shared" si="1"/>
        <v>EUR</v>
      </c>
      <c r="D21" s="16">
        <v>0.0125</v>
      </c>
      <c r="E21" s="16">
        <f t="shared" si="2"/>
        <v>0.04</v>
      </c>
      <c r="F21" s="17">
        <f t="shared" si="3"/>
        <v>3</v>
      </c>
      <c r="G21" s="15">
        <f t="shared" si="4"/>
        <v>-92.231</v>
      </c>
      <c r="H21" s="18">
        <f>IF($A21,Dashboard!$B$49,)</f>
        <v>878000</v>
      </c>
      <c r="I21" s="18">
        <f t="shared" si="5"/>
        <v>2318</v>
      </c>
      <c r="J21" s="15">
        <f t="shared" si="6"/>
        <v>-859.0197778</v>
      </c>
    </row>
    <row r="22">
      <c r="A22" s="14">
        <f>IF(ISDATE($A21),IF($A21+$F21&lt;=EOMONTH(DateTime!$B$1-TIME(3,0,0),0),$A21+$F21,""),IF($A21&lt;&gt;"",EOMONTH(DateTime!$B$1-TIME(3,0,0),-1)+1+CHOOSE(WEEKDAY(EOMONTH(DateTime!$B$1-TIME(3,0,0),-1)+1,2),0,0,0,0,0,2,1),))</f>
        <v>44165</v>
      </c>
      <c r="B22" s="15">
        <f>IF($A22,-SUMIFS(Historic!$G:$G,Historic!$H:$H,"&lt;&gt;XXXXXX",Historic!$A:$A,"&lt;="&amp;$A22),)</f>
        <v>880317.55</v>
      </c>
      <c r="C22" s="16" t="str">
        <f t="shared" si="1"/>
        <v>EUR</v>
      </c>
      <c r="D22" s="16">
        <v>0.0125</v>
      </c>
      <c r="E22" s="16">
        <f t="shared" si="2"/>
        <v>0.04</v>
      </c>
      <c r="F22" s="17">
        <f t="shared" si="3"/>
        <v>1</v>
      </c>
      <c r="G22" s="15">
        <f t="shared" si="4"/>
        <v>-30.74366667</v>
      </c>
      <c r="H22" s="18">
        <f>IF($A22,Dashboard!$B$49,)</f>
        <v>878000</v>
      </c>
      <c r="I22" s="18">
        <f t="shared" si="5"/>
        <v>2318</v>
      </c>
      <c r="J22" s="15">
        <f t="shared" si="6"/>
        <v>-889.7634444</v>
      </c>
    </row>
    <row r="23">
      <c r="A23" s="14" t="str">
        <f>IF(ISDATE($A22),IF($A22+$F22&lt;=EOMONTH(DateTime!$B$1-TIME(3,0,0),0),$A22+$F22,""),IF($A22&lt;&gt;"",EOMONTH(DateTime!$B$1-TIME(3,0,0),-1)+1+CHOOSE(WEEKDAY(EOMONTH(DateTime!$B$1-TIME(3,0,0),-1)+1,2),0,0,0,0,0,2,1),))</f>
        <v/>
      </c>
      <c r="B23" s="15" t="str">
        <f>IF($A23,-SUMIFS(Historic!$G:$G,Historic!$H:$H,"&lt;&gt;XXXXXX",Historic!$A:$A,"&lt;="&amp;$A23),)</f>
        <v/>
      </c>
      <c r="C23" s="16" t="str">
        <f t="shared" si="1"/>
        <v/>
      </c>
      <c r="D23" s="16"/>
      <c r="E23" s="16" t="str">
        <f t="shared" si="2"/>
        <v/>
      </c>
      <c r="F23" s="17" t="str">
        <f t="shared" si="3"/>
        <v/>
      </c>
      <c r="G23" s="19" t="str">
        <f t="shared" si="4"/>
        <v/>
      </c>
      <c r="H23" s="18" t="str">
        <f>IF($A23,Dashboard!$B$49,)</f>
        <v/>
      </c>
      <c r="I23" s="18" t="str">
        <f t="shared" si="5"/>
        <v/>
      </c>
      <c r="J23" s="15" t="str">
        <f t="shared" si="6"/>
        <v/>
      </c>
    </row>
    <row r="24">
      <c r="A24" s="14" t="str">
        <f>IF(ISDATE($A23),IF($A23+$F23&lt;=EOMONTH(DateTime!$B$1-TIME(3,0,0),0),$A23+$F23,""),IF($A23&lt;&gt;"",EOMONTH(DateTime!$B$1-TIME(3,0,0),-1)+1+CHOOSE(WEEKDAY(EOMONTH(DateTime!$B$1-TIME(3,0,0),-1)+1,2),0,0,0,0,0,2,1),))</f>
        <v/>
      </c>
      <c r="B24" s="15" t="str">
        <f>IF($A24,-SUMIFS(Historic!$G:$G,Historic!$H:$H,"&lt;&gt;XXXXXX",Historic!$A:$A,"&lt;="&amp;$A24),)</f>
        <v/>
      </c>
      <c r="C24" s="16" t="str">
        <f t="shared" si="1"/>
        <v/>
      </c>
      <c r="D24" s="16"/>
      <c r="E24" s="16" t="str">
        <f t="shared" si="2"/>
        <v/>
      </c>
      <c r="F24" s="17" t="str">
        <f t="shared" si="3"/>
        <v/>
      </c>
      <c r="G24" s="19" t="str">
        <f t="shared" si="4"/>
        <v/>
      </c>
      <c r="H24" s="18" t="str">
        <f>IF($A24,Dashboard!$B$49,)</f>
        <v/>
      </c>
      <c r="I24" s="18" t="str">
        <f t="shared" si="5"/>
        <v/>
      </c>
      <c r="J24" s="15" t="str">
        <f t="shared" si="6"/>
        <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10.86"/>
    <col customWidth="1" min="2" max="2" width="9.29"/>
    <col customWidth="1" min="3" max="3" width="10.86"/>
    <col customWidth="1" min="4" max="4" width="44.0"/>
    <col customWidth="1" min="5" max="5" width="15.86"/>
    <col customWidth="1" min="6" max="6" width="42.57"/>
    <col customWidth="1" min="7" max="7" width="7.0"/>
    <col customWidth="1" min="8" max="8" width="12.0"/>
    <col customWidth="1" min="9" max="9" width="10.71"/>
    <col customWidth="1" min="10" max="10" width="6.0"/>
    <col customWidth="1" min="11" max="11" width="10.71"/>
    <col customWidth="1" min="12" max="12" width="11.0"/>
    <col customWidth="1" min="13" max="13" width="6.43"/>
    <col customWidth="1" min="14" max="14" width="11.29"/>
    <col customWidth="1" min="15" max="15" width="18.57"/>
    <col customWidth="1" min="16" max="16" width="10.71"/>
    <col customWidth="1" min="17" max="17" width="30.43"/>
    <col customWidth="1" min="18" max="18" width="31.14"/>
    <col customWidth="1" min="19" max="19" width="22.29"/>
    <col customWidth="1" min="20" max="20" width="11.57"/>
    <col customWidth="1" min="21" max="21" width="8.0"/>
    <col customWidth="1" min="22" max="22" width="11.29"/>
    <col customWidth="1" min="23" max="23" width="10.14"/>
    <col customWidth="1" min="24" max="24" width="9.0"/>
    <col customWidth="1" min="25" max="25" width="11.86"/>
    <col customWidth="1" min="26" max="26" width="15.86"/>
    <col customWidth="1" min="27" max="27" width="8.57"/>
    <col customWidth="1" min="28" max="28" width="16.0"/>
    <col customWidth="1" min="29" max="29" width="6.0"/>
    <col customWidth="1" min="30" max="37" width="9.57"/>
  </cols>
  <sheetData>
    <row r="1">
      <c r="A1" s="20" t="s">
        <v>46</v>
      </c>
      <c r="B1" s="20" t="s">
        <v>56</v>
      </c>
      <c r="C1" s="20" t="s">
        <v>57</v>
      </c>
      <c r="D1" s="20" t="s">
        <v>58</v>
      </c>
      <c r="E1" s="20" t="s">
        <v>59</v>
      </c>
      <c r="F1" s="21" t="s">
        <v>60</v>
      </c>
      <c r="G1" s="20" t="s">
        <v>61</v>
      </c>
      <c r="H1" s="20" t="s">
        <v>62</v>
      </c>
      <c r="I1" s="20"/>
      <c r="J1" s="20" t="s">
        <v>63</v>
      </c>
      <c r="K1" s="20"/>
      <c r="L1" s="21" t="s">
        <v>64</v>
      </c>
      <c r="M1" s="22" t="str">
        <f>IFERROR(__xludf.DUMMYFUNCTION("IFS(W1=""Achat"",IFERROR(VALUE(X1),VALUE(REGEXREPLACE(T(X1),""[^0-9]"",""""))),W1=""Vente"",-IFERROR(VALUE(X1),VALUE(REGEXREPLACE(T(X1),""[^0-9]"",""""))),Y1=""Change"",0,Y1&lt;&gt;""Change"","""")"),"")</f>
        <v/>
      </c>
      <c r="N1" s="23"/>
      <c r="O1" s="24"/>
      <c r="P1" s="25" t="s">
        <v>46</v>
      </c>
      <c r="Q1" s="26" t="s">
        <v>65</v>
      </c>
      <c r="R1" s="27" t="s">
        <v>66</v>
      </c>
      <c r="S1" s="26" t="s">
        <v>67</v>
      </c>
      <c r="T1" s="26" t="s">
        <v>68</v>
      </c>
      <c r="U1" s="28" t="s">
        <v>69</v>
      </c>
      <c r="V1" s="29" t="s">
        <v>70</v>
      </c>
      <c r="W1" s="30"/>
      <c r="X1" s="31"/>
      <c r="Y1" s="31"/>
      <c r="Z1" s="30"/>
      <c r="AA1" s="31"/>
      <c r="AB1" s="30"/>
      <c r="AC1" s="32"/>
      <c r="AD1" s="32"/>
      <c r="AE1" s="32"/>
      <c r="AF1" s="32"/>
      <c r="AG1" s="32"/>
      <c r="AH1" s="32"/>
      <c r="AI1" s="32"/>
      <c r="AJ1" s="32"/>
      <c r="AK1" s="32"/>
    </row>
    <row r="2">
      <c r="A2" s="20" t="s">
        <v>71</v>
      </c>
      <c r="B2" s="20" t="s">
        <v>72</v>
      </c>
      <c r="C2" s="20" t="s">
        <v>71</v>
      </c>
      <c r="D2" s="20" t="s">
        <v>73</v>
      </c>
      <c r="E2" s="20" t="s">
        <v>74</v>
      </c>
      <c r="F2" s="21" t="s">
        <v>75</v>
      </c>
      <c r="G2" s="20"/>
      <c r="H2" s="20" t="s">
        <v>76</v>
      </c>
      <c r="I2" s="20" t="s">
        <v>77</v>
      </c>
      <c r="J2" s="20" t="s">
        <v>76</v>
      </c>
      <c r="K2" s="20" t="s">
        <v>78</v>
      </c>
      <c r="L2" s="21" t="s">
        <v>79</v>
      </c>
      <c r="M2" s="33" t="str">
        <f>IFERROR(__xludf.DUMMYFUNCTION("IFS(W2=""Achat"",IFERROR(VALUE(X2),VALUE(REGEXREPLACE(T(X2),""[^0-9]"",""""))),W2=""Vente"",-IFERROR(VALUE(X2),VALUE(REGEXREPLACE(T(X2),""[^0-9]"",""""))),Y2=""Change"",0,Y2&lt;&gt;""Change"","""")"),"")</f>
        <v/>
      </c>
      <c r="N2" s="34">
        <f>IFERROR(__xludf.DUMMYFUNCTION("IF(Account!$F2&lt;&gt;"""", VALUE(REGEXREPLACE($I2, ""\,"", ""."")), """")"),-2.0)</f>
        <v>-2</v>
      </c>
      <c r="O2" s="35">
        <f>IF(Account!$F2&lt;&gt;"", DATEVALUE(MID($A2,4,3) &amp; LEFT($A2,3) &amp; RIGHT($A2,4)) + TIMEVALUE($B2), "")</f>
        <v>44144.61458</v>
      </c>
      <c r="P2" s="36">
        <f>IF(Account!$F2&lt;&gt;"", DATEVALUE(MID($C2,4,3) &amp; LEFT($C2,3) &amp; RIGHT($C2,4)), "")</f>
        <v>44144</v>
      </c>
      <c r="Q2" s="37" t="str">
        <f t="array" ref="Q2">IF($R2&lt;&gt;"",IFERROR(INDEX(ISIN!$B:$B,MATCH($R2,ISIN!$C:$C,0))),)</f>
        <v>Long term US bonds (20-25 year)</v>
      </c>
      <c r="R2" s="38" t="str">
        <f t="array" ref="R2">IF($E2&lt;&gt;"",IFERROR(INDEX(ISIN!$C:$C,MATCH($E2,ISIN!$A:$A,0)),IFERROR(INDEX($R3:$R1200,MATCH($K2,$K3:$K1200,0)))),IF(AND($Y2="change",$H2="EUR"),IF($O2=$O3,$R3,IF($O2=$O1,$R1)),IFERROR(INDEX($R3:$R1200,MATCH(SUBSTITUTE($I2,"-","",1),$K3:$K1200,0)))))</f>
        <v>iShares Treasury Bond 20+ UCITS</v>
      </c>
      <c r="S2" s="37" t="str">
        <f t="shared" ref="S2:S1200" si="1">IFS(P2="","",OR(W2="Versement",W2="Dépôt",Z2="Transfer"),"APPROVISIONNEMENT",OR(W2="Frais",Y2="Argent",W2="Distribution",W2="Conversion",R2="",AND(M2=0,ABS(N2)&lt;10)),"COST",T2="","DIVIDEND",T2&gt;0,"BUY",T2&lt;0,"SELL")</f>
        <v>COST</v>
      </c>
      <c r="T2" s="39" t="str">
        <f t="shared" ref="T2:T1200" si="2">IF(AND(OR($W2="Achat",$W2="Vente", $Y2="change"),OR(M2&lt;&gt;0,ABS(N2)&gt;=10),E2&lt;&gt;""),IF(SUMIFS(M:M,O:O,O2,R:R,R2)&lt;&gt;0,SUMIFS(M:M,O:O,O2,R:R,R2),""),"")</f>
        <v/>
      </c>
      <c r="U2" s="40" t="str">
        <f t="shared" ref="U2:U1200" si="3">IF(AND(T2&lt;&gt;0,T2&lt;&gt;""),-V2/T2,"")</f>
        <v/>
      </c>
      <c r="V2" s="34">
        <f t="shared" ref="V2:V1200" si="4"> IF(AND($F2&lt;&gt;"",$W2&lt;&gt;"Retrait",$X2&lt;&gt;"Flatex",$Z2&lt;&gt;"Flatex"),IF(R2&lt;&gt;"",SUMIFS(N:N,O:O,O2,S:S,S2,R:R,R2),SUMIFS(N:N,O:O,O2,S:S,S2,R:R,"=")),"")</f>
        <v>-3.14</v>
      </c>
      <c r="W2" s="41" t="str">
        <f>IFERROR(__xludf.DUMMYFUNCTION(" IF(Account!$F2&lt;&gt;"""", SPLIT(Account!$F2, "" ""), """")"),"Frais")</f>
        <v>Frais</v>
      </c>
      <c r="X2" s="42" t="str">
        <f>IFERROR(__xludf.DUMMYFUNCTION("""COMPUTED_VALUE"""),"de")</f>
        <v>de</v>
      </c>
      <c r="Y2" s="43" t="str">
        <f>IFERROR(__xludf.DUMMYFUNCTION("""COMPUTED_VALUE"""),"courtage")</f>
        <v>courtage</v>
      </c>
      <c r="Z2" s="43"/>
      <c r="AA2" s="43"/>
      <c r="AB2" s="43"/>
      <c r="AC2" s="43"/>
      <c r="AD2" s="43"/>
      <c r="AE2" s="43"/>
      <c r="AF2" s="43"/>
      <c r="AG2" s="43"/>
      <c r="AH2" s="43"/>
      <c r="AI2" s="43"/>
      <c r="AJ2" s="43"/>
      <c r="AK2" s="43"/>
    </row>
    <row r="3">
      <c r="A3" s="20" t="s">
        <v>71</v>
      </c>
      <c r="B3" s="20" t="s">
        <v>72</v>
      </c>
      <c r="C3" s="20" t="s">
        <v>71</v>
      </c>
      <c r="D3" s="20" t="s">
        <v>73</v>
      </c>
      <c r="E3" s="20" t="s">
        <v>74</v>
      </c>
      <c r="F3" s="21" t="s">
        <v>75</v>
      </c>
      <c r="G3" s="20"/>
      <c r="H3" s="20" t="s">
        <v>76</v>
      </c>
      <c r="I3" s="20" t="s">
        <v>80</v>
      </c>
      <c r="J3" s="20" t="s">
        <v>76</v>
      </c>
      <c r="K3" s="20" t="s">
        <v>81</v>
      </c>
      <c r="L3" s="21" t="s">
        <v>79</v>
      </c>
      <c r="M3" s="33" t="str">
        <f>IFERROR(__xludf.DUMMYFUNCTION("IFS(W3=""Achat"",IFERROR(VALUE(X3),VALUE(REGEXREPLACE(T(X3),""[^0-9]"",""""))),W3=""Vente"",-IFERROR(VALUE(X3),VALUE(REGEXREPLACE(T(X3),""[^0-9]"",""""))),Y3=""Change"",0,Y3&lt;&gt;""Change"","""")"),"")</f>
        <v/>
      </c>
      <c r="N3" s="34">
        <f>IFERROR(__xludf.DUMMYFUNCTION("IF(Account!$F3&lt;&gt;"""", VALUE(REGEXREPLACE($I3, ""\,"", ""."")), """")"),-1.14)</f>
        <v>-1.14</v>
      </c>
      <c r="O3" s="35">
        <f>IF(Account!$F3&lt;&gt;"", DATEVALUE(MID($A3,4,3) &amp; LEFT($A3,3) &amp; RIGHT($A3,4)) + TIMEVALUE($B3), "")</f>
        <v>44144.61458</v>
      </c>
      <c r="P3" s="36">
        <f>IF(Account!$F3&lt;&gt;"", DATEVALUE(MID($C3,4,3) &amp; LEFT($C3,3) &amp; RIGHT($C3,4)), "")</f>
        <v>44144</v>
      </c>
      <c r="Q3" s="37" t="str">
        <f t="array" ref="Q3">IF($R3&lt;&gt;"",IFERROR(INDEX(ISIN!$B:$B,MATCH($R3,ISIN!$C:$C,0))),)</f>
        <v>Long term US bonds (20-25 year)</v>
      </c>
      <c r="R3" s="38" t="str">
        <f t="array" ref="R3">IF($E3&lt;&gt;"",IFERROR(INDEX(ISIN!$C:$C,MATCH($E3,ISIN!$A:$A,0)),IFERROR(INDEX($R4:$R1200,MATCH($K3,$K4:$K1200,0)))),IF(AND($Y3="change",$H3="EUR"),IF($O3=$O4,$R4,IF($O3=$O2,$R2)),IFERROR(INDEX($R4:$R1200,MATCH(SUBSTITUTE($I3,"-","",1),$K4:$K1200,0)))))</f>
        <v>iShares Treasury Bond 20+ UCITS</v>
      </c>
      <c r="S3" s="37" t="str">
        <f t="shared" si="1"/>
        <v>COST</v>
      </c>
      <c r="T3" s="39" t="str">
        <f t="shared" si="2"/>
        <v/>
      </c>
      <c r="U3" s="40" t="str">
        <f t="shared" si="3"/>
        <v/>
      </c>
      <c r="V3" s="34">
        <f t="shared" si="4"/>
        <v>-3.14</v>
      </c>
      <c r="W3" s="41" t="str">
        <f>IFERROR(__xludf.DUMMYFUNCTION(" IF(Account!$F3&lt;&gt;"""", SPLIT(Account!$F3, "" ""), """")"),"Frais")</f>
        <v>Frais</v>
      </c>
      <c r="X3" s="42" t="str">
        <f>IFERROR(__xludf.DUMMYFUNCTION("""COMPUTED_VALUE"""),"de")</f>
        <v>de</v>
      </c>
      <c r="Y3" s="43" t="str">
        <f>IFERROR(__xludf.DUMMYFUNCTION("""COMPUTED_VALUE"""),"courtage")</f>
        <v>courtage</v>
      </c>
      <c r="Z3" s="43"/>
      <c r="AA3" s="43"/>
      <c r="AB3" s="43"/>
      <c r="AC3" s="43"/>
      <c r="AD3" s="43"/>
      <c r="AE3" s="43"/>
      <c r="AF3" s="43"/>
      <c r="AG3" s="43"/>
      <c r="AH3" s="43"/>
      <c r="AI3" s="43"/>
      <c r="AJ3" s="43"/>
      <c r="AK3" s="43"/>
    </row>
    <row r="4">
      <c r="A4" s="20" t="s">
        <v>71</v>
      </c>
      <c r="B4" s="20" t="s">
        <v>72</v>
      </c>
      <c r="C4" s="20" t="s">
        <v>71</v>
      </c>
      <c r="D4" s="20" t="s">
        <v>73</v>
      </c>
      <c r="E4" s="20" t="s">
        <v>74</v>
      </c>
      <c r="F4" s="21" t="s">
        <v>82</v>
      </c>
      <c r="G4" s="20"/>
      <c r="H4" s="20" t="s">
        <v>76</v>
      </c>
      <c r="I4" s="20" t="s">
        <v>83</v>
      </c>
      <c r="J4" s="20" t="s">
        <v>76</v>
      </c>
      <c r="K4" s="20" t="s">
        <v>84</v>
      </c>
      <c r="L4" s="21" t="s">
        <v>79</v>
      </c>
      <c r="M4" s="33">
        <f>IFERROR(__xludf.DUMMYFUNCTION("IFS(W4=""Achat"",IFERROR(VALUE(X4),VALUE(REGEXREPLACE(T(X4),""[^0-9]"",""""))),W4=""Vente"",-IFERROR(VALUE(X4),VALUE(REGEXREPLACE(T(X4),""[^0-9]"",""""))),Y4=""Change"",0,Y4&lt;&gt;""Change"","""")"),1160.0)</f>
        <v>1160</v>
      </c>
      <c r="N4" s="34">
        <f>IFERROR(__xludf.DUMMYFUNCTION("IF(Account!$F4&lt;&gt;"""", VALUE(REGEXREPLACE($I4, ""\,"", ""."")), """")"),-5707.2)</f>
        <v>-5707.2</v>
      </c>
      <c r="O4" s="35">
        <f>IF(Account!$F4&lt;&gt;"", DATEVALUE(MID($A4,4,3) &amp; LEFT($A4,3) &amp; RIGHT($A4,4)) + TIMEVALUE($B4), "")</f>
        <v>44144.61458</v>
      </c>
      <c r="P4" s="36">
        <f>IF(Account!$F4&lt;&gt;"", DATEVALUE(MID($C4,4,3) &amp; LEFT($C4,3) &amp; RIGHT($C4,4)), "")</f>
        <v>44144</v>
      </c>
      <c r="Q4" s="37" t="str">
        <f t="array" ref="Q4">IF($R4&lt;&gt;"",IFERROR(INDEX(ISIN!$B:$B,MATCH($R4,ISIN!$C:$C,0))),)</f>
        <v>Long term US bonds (20-25 year)</v>
      </c>
      <c r="R4" s="38" t="str">
        <f t="array" ref="R4">IF($E4&lt;&gt;"",IFERROR(INDEX(ISIN!$C:$C,MATCH($E4,ISIN!$A:$A,0)),IFERROR(INDEX($R5:$R1200,MATCH($K4,$K5:$K1200,0)))),IF(AND($Y4="change",$H4="EUR"),IF($O4=$O5,$R5,IF($O4=$O3,$R3)),IFERROR(INDEX($R5:$R1200,MATCH(SUBSTITUTE($I4,"-","",1),$K5:$K1200,0)))))</f>
        <v>iShares Treasury Bond 20+ UCITS</v>
      </c>
      <c r="S4" s="37" t="str">
        <f t="shared" si="1"/>
        <v>BUY</v>
      </c>
      <c r="T4" s="39">
        <f t="shared" si="2"/>
        <v>1160</v>
      </c>
      <c r="U4" s="40">
        <f t="shared" si="3"/>
        <v>4.92</v>
      </c>
      <c r="V4" s="34">
        <f t="shared" si="4"/>
        <v>-5707.2</v>
      </c>
      <c r="W4" s="41" t="str">
        <f>IFERROR(__xludf.DUMMYFUNCTION(" IF(Account!$F4&lt;&gt;"""", SPLIT(Account!$F4, "" ""), """")"),"Achat")</f>
        <v>Achat</v>
      </c>
      <c r="X4" s="44" t="str">
        <f>IFERROR(__xludf.DUMMYFUNCTION("""COMPUTED_VALUE"""),"1 160")</f>
        <v>1 160</v>
      </c>
      <c r="Y4" s="44" t="str">
        <f>IFERROR(__xludf.DUMMYFUNCTION("""COMPUTED_VALUE"""),"iShares")</f>
        <v>iShares</v>
      </c>
      <c r="Z4" s="44" t="str">
        <f>IFERROR(__xludf.DUMMYFUNCTION("""COMPUTED_VALUE"""),"$")</f>
        <v>$</v>
      </c>
      <c r="AA4" s="44" t="str">
        <f>IFERROR(__xludf.DUMMYFUNCTION("""COMPUTED_VALUE"""),"Treasury")</f>
        <v>Treasury</v>
      </c>
      <c r="AB4" s="44" t="str">
        <f>IFERROR(__xludf.DUMMYFUNCTION("""COMPUTED_VALUE"""),"Bond")</f>
        <v>Bond</v>
      </c>
      <c r="AC4" s="44" t="str">
        <f>IFERROR(__xludf.DUMMYFUNCTION("""COMPUTED_VALUE"""),"20+yr")</f>
        <v>20+yr</v>
      </c>
      <c r="AD4" s="44" t="str">
        <f>IFERROR(__xludf.DUMMYFUNCTION("""COMPUTED_VALUE"""),"UCITS")</f>
        <v>UCITS</v>
      </c>
      <c r="AE4" s="44" t="str">
        <f>IFERROR(__xludf.DUMMYFUNCTION("""COMPUTED_VALUE"""),"ETF")</f>
        <v>ETF</v>
      </c>
      <c r="AF4" s="44" t="str">
        <f>IFERROR(__xludf.DUMMYFUNCTION("""COMPUTED_VALUE"""),"USD")</f>
        <v>USD</v>
      </c>
      <c r="AG4" s="44" t="str">
        <f>IFERROR(__xludf.DUMMYFUNCTION("""COMPUTED_VALUE"""),"(Dist)@4,92")</f>
        <v>(Dist)@4,92</v>
      </c>
      <c r="AH4" s="44" t="str">
        <f>IFERROR(__xludf.DUMMYFUNCTION("""COMPUTED_VALUE"""),"EUR")</f>
        <v>EUR</v>
      </c>
      <c r="AI4" s="44" t="str">
        <f>IFERROR(__xludf.DUMMYFUNCTION("""COMPUTED_VALUE"""),"(IE00BSKRJZ44)")</f>
        <v>(IE00BSKRJZ44)</v>
      </c>
      <c r="AJ4" s="44"/>
      <c r="AK4" s="44"/>
    </row>
    <row r="5">
      <c r="A5" s="20" t="s">
        <v>71</v>
      </c>
      <c r="B5" s="20" t="s">
        <v>85</v>
      </c>
      <c r="C5" s="20" t="s">
        <v>71</v>
      </c>
      <c r="D5" s="20" t="s">
        <v>86</v>
      </c>
      <c r="E5" s="20" t="s">
        <v>87</v>
      </c>
      <c r="F5" s="21" t="s">
        <v>88</v>
      </c>
      <c r="G5" s="20"/>
      <c r="H5" s="20" t="s">
        <v>76</v>
      </c>
      <c r="I5" s="20" t="s">
        <v>89</v>
      </c>
      <c r="J5" s="20" t="s">
        <v>76</v>
      </c>
      <c r="K5" s="20" t="s">
        <v>90</v>
      </c>
      <c r="L5" s="21" t="s">
        <v>91</v>
      </c>
      <c r="M5" s="33">
        <f>IFERROR(__xludf.DUMMYFUNCTION("IFS(W5=""Achat"",IFERROR(VALUE(X5),VALUE(REGEXREPLACE(T(X5),""[^0-9]"",""""))),W5=""Vente"",-IFERROR(VALUE(X5),VALUE(REGEXREPLACE(T(X5),""[^0-9]"",""""))),Y5=""Change"",0,Y5&lt;&gt;""Change"","""")"),6.0)</f>
        <v>6</v>
      </c>
      <c r="N5" s="34">
        <f>IFERROR(__xludf.DUMMYFUNCTION("IF(Account!$F5&lt;&gt;"""", VALUE(REGEXREPLACE($I5, ""\,"", ""."")), """")"),-1110.6)</f>
        <v>-1110.6</v>
      </c>
      <c r="O5" s="35">
        <f>IF(Account!$F5&lt;&gt;"", DATEVALUE(MID($A5,4,3) &amp; LEFT($A5,3) &amp; RIGHT($A5,4)) + TIMEVALUE($B5), "")</f>
        <v>44144.61389</v>
      </c>
      <c r="P5" s="36">
        <f>IF(Account!$F5&lt;&gt;"", DATEVALUE(MID($C5,4,3) &amp; LEFT($C5,3) &amp; RIGHT($C5,4)), "")</f>
        <v>44144</v>
      </c>
      <c r="Q5" s="37" t="str">
        <f t="array" ref="Q5">IF($R5&lt;&gt;"",IFERROR(INDEX(ISIN!$B:$B,MATCH($R5,ISIN!$C:$C,0))),)</f>
        <v>Intermediate US bonds (7-10 year)</v>
      </c>
      <c r="R5" s="38" t="str">
        <f t="array" ref="R5">IF($E5&lt;&gt;"",IFERROR(INDEX(ISIN!$C:$C,MATCH($E5,ISIN!$A:$A,0)),IFERROR(INDEX($R6:$R1200,MATCH($K5,$K6:$K1200,0)))),IF(AND($Y5="change",$H5="EUR"),IF($O5=$O6,$R6,IF($O5=$O4,$R4)),IFERROR(INDEX($R6:$R1200,MATCH(SUBSTITUTE($I5,"-","",1),$K6:$K1200,0)))))</f>
        <v>iShares Treasury Bond 7-10 UCITS</v>
      </c>
      <c r="S5" s="37" t="str">
        <f t="shared" si="1"/>
        <v>BUY</v>
      </c>
      <c r="T5" s="39">
        <f t="shared" si="2"/>
        <v>6</v>
      </c>
      <c r="U5" s="40">
        <f t="shared" si="3"/>
        <v>185.1</v>
      </c>
      <c r="V5" s="34">
        <f t="shared" si="4"/>
        <v>-1110.6</v>
      </c>
      <c r="W5" s="41" t="str">
        <f>IFERROR(__xludf.DUMMYFUNCTION(" IF(Account!$F5&lt;&gt;"""", SPLIT(Account!$F5, "" ""), """")"),"Achat")</f>
        <v>Achat</v>
      </c>
      <c r="X5" s="44">
        <f>IFERROR(__xludf.DUMMYFUNCTION("""COMPUTED_VALUE"""),6.0)</f>
        <v>6</v>
      </c>
      <c r="Y5" s="44" t="str">
        <f>IFERROR(__xludf.DUMMYFUNCTION("""COMPUTED_VALUE"""),"ISHARES")</f>
        <v>ISHARES</v>
      </c>
      <c r="Z5" s="44" t="str">
        <f>IFERROR(__xludf.DUMMYFUNCTION("""COMPUTED_VALUE"""),"US")</f>
        <v>US</v>
      </c>
      <c r="AA5" s="44" t="str">
        <f>IFERROR(__xludf.DUMMYFUNCTION("""COMPUTED_VALUE"""),"T")</f>
        <v>T</v>
      </c>
      <c r="AB5" s="44" t="str">
        <f>IFERROR(__xludf.DUMMYFUNCTION("""COMPUTED_VALUE"""),"7-10@185,1")</f>
        <v>7-10@185,1</v>
      </c>
      <c r="AC5" s="44" t="str">
        <f>IFERROR(__xludf.DUMMYFUNCTION("""COMPUTED_VALUE"""),"EUR")</f>
        <v>EUR</v>
      </c>
      <c r="AD5" s="44" t="str">
        <f>IFERROR(__xludf.DUMMYFUNCTION("""COMPUTED_VALUE"""),"(IE00B1FZS798)")</f>
        <v>(IE00B1FZS798)</v>
      </c>
      <c r="AE5" s="44"/>
      <c r="AF5" s="44"/>
      <c r="AG5" s="44"/>
      <c r="AH5" s="44"/>
      <c r="AI5" s="44"/>
      <c r="AJ5" s="44"/>
      <c r="AK5" s="44"/>
    </row>
    <row r="6">
      <c r="A6" s="20" t="s">
        <v>71</v>
      </c>
      <c r="B6" s="20" t="s">
        <v>92</v>
      </c>
      <c r="C6" s="20" t="s">
        <v>71</v>
      </c>
      <c r="D6" s="20" t="s">
        <v>93</v>
      </c>
      <c r="E6" s="20" t="s">
        <v>94</v>
      </c>
      <c r="F6" s="21" t="s">
        <v>95</v>
      </c>
      <c r="G6" s="20"/>
      <c r="H6" s="20" t="s">
        <v>76</v>
      </c>
      <c r="I6" s="20" t="s">
        <v>96</v>
      </c>
      <c r="J6" s="20" t="s">
        <v>76</v>
      </c>
      <c r="K6" s="20" t="s">
        <v>97</v>
      </c>
      <c r="L6" s="21" t="s">
        <v>98</v>
      </c>
      <c r="M6" s="33">
        <f>IFERROR(__xludf.DUMMYFUNCTION("IFS(W6=""Achat"",IFERROR(VALUE(X6),VALUE(REGEXREPLACE(T(X6),""[^0-9]"",""""))),W6=""Vente"",-IFERROR(VALUE(X6),VALUE(REGEXREPLACE(T(X6),""[^0-9]"",""""))),Y6=""Change"",0,Y6&lt;&gt;""Change"","""")"),-29.0)</f>
        <v>-29</v>
      </c>
      <c r="N6" s="34">
        <f>IFERROR(__xludf.DUMMYFUNCTION("IF(Account!$F6&lt;&gt;"""", VALUE(REGEXREPLACE($I6, ""\,"", ""."")), """")"),1701.72)</f>
        <v>1701.72</v>
      </c>
      <c r="O6" s="35">
        <f>IF(Account!$F6&lt;&gt;"", DATEVALUE(MID($A6,4,3) &amp; LEFT($A6,3) &amp; RIGHT($A6,4)) + TIMEVALUE($B6), "")</f>
        <v>44144.61319</v>
      </c>
      <c r="P6" s="36">
        <f>IF(Account!$F6&lt;&gt;"", DATEVALUE(MID($C6,4,3) &amp; LEFT($C6,3) &amp; RIGHT($C6,4)), "")</f>
        <v>44144</v>
      </c>
      <c r="Q6" s="37" t="str">
        <f t="array" ref="Q6">IF($R6&lt;&gt;"",IFERROR(INDEX(ISIN!$B:$B,MATCH($R6,ISIN!$C:$C,0))),)</f>
        <v>Stocks</v>
      </c>
      <c r="R6" s="38" t="str">
        <f t="array" ref="R6">IF($E6&lt;&gt;"",IFERROR(INDEX(ISIN!$C:$C,MATCH($E6,ISIN!$A:$A,0)),IFERROR(INDEX($R7:$R1200,MATCH($K6,$K7:$K1200,0)))),IF(AND($Y6="change",$H6="EUR"),IF($O6=$O7,$R7,IF($O6=$O5,$R5)),IFERROR(INDEX($R7:$R1200,MATCH(SUBSTITUTE($I6,"-","",1),$K7:$K1200,0)))))</f>
        <v>Vanguard S&amp;P 500 UCITS</v>
      </c>
      <c r="S6" s="37" t="str">
        <f t="shared" si="1"/>
        <v>SELL</v>
      </c>
      <c r="T6" s="39">
        <f t="shared" si="2"/>
        <v>-30</v>
      </c>
      <c r="U6" s="40">
        <f t="shared" si="3"/>
        <v>58.68</v>
      </c>
      <c r="V6" s="34">
        <f t="shared" si="4"/>
        <v>1760.4</v>
      </c>
      <c r="W6" s="41" t="str">
        <f>IFERROR(__xludf.DUMMYFUNCTION(" IF(Account!$F6&lt;&gt;"""", SPLIT(Account!$F6, "" ""), """")"),"Vente")</f>
        <v>Vente</v>
      </c>
      <c r="X6" s="44">
        <f>IFERROR(__xludf.DUMMYFUNCTION("""COMPUTED_VALUE"""),29.0)</f>
        <v>29</v>
      </c>
      <c r="Y6" s="44" t="str">
        <f>IFERROR(__xludf.DUMMYFUNCTION("""COMPUTED_VALUE"""),"VANGUARD")</f>
        <v>VANGUARD</v>
      </c>
      <c r="Z6" s="44" t="str">
        <f>IFERROR(__xludf.DUMMYFUNCTION("""COMPUTED_VALUE"""),"S&amp;P500@58,68")</f>
        <v>S&amp;P500@58,68</v>
      </c>
      <c r="AA6" s="44" t="str">
        <f>IFERROR(__xludf.DUMMYFUNCTION("""COMPUTED_VALUE"""),"EUR")</f>
        <v>EUR</v>
      </c>
      <c r="AB6" s="44" t="str">
        <f>IFERROR(__xludf.DUMMYFUNCTION("""COMPUTED_VALUE"""),"(IE00B3XXRP09)")</f>
        <v>(IE00B3XXRP09)</v>
      </c>
      <c r="AC6" s="44"/>
      <c r="AD6" s="44"/>
      <c r="AE6" s="44"/>
      <c r="AF6" s="44"/>
      <c r="AG6" s="44"/>
      <c r="AH6" s="44"/>
      <c r="AI6" s="44"/>
      <c r="AJ6" s="44"/>
      <c r="AK6" s="44"/>
    </row>
    <row r="7">
      <c r="A7" s="20" t="s">
        <v>71</v>
      </c>
      <c r="B7" s="20" t="s">
        <v>92</v>
      </c>
      <c r="C7" s="20" t="s">
        <v>71</v>
      </c>
      <c r="D7" s="20" t="s">
        <v>93</v>
      </c>
      <c r="E7" s="20" t="s">
        <v>94</v>
      </c>
      <c r="F7" s="21" t="s">
        <v>99</v>
      </c>
      <c r="G7" s="20"/>
      <c r="H7" s="20" t="s">
        <v>76</v>
      </c>
      <c r="I7" s="20" t="s">
        <v>100</v>
      </c>
      <c r="J7" s="20" t="s">
        <v>76</v>
      </c>
      <c r="K7" s="20" t="s">
        <v>101</v>
      </c>
      <c r="L7" s="21" t="s">
        <v>98</v>
      </c>
      <c r="M7" s="33">
        <f>IFERROR(__xludf.DUMMYFUNCTION("IFS(W7=""Achat"",IFERROR(VALUE(X7),VALUE(REGEXREPLACE(T(X7),""[^0-9]"",""""))),W7=""Vente"",-IFERROR(VALUE(X7),VALUE(REGEXREPLACE(T(X7),""[^0-9]"",""""))),Y7=""Change"",0,Y7&lt;&gt;""Change"","""")"),-1.0)</f>
        <v>-1</v>
      </c>
      <c r="N7" s="34">
        <f>IFERROR(__xludf.DUMMYFUNCTION("IF(Account!$F7&lt;&gt;"""", VALUE(REGEXREPLACE($I7, ""\,"", ""."")), """")"),58.68)</f>
        <v>58.68</v>
      </c>
      <c r="O7" s="35">
        <f>IF(Account!$F7&lt;&gt;"", DATEVALUE(MID($A7,4,3) &amp; LEFT($A7,3) &amp; RIGHT($A7,4)) + TIMEVALUE($B7), "")</f>
        <v>44144.61319</v>
      </c>
      <c r="P7" s="36">
        <f>IF(Account!$F7&lt;&gt;"", DATEVALUE(MID($C7,4,3) &amp; LEFT($C7,3) &amp; RIGHT($C7,4)), "")</f>
        <v>44144</v>
      </c>
      <c r="Q7" s="37" t="str">
        <f t="array" ref="Q7">IF($R7&lt;&gt;"",IFERROR(INDEX(ISIN!$B:$B,MATCH($R7,ISIN!$C:$C,0))),)</f>
        <v>Stocks</v>
      </c>
      <c r="R7" s="38" t="str">
        <f t="array" ref="R7">IF($E7&lt;&gt;"",IFERROR(INDEX(ISIN!$C:$C,MATCH($E7,ISIN!$A:$A,0)),IFERROR(INDEX($R8:$R1200,MATCH($K7,$K8:$K1200,0)))),IF(AND($Y7="change",$H7="EUR"),IF($O7=$O8,$R8,IF($O7=$O6,$R6)),IFERROR(INDEX($R8:$R1200,MATCH(SUBSTITUTE($I7,"-","",1),$K8:$K1200,0)))))</f>
        <v>Vanguard S&amp;P 500 UCITS</v>
      </c>
      <c r="S7" s="37" t="str">
        <f t="shared" si="1"/>
        <v>SELL</v>
      </c>
      <c r="T7" s="39">
        <f t="shared" si="2"/>
        <v>-30</v>
      </c>
      <c r="U7" s="40">
        <f t="shared" si="3"/>
        <v>58.68</v>
      </c>
      <c r="V7" s="34">
        <f t="shared" si="4"/>
        <v>1760.4</v>
      </c>
      <c r="W7" s="41" t="str">
        <f>IFERROR(__xludf.DUMMYFUNCTION(" IF(Account!$F7&lt;&gt;"""", SPLIT(Account!$F7, "" ""), """")"),"Vente")</f>
        <v>Vente</v>
      </c>
      <c r="X7" s="44">
        <f>IFERROR(__xludf.DUMMYFUNCTION("""COMPUTED_VALUE"""),1.0)</f>
        <v>1</v>
      </c>
      <c r="Y7" s="44" t="str">
        <f>IFERROR(__xludf.DUMMYFUNCTION("""COMPUTED_VALUE"""),"VANGUARD")</f>
        <v>VANGUARD</v>
      </c>
      <c r="Z7" s="44" t="str">
        <f>IFERROR(__xludf.DUMMYFUNCTION("""COMPUTED_VALUE"""),"S&amp;P500@58,68")</f>
        <v>S&amp;P500@58,68</v>
      </c>
      <c r="AA7" s="44" t="str">
        <f>IFERROR(__xludf.DUMMYFUNCTION("""COMPUTED_VALUE"""),"EUR")</f>
        <v>EUR</v>
      </c>
      <c r="AB7" s="44" t="str">
        <f>IFERROR(__xludf.DUMMYFUNCTION("""COMPUTED_VALUE"""),"(IE00B3XXRP09)")</f>
        <v>(IE00B3XXRP09)</v>
      </c>
      <c r="AC7" s="44"/>
      <c r="AD7" s="44"/>
      <c r="AE7" s="44"/>
      <c r="AF7" s="44"/>
      <c r="AG7" s="44"/>
      <c r="AH7" s="44"/>
      <c r="AI7" s="44"/>
      <c r="AJ7" s="44"/>
      <c r="AK7" s="44"/>
    </row>
    <row r="8">
      <c r="A8" s="20" t="s">
        <v>71</v>
      </c>
      <c r="B8" s="20" t="s">
        <v>102</v>
      </c>
      <c r="C8" s="20" t="s">
        <v>71</v>
      </c>
      <c r="D8" s="20" t="s">
        <v>93</v>
      </c>
      <c r="E8" s="20" t="s">
        <v>94</v>
      </c>
      <c r="F8" s="21" t="s">
        <v>103</v>
      </c>
      <c r="G8" s="20"/>
      <c r="H8" s="20" t="s">
        <v>76</v>
      </c>
      <c r="I8" s="20" t="s">
        <v>104</v>
      </c>
      <c r="J8" s="20" t="s">
        <v>76</v>
      </c>
      <c r="K8" s="20" t="s">
        <v>105</v>
      </c>
      <c r="L8" s="21" t="s">
        <v>98</v>
      </c>
      <c r="M8" s="33">
        <f>IFERROR(__xludf.DUMMYFUNCTION("IFS(W8=""Achat"",IFERROR(VALUE(X8),VALUE(REGEXREPLACE(T(X8),""[^0-9]"",""""))),W8=""Vente"",-IFERROR(VALUE(X8),VALUE(REGEXREPLACE(T(X8),""[^0-9]"",""""))),Y8=""Change"",0,Y8&lt;&gt;""Change"","""")"),-28.0)</f>
        <v>-28</v>
      </c>
      <c r="N8" s="34">
        <f>IFERROR(__xludf.DUMMYFUNCTION("IF(Account!$F8&lt;&gt;"""", VALUE(REGEXREPLACE($I8, ""\,"", ""."")), """")"),1643.04)</f>
        <v>1643.04</v>
      </c>
      <c r="O8" s="35">
        <f>IF(Account!$F8&lt;&gt;"", DATEVALUE(MID($A8,4,3) &amp; LEFT($A8,3) &amp; RIGHT($A8,4)) + TIMEVALUE($B8), "")</f>
        <v>44144.6125</v>
      </c>
      <c r="P8" s="36">
        <f>IF(Account!$F8&lt;&gt;"", DATEVALUE(MID($C8,4,3) &amp; LEFT($C8,3) &amp; RIGHT($C8,4)), "")</f>
        <v>44144</v>
      </c>
      <c r="Q8" s="37" t="str">
        <f t="array" ref="Q8">IF($R8&lt;&gt;"",IFERROR(INDEX(ISIN!$B:$B,MATCH($R8,ISIN!$C:$C,0))),)</f>
        <v>Stocks</v>
      </c>
      <c r="R8" s="38" t="str">
        <f t="array" ref="R8">IF($E8&lt;&gt;"",IFERROR(INDEX(ISIN!$C:$C,MATCH($E8,ISIN!$A:$A,0)),IFERROR(INDEX($R9:$R1200,MATCH($K8,$K9:$K1200,0)))),IF(AND($Y8="change",$H8="EUR"),IF($O8=$O9,$R9,IF($O8=$O7,$R7)),IFERROR(INDEX($R9:$R1200,MATCH(SUBSTITUTE($I8,"-","",1),$K9:$K1200,0)))))</f>
        <v>Vanguard S&amp;P 500 UCITS</v>
      </c>
      <c r="S8" s="37" t="str">
        <f t="shared" si="1"/>
        <v>SELL</v>
      </c>
      <c r="T8" s="39">
        <f t="shared" si="2"/>
        <v>-28</v>
      </c>
      <c r="U8" s="40">
        <f t="shared" si="3"/>
        <v>58.68</v>
      </c>
      <c r="V8" s="34">
        <f t="shared" si="4"/>
        <v>1643.04</v>
      </c>
      <c r="W8" s="41" t="str">
        <f>IFERROR(__xludf.DUMMYFUNCTION(" IF(Account!$F8&lt;&gt;"""", SPLIT(Account!$F8, "" ""), """")"),"Vente")</f>
        <v>Vente</v>
      </c>
      <c r="X8" s="44">
        <f>IFERROR(__xludf.DUMMYFUNCTION("""COMPUTED_VALUE"""),28.0)</f>
        <v>28</v>
      </c>
      <c r="Y8" s="44" t="str">
        <f>IFERROR(__xludf.DUMMYFUNCTION("""COMPUTED_VALUE"""),"VANGUARD")</f>
        <v>VANGUARD</v>
      </c>
      <c r="Z8" s="44" t="str">
        <f>IFERROR(__xludf.DUMMYFUNCTION("""COMPUTED_VALUE"""),"S&amp;P500@58,68")</f>
        <v>S&amp;P500@58,68</v>
      </c>
      <c r="AA8" s="44" t="str">
        <f>IFERROR(__xludf.DUMMYFUNCTION("""COMPUTED_VALUE"""),"EUR")</f>
        <v>EUR</v>
      </c>
      <c r="AB8" s="44" t="str">
        <f>IFERROR(__xludf.DUMMYFUNCTION("""COMPUTED_VALUE"""),"(IE00B3XXRP09)")</f>
        <v>(IE00B3XXRP09)</v>
      </c>
      <c r="AC8" s="44"/>
      <c r="AD8" s="44"/>
      <c r="AE8" s="44"/>
      <c r="AF8" s="44"/>
      <c r="AG8" s="44"/>
      <c r="AH8" s="44"/>
      <c r="AI8" s="44"/>
      <c r="AJ8" s="44"/>
      <c r="AK8" s="44"/>
    </row>
    <row r="9">
      <c r="A9" s="20" t="s">
        <v>71</v>
      </c>
      <c r="B9" s="20" t="s">
        <v>106</v>
      </c>
      <c r="C9" s="20" t="s">
        <v>71</v>
      </c>
      <c r="D9" s="20" t="s">
        <v>86</v>
      </c>
      <c r="E9" s="20" t="s">
        <v>87</v>
      </c>
      <c r="F9" s="21" t="s">
        <v>107</v>
      </c>
      <c r="G9" s="20"/>
      <c r="H9" s="20" t="s">
        <v>76</v>
      </c>
      <c r="I9" s="20" t="s">
        <v>108</v>
      </c>
      <c r="J9" s="20" t="s">
        <v>76</v>
      </c>
      <c r="K9" s="20" t="s">
        <v>109</v>
      </c>
      <c r="L9" s="21" t="s">
        <v>110</v>
      </c>
      <c r="M9" s="33">
        <f>IFERROR(__xludf.DUMMYFUNCTION("IFS(W9=""Achat"",IFERROR(VALUE(X9),VALUE(REGEXREPLACE(T(X9),""[^0-9]"",""""))),W9=""Vente"",-IFERROR(VALUE(X9),VALUE(REGEXREPLACE(T(X9),""[^0-9]"",""""))),Y9=""Change"",0,Y9&lt;&gt;""Change"","""")"),6.0)</f>
        <v>6</v>
      </c>
      <c r="N9" s="34">
        <f>IFERROR(__xludf.DUMMYFUNCTION("IF(Account!$F9&lt;&gt;"""", VALUE(REGEXREPLACE($I9, ""\,"", ""."")), """")"),-1110.9)</f>
        <v>-1110.9</v>
      </c>
      <c r="O9" s="35">
        <f>IF(Account!$F9&lt;&gt;"", DATEVALUE(MID($A9,4,3) &amp; LEFT($A9,3) &amp; RIGHT($A9,4)) + TIMEVALUE($B9), "")</f>
        <v>44144.60903</v>
      </c>
      <c r="P9" s="36">
        <f>IF(Account!$F9&lt;&gt;"", DATEVALUE(MID($C9,4,3) &amp; LEFT($C9,3) &amp; RIGHT($C9,4)), "")</f>
        <v>44144</v>
      </c>
      <c r="Q9" s="37" t="str">
        <f t="array" ref="Q9">IF($R9&lt;&gt;"",IFERROR(INDEX(ISIN!$B:$B,MATCH($R9,ISIN!$C:$C,0))),)</f>
        <v>Intermediate US bonds (7-10 year)</v>
      </c>
      <c r="R9" s="38" t="str">
        <f t="array" ref="R9">IF($E9&lt;&gt;"",IFERROR(INDEX(ISIN!$C:$C,MATCH($E9,ISIN!$A:$A,0)),IFERROR(INDEX($R10:$R1200,MATCH($K9,$K10:$K1200,0)))),IF(AND($Y9="change",$H9="EUR"),IF($O9=$O10,$R10,IF($O9=$O8,$R8)),IFERROR(INDEX($R10:$R1200,MATCH(SUBSTITUTE($I9,"-","",1),$K10:$K1200,0)))))</f>
        <v>iShares Treasury Bond 7-10 UCITS</v>
      </c>
      <c r="S9" s="37" t="str">
        <f t="shared" si="1"/>
        <v>BUY</v>
      </c>
      <c r="T9" s="39">
        <f t="shared" si="2"/>
        <v>6</v>
      </c>
      <c r="U9" s="40">
        <f t="shared" si="3"/>
        <v>185.15</v>
      </c>
      <c r="V9" s="34">
        <f t="shared" si="4"/>
        <v>-1110.9</v>
      </c>
      <c r="W9" s="41" t="str">
        <f>IFERROR(__xludf.DUMMYFUNCTION(" IF(Account!$F9&lt;&gt;"""", SPLIT(Account!$F9, "" ""), """")"),"Achat")</f>
        <v>Achat</v>
      </c>
      <c r="X9" s="44">
        <f>IFERROR(__xludf.DUMMYFUNCTION("""COMPUTED_VALUE"""),6.0)</f>
        <v>6</v>
      </c>
      <c r="Y9" s="44" t="str">
        <f>IFERROR(__xludf.DUMMYFUNCTION("""COMPUTED_VALUE"""),"ISHARES")</f>
        <v>ISHARES</v>
      </c>
      <c r="Z9" s="44" t="str">
        <f>IFERROR(__xludf.DUMMYFUNCTION("""COMPUTED_VALUE"""),"US")</f>
        <v>US</v>
      </c>
      <c r="AA9" s="44" t="str">
        <f>IFERROR(__xludf.DUMMYFUNCTION("""COMPUTED_VALUE"""),"T")</f>
        <v>T</v>
      </c>
      <c r="AB9" s="44" t="str">
        <f>IFERROR(__xludf.DUMMYFUNCTION("""COMPUTED_VALUE"""),"7-10@185,15")</f>
        <v>7-10@185,15</v>
      </c>
      <c r="AC9" s="44" t="str">
        <f>IFERROR(__xludf.DUMMYFUNCTION("""COMPUTED_VALUE"""),"EUR")</f>
        <v>EUR</v>
      </c>
      <c r="AD9" s="44" t="str">
        <f>IFERROR(__xludf.DUMMYFUNCTION("""COMPUTED_VALUE"""),"(IE00B1FZS798)")</f>
        <v>(IE00B1FZS798)</v>
      </c>
      <c r="AE9" s="44"/>
      <c r="AF9" s="44"/>
      <c r="AG9" s="44"/>
      <c r="AH9" s="44"/>
      <c r="AI9" s="44"/>
      <c r="AJ9" s="44"/>
      <c r="AK9" s="44"/>
    </row>
    <row r="10">
      <c r="A10" s="20" t="s">
        <v>71</v>
      </c>
      <c r="B10" s="20" t="s">
        <v>111</v>
      </c>
      <c r="C10" s="20" t="s">
        <v>71</v>
      </c>
      <c r="D10" s="20" t="s">
        <v>73</v>
      </c>
      <c r="E10" s="20" t="s">
        <v>74</v>
      </c>
      <c r="F10" s="21" t="s">
        <v>75</v>
      </c>
      <c r="G10" s="20"/>
      <c r="H10" s="20" t="s">
        <v>76</v>
      </c>
      <c r="I10" s="20" t="s">
        <v>112</v>
      </c>
      <c r="J10" s="20" t="s">
        <v>76</v>
      </c>
      <c r="K10" s="20" t="s">
        <v>113</v>
      </c>
      <c r="L10" s="21" t="s">
        <v>114</v>
      </c>
      <c r="M10" s="33" t="str">
        <f>IFERROR(__xludf.DUMMYFUNCTION("IFS(W10=""Achat"",IFERROR(VALUE(X10),VALUE(REGEXREPLACE(T(X10),""[^0-9]"",""""))),W10=""Vente"",-IFERROR(VALUE(X10),VALUE(REGEXREPLACE(T(X10),""[^0-9]"",""""))),Y10=""Change"",0,Y10&lt;&gt;""Change"","""")"),"")</f>
        <v/>
      </c>
      <c r="N10" s="34">
        <f>IFERROR(__xludf.DUMMYFUNCTION("IF(Account!$F10&lt;&gt;"""", VALUE(REGEXREPLACE($I10, ""\,"", ""."")), """")"),-1.5)</f>
        <v>-1.5</v>
      </c>
      <c r="O10" s="35">
        <f>IF(Account!$F10&lt;&gt;"", DATEVALUE(MID($A10,4,3) &amp; LEFT($A10,3) &amp; RIGHT($A10,4)) + TIMEVALUE($B10), "")</f>
        <v>44144.60347</v>
      </c>
      <c r="P10" s="36">
        <f>IF(Account!$F10&lt;&gt;"", DATEVALUE(MID($C10,4,3) &amp; LEFT($C10,3) &amp; RIGHT($C10,4)), "")</f>
        <v>44144</v>
      </c>
      <c r="Q10" s="37" t="str">
        <f t="array" ref="Q10">IF($R10&lt;&gt;"",IFERROR(INDEX(ISIN!$B:$B,MATCH($R10,ISIN!$C:$C,0))),)</f>
        <v>Long term US bonds (20-25 year)</v>
      </c>
      <c r="R10" s="38" t="str">
        <f t="array" ref="R10">IF($E10&lt;&gt;"",IFERROR(INDEX(ISIN!$C:$C,MATCH($E10,ISIN!$A:$A,0)),IFERROR(INDEX($R11:$R1200,MATCH($K10,$K11:$K1200,0)))),IF(AND($Y10="change",$H10="EUR"),IF($O10=$O11,$R11,IF($O10=$O9,$R9)),IFERROR(INDEX($R11:$R1200,MATCH(SUBSTITUTE($I10,"-","",1),$K11:$K1200,0)))))</f>
        <v>iShares Treasury Bond 20+ UCITS</v>
      </c>
      <c r="S10" s="37" t="str">
        <f t="shared" si="1"/>
        <v>COST</v>
      </c>
      <c r="T10" s="39" t="str">
        <f t="shared" si="2"/>
        <v/>
      </c>
      <c r="U10" s="40" t="str">
        <f t="shared" si="3"/>
        <v/>
      </c>
      <c r="V10" s="34">
        <f t="shared" si="4"/>
        <v>-1.5</v>
      </c>
      <c r="W10" s="41" t="str">
        <f>IFERROR(__xludf.DUMMYFUNCTION(" IF(Account!$F10&lt;&gt;"""", SPLIT(Account!$F10, "" ""), """")"),"Frais")</f>
        <v>Frais</v>
      </c>
      <c r="X10" s="44" t="str">
        <f>IFERROR(__xludf.DUMMYFUNCTION("""COMPUTED_VALUE"""),"de")</f>
        <v>de</v>
      </c>
      <c r="Y10" s="44" t="str">
        <f>IFERROR(__xludf.DUMMYFUNCTION("""COMPUTED_VALUE"""),"courtage")</f>
        <v>courtage</v>
      </c>
      <c r="Z10" s="44"/>
      <c r="AA10" s="44"/>
      <c r="AB10" s="44"/>
      <c r="AC10" s="44"/>
      <c r="AD10" s="44"/>
      <c r="AE10" s="44"/>
      <c r="AF10" s="44"/>
      <c r="AG10" s="44"/>
      <c r="AH10" s="44"/>
      <c r="AI10" s="44"/>
      <c r="AJ10" s="44"/>
      <c r="AK10" s="44"/>
    </row>
    <row r="11">
      <c r="A11" s="20" t="s">
        <v>71</v>
      </c>
      <c r="B11" s="20" t="s">
        <v>111</v>
      </c>
      <c r="C11" s="20" t="s">
        <v>71</v>
      </c>
      <c r="D11" s="20" t="s">
        <v>73</v>
      </c>
      <c r="E11" s="20" t="s">
        <v>74</v>
      </c>
      <c r="F11" s="21" t="s">
        <v>115</v>
      </c>
      <c r="G11" s="20"/>
      <c r="H11" s="20" t="s">
        <v>76</v>
      </c>
      <c r="I11" s="20" t="s">
        <v>116</v>
      </c>
      <c r="J11" s="20" t="s">
        <v>76</v>
      </c>
      <c r="K11" s="20" t="s">
        <v>117</v>
      </c>
      <c r="L11" s="21" t="s">
        <v>114</v>
      </c>
      <c r="M11" s="33">
        <f>IFERROR(__xludf.DUMMYFUNCTION("IFS(W11=""Achat"",IFERROR(VALUE(X11),VALUE(REGEXREPLACE(T(X11),""[^0-9]"",""""))),W11=""Vente"",-IFERROR(VALUE(X11),VALUE(REGEXREPLACE(T(X11),""[^0-9]"",""""))),Y11=""Change"",0,Y11&lt;&gt;""Change"","""")"),1521.0)</f>
        <v>1521</v>
      </c>
      <c r="N11" s="34">
        <f>IFERROR(__xludf.DUMMYFUNCTION("IF(Account!$F11&lt;&gt;"""", VALUE(REGEXREPLACE($I11, ""\,"", ""."")), """")"),-7513.74)</f>
        <v>-7513.74</v>
      </c>
      <c r="O11" s="35">
        <f>IF(Account!$F11&lt;&gt;"", DATEVALUE(MID($A11,4,3) &amp; LEFT($A11,3) &amp; RIGHT($A11,4)) + TIMEVALUE($B11), "")</f>
        <v>44144.60347</v>
      </c>
      <c r="P11" s="36">
        <f>IF(Account!$F11&lt;&gt;"", DATEVALUE(MID($C11,4,3) &amp; LEFT($C11,3) &amp; RIGHT($C11,4)), "")</f>
        <v>44144</v>
      </c>
      <c r="Q11" s="37" t="str">
        <f t="array" ref="Q11">IF($R11&lt;&gt;"",IFERROR(INDEX(ISIN!$B:$B,MATCH($R11,ISIN!$C:$C,0))),)</f>
        <v>Long term US bonds (20-25 year)</v>
      </c>
      <c r="R11" s="38" t="str">
        <f t="array" ref="R11">IF($E11&lt;&gt;"",IFERROR(INDEX(ISIN!$C:$C,MATCH($E11,ISIN!$A:$A,0)),IFERROR(INDEX($R12:$R1200,MATCH($K11,$K12:$K1200,0)))),IF(AND($Y11="change",$H11="EUR"),IF($O11=$O12,$R12,IF($O11=$O10,$R10)),IFERROR(INDEX($R12:$R1200,MATCH(SUBSTITUTE($I11,"-","",1),$K12:$K1200,0)))))</f>
        <v>iShares Treasury Bond 20+ UCITS</v>
      </c>
      <c r="S11" s="37" t="str">
        <f t="shared" si="1"/>
        <v>BUY</v>
      </c>
      <c r="T11" s="39">
        <f t="shared" si="2"/>
        <v>1521</v>
      </c>
      <c r="U11" s="40">
        <f t="shared" si="3"/>
        <v>4.94</v>
      </c>
      <c r="V11" s="34">
        <f t="shared" si="4"/>
        <v>-7513.74</v>
      </c>
      <c r="W11" s="41" t="str">
        <f>IFERROR(__xludf.DUMMYFUNCTION(" IF(Account!$F11&lt;&gt;"""", SPLIT(Account!$F11, "" ""), """")"),"Achat")</f>
        <v>Achat</v>
      </c>
      <c r="X11" s="44" t="str">
        <f>IFERROR(__xludf.DUMMYFUNCTION("""COMPUTED_VALUE"""),"1 521")</f>
        <v>1 521</v>
      </c>
      <c r="Y11" s="44" t="str">
        <f>IFERROR(__xludf.DUMMYFUNCTION("""COMPUTED_VALUE"""),"iShares")</f>
        <v>iShares</v>
      </c>
      <c r="Z11" s="44" t="str">
        <f>IFERROR(__xludf.DUMMYFUNCTION("""COMPUTED_VALUE"""),"$")</f>
        <v>$</v>
      </c>
      <c r="AA11" s="44" t="str">
        <f>IFERROR(__xludf.DUMMYFUNCTION("""COMPUTED_VALUE"""),"Treasury")</f>
        <v>Treasury</v>
      </c>
      <c r="AB11" s="44" t="str">
        <f>IFERROR(__xludf.DUMMYFUNCTION("""COMPUTED_VALUE"""),"Bond")</f>
        <v>Bond</v>
      </c>
      <c r="AC11" s="44" t="str">
        <f>IFERROR(__xludf.DUMMYFUNCTION("""COMPUTED_VALUE"""),"20+yr")</f>
        <v>20+yr</v>
      </c>
      <c r="AD11" s="44" t="str">
        <f>IFERROR(__xludf.DUMMYFUNCTION("""COMPUTED_VALUE"""),"UCITS")</f>
        <v>UCITS</v>
      </c>
      <c r="AE11" s="44" t="str">
        <f>IFERROR(__xludf.DUMMYFUNCTION("""COMPUTED_VALUE"""),"ETF")</f>
        <v>ETF</v>
      </c>
      <c r="AF11" s="44" t="str">
        <f>IFERROR(__xludf.DUMMYFUNCTION("""COMPUTED_VALUE"""),"USD")</f>
        <v>USD</v>
      </c>
      <c r="AG11" s="44" t="str">
        <f>IFERROR(__xludf.DUMMYFUNCTION("""COMPUTED_VALUE"""),"(Dist)@4,94")</f>
        <v>(Dist)@4,94</v>
      </c>
      <c r="AH11" s="44" t="str">
        <f>IFERROR(__xludf.DUMMYFUNCTION("""COMPUTED_VALUE"""),"EUR")</f>
        <v>EUR</v>
      </c>
      <c r="AI11" s="44" t="str">
        <f>IFERROR(__xludf.DUMMYFUNCTION("""COMPUTED_VALUE"""),"(IE00BSKRJZ44)")</f>
        <v>(IE00BSKRJZ44)</v>
      </c>
      <c r="AJ11" s="44"/>
      <c r="AK11" s="44"/>
    </row>
    <row r="12">
      <c r="A12" s="20" t="s">
        <v>71</v>
      </c>
      <c r="B12" s="20" t="s">
        <v>118</v>
      </c>
      <c r="C12" s="20" t="s">
        <v>71</v>
      </c>
      <c r="D12" s="20" t="s">
        <v>93</v>
      </c>
      <c r="E12" s="20" t="s">
        <v>94</v>
      </c>
      <c r="F12" s="21" t="s">
        <v>119</v>
      </c>
      <c r="G12" s="20"/>
      <c r="H12" s="20" t="s">
        <v>76</v>
      </c>
      <c r="I12" s="20" t="s">
        <v>120</v>
      </c>
      <c r="J12" s="20" t="s">
        <v>76</v>
      </c>
      <c r="K12" s="20" t="s">
        <v>121</v>
      </c>
      <c r="L12" s="21" t="s">
        <v>122</v>
      </c>
      <c r="M12" s="33">
        <f>IFERROR(__xludf.DUMMYFUNCTION("IFS(W12=""Achat"",IFERROR(VALUE(X12),VALUE(REGEXREPLACE(T(X12),""[^0-9]"",""""))),W12=""Vente"",-IFERROR(VALUE(X12),VALUE(REGEXREPLACE(T(X12),""[^0-9]"",""""))),Y12=""Change"",0,Y12&lt;&gt;""Change"","""")"),-64.0)</f>
        <v>-64</v>
      </c>
      <c r="N12" s="34">
        <f>IFERROR(__xludf.DUMMYFUNCTION("IF(Account!$F12&lt;&gt;"""", VALUE(REGEXREPLACE($I12, ""\,"", ""."")), """")"),3739.52)</f>
        <v>3739.52</v>
      </c>
      <c r="O12" s="35">
        <f>IF(Account!$F12&lt;&gt;"", DATEVALUE(MID($A12,4,3) &amp; LEFT($A12,3) &amp; RIGHT($A12,4)) + TIMEVALUE($B12), "")</f>
        <v>44144.60139</v>
      </c>
      <c r="P12" s="36">
        <f>IF(Account!$F12&lt;&gt;"", DATEVALUE(MID($C12,4,3) &amp; LEFT($C12,3) &amp; RIGHT($C12,4)), "")</f>
        <v>44144</v>
      </c>
      <c r="Q12" s="37" t="str">
        <f t="array" ref="Q12">IF($R12&lt;&gt;"",IFERROR(INDEX(ISIN!$B:$B,MATCH($R12,ISIN!$C:$C,0))),)</f>
        <v>Stocks</v>
      </c>
      <c r="R12" s="38" t="str">
        <f t="array" ref="R12">IF($E12&lt;&gt;"",IFERROR(INDEX(ISIN!$C:$C,MATCH($E12,ISIN!$A:$A,0)),IFERROR(INDEX($R13:$R1200,MATCH($K12,$K13:$K1200,0)))),IF(AND($Y12="change",$H12="EUR"),IF($O12=$O13,$R13,IF($O12=$O11,$R11)),IFERROR(INDEX($R13:$R1200,MATCH(SUBSTITUTE($I12,"-","",1),$K13:$K1200,0)))))</f>
        <v>Vanguard S&amp;P 500 UCITS</v>
      </c>
      <c r="S12" s="37" t="str">
        <f t="shared" si="1"/>
        <v>SELL</v>
      </c>
      <c r="T12" s="39">
        <f t="shared" si="2"/>
        <v>-64</v>
      </c>
      <c r="U12" s="40">
        <f t="shared" si="3"/>
        <v>58.43</v>
      </c>
      <c r="V12" s="34">
        <f t="shared" si="4"/>
        <v>3739.52</v>
      </c>
      <c r="W12" s="41" t="str">
        <f>IFERROR(__xludf.DUMMYFUNCTION(" IF(Account!$F12&lt;&gt;"""", SPLIT(Account!$F12, "" ""), """")"),"Vente")</f>
        <v>Vente</v>
      </c>
      <c r="X12" s="44">
        <f>IFERROR(__xludf.DUMMYFUNCTION("""COMPUTED_VALUE"""),64.0)</f>
        <v>64</v>
      </c>
      <c r="Y12" s="44" t="str">
        <f>IFERROR(__xludf.DUMMYFUNCTION("""COMPUTED_VALUE"""),"VANGUARD")</f>
        <v>VANGUARD</v>
      </c>
      <c r="Z12" s="44" t="str">
        <f>IFERROR(__xludf.DUMMYFUNCTION("""COMPUTED_VALUE"""),"S&amp;P500@58,43")</f>
        <v>S&amp;P500@58,43</v>
      </c>
      <c r="AA12" s="44" t="str">
        <f>IFERROR(__xludf.DUMMYFUNCTION("""COMPUTED_VALUE"""),"EUR")</f>
        <v>EUR</v>
      </c>
      <c r="AB12" s="44" t="str">
        <f>IFERROR(__xludf.DUMMYFUNCTION("""COMPUTED_VALUE"""),"(IE00B3XXRP09)")</f>
        <v>(IE00B3XXRP09)</v>
      </c>
      <c r="AC12" s="44"/>
      <c r="AD12" s="44"/>
      <c r="AE12" s="44"/>
      <c r="AF12" s="44"/>
      <c r="AG12" s="44"/>
      <c r="AH12" s="44"/>
      <c r="AI12" s="44"/>
      <c r="AJ12" s="44"/>
      <c r="AK12" s="44"/>
    </row>
    <row r="13">
      <c r="A13" s="20" t="s">
        <v>71</v>
      </c>
      <c r="B13" s="20" t="s">
        <v>123</v>
      </c>
      <c r="C13" s="20" t="s">
        <v>71</v>
      </c>
      <c r="D13" s="20" t="s">
        <v>73</v>
      </c>
      <c r="E13" s="20" t="s">
        <v>74</v>
      </c>
      <c r="F13" s="21" t="s">
        <v>75</v>
      </c>
      <c r="G13" s="20"/>
      <c r="H13" s="20" t="s">
        <v>76</v>
      </c>
      <c r="I13" s="20" t="s">
        <v>77</v>
      </c>
      <c r="J13" s="20" t="s">
        <v>76</v>
      </c>
      <c r="K13" s="20" t="s">
        <v>124</v>
      </c>
      <c r="L13" s="21" t="s">
        <v>114</v>
      </c>
      <c r="M13" s="33" t="str">
        <f>IFERROR(__xludf.DUMMYFUNCTION("IFS(W13=""Achat"",IFERROR(VALUE(X13),VALUE(REGEXREPLACE(T(X13),""[^0-9]"",""""))),W13=""Vente"",-IFERROR(VALUE(X13),VALUE(REGEXREPLACE(T(X13),""[^0-9]"",""""))),Y13=""Change"",0,Y13&lt;&gt;""Change"","""")"),"")</f>
        <v/>
      </c>
      <c r="N13" s="34">
        <f>IFERROR(__xludf.DUMMYFUNCTION("IF(Account!$F13&lt;&gt;"""", VALUE(REGEXREPLACE($I13, ""\,"", ""."")), """")"),-2.0)</f>
        <v>-2</v>
      </c>
      <c r="O13" s="35">
        <f>IF(Account!$F13&lt;&gt;"", DATEVALUE(MID($A13,4,3) &amp; LEFT($A13,3) &amp; RIGHT($A13,4)) + TIMEVALUE($B13), "")</f>
        <v>44144.58611</v>
      </c>
      <c r="P13" s="36">
        <f>IF(Account!$F13&lt;&gt;"", DATEVALUE(MID($C13,4,3) &amp; LEFT($C13,3) &amp; RIGHT($C13,4)), "")</f>
        <v>44144</v>
      </c>
      <c r="Q13" s="37" t="str">
        <f t="array" ref="Q13">IF($R13&lt;&gt;"",IFERROR(INDEX(ISIN!$B:$B,MATCH($R13,ISIN!$C:$C,0))),)</f>
        <v>Long term US bonds (20-25 year)</v>
      </c>
      <c r="R13" s="38" t="str">
        <f t="array" ref="R13">IF($E13&lt;&gt;"",IFERROR(INDEX(ISIN!$C:$C,MATCH($E13,ISIN!$A:$A,0)),IFERROR(INDEX($R14:$R1200,MATCH($K13,$K14:$K1200,0)))),IF(AND($Y13="change",$H13="EUR"),IF($O13=$O14,$R14,IF($O13=$O12,$R12)),IFERROR(INDEX($R14:$R1200,MATCH(SUBSTITUTE($I13,"-","",1),$K14:$K1200,0)))))</f>
        <v>iShares Treasury Bond 20+ UCITS</v>
      </c>
      <c r="S13" s="37" t="str">
        <f t="shared" si="1"/>
        <v>COST</v>
      </c>
      <c r="T13" s="39" t="str">
        <f t="shared" si="2"/>
        <v/>
      </c>
      <c r="U13" s="40" t="str">
        <f t="shared" si="3"/>
        <v/>
      </c>
      <c r="V13" s="34">
        <f t="shared" si="4"/>
        <v>-2.11</v>
      </c>
      <c r="W13" s="41" t="str">
        <f>IFERROR(__xludf.DUMMYFUNCTION(" IF(Account!$F13&lt;&gt;"""", SPLIT(Account!$F13, "" ""), """")"),"Frais")</f>
        <v>Frais</v>
      </c>
      <c r="X13" s="44" t="str">
        <f>IFERROR(__xludf.DUMMYFUNCTION("""COMPUTED_VALUE"""),"de")</f>
        <v>de</v>
      </c>
      <c r="Y13" s="44" t="str">
        <f>IFERROR(__xludf.DUMMYFUNCTION("""COMPUTED_VALUE"""),"courtage")</f>
        <v>courtage</v>
      </c>
      <c r="Z13" s="44"/>
      <c r="AA13" s="44"/>
      <c r="AB13" s="44"/>
      <c r="AC13" s="44"/>
      <c r="AD13" s="44"/>
      <c r="AE13" s="44"/>
      <c r="AF13" s="44"/>
      <c r="AG13" s="44"/>
      <c r="AH13" s="44"/>
      <c r="AI13" s="44"/>
      <c r="AJ13" s="44"/>
      <c r="AK13" s="44"/>
    </row>
    <row r="14">
      <c r="A14" s="20" t="s">
        <v>71</v>
      </c>
      <c r="B14" s="20" t="s">
        <v>123</v>
      </c>
      <c r="C14" s="20" t="s">
        <v>71</v>
      </c>
      <c r="D14" s="20" t="s">
        <v>73</v>
      </c>
      <c r="E14" s="20" t="s">
        <v>74</v>
      </c>
      <c r="F14" s="21" t="s">
        <v>75</v>
      </c>
      <c r="G14" s="20"/>
      <c r="H14" s="20" t="s">
        <v>76</v>
      </c>
      <c r="I14" s="20" t="s">
        <v>125</v>
      </c>
      <c r="J14" s="20" t="s">
        <v>76</v>
      </c>
      <c r="K14" s="20" t="s">
        <v>126</v>
      </c>
      <c r="L14" s="21" t="s">
        <v>114</v>
      </c>
      <c r="M14" s="33" t="str">
        <f>IFERROR(__xludf.DUMMYFUNCTION("IFS(W14=""Achat"",IFERROR(VALUE(X14),VALUE(REGEXREPLACE(T(X14),""[^0-9]"",""""))),W14=""Vente"",-IFERROR(VALUE(X14),VALUE(REGEXREPLACE(T(X14),""[^0-9]"",""""))),Y14=""Change"",0,Y14&lt;&gt;""Change"","""")"),"")</f>
        <v/>
      </c>
      <c r="N14" s="34">
        <f>IFERROR(__xludf.DUMMYFUNCTION("IF(Account!$F14&lt;&gt;"""", VALUE(REGEXREPLACE($I14, ""\,"", ""."")), """")"),-0.11)</f>
        <v>-0.11</v>
      </c>
      <c r="O14" s="35">
        <f>IF(Account!$F14&lt;&gt;"", DATEVALUE(MID($A14,4,3) &amp; LEFT($A14,3) &amp; RIGHT($A14,4)) + TIMEVALUE($B14), "")</f>
        <v>44144.58611</v>
      </c>
      <c r="P14" s="36">
        <f>IF(Account!$F14&lt;&gt;"", DATEVALUE(MID($C14,4,3) &amp; LEFT($C14,3) &amp; RIGHT($C14,4)), "")</f>
        <v>44144</v>
      </c>
      <c r="Q14" s="37" t="str">
        <f t="array" ref="Q14">IF($R14&lt;&gt;"",IFERROR(INDEX(ISIN!$B:$B,MATCH($R14,ISIN!$C:$C,0))),)</f>
        <v>Long term US bonds (20-25 year)</v>
      </c>
      <c r="R14" s="38" t="str">
        <f t="array" ref="R14">IF($E14&lt;&gt;"",IFERROR(INDEX(ISIN!$C:$C,MATCH($E14,ISIN!$A:$A,0)),IFERROR(INDEX($R15:$R1200,MATCH($K14,$K15:$K1200,0)))),IF(AND($Y14="change",$H14="EUR"),IF($O14=$O15,$R15,IF($O14=$O13,$R13)),IFERROR(INDEX($R15:$R1200,MATCH(SUBSTITUTE($I14,"-","",1),$K15:$K1200,0)))))</f>
        <v>iShares Treasury Bond 20+ UCITS</v>
      </c>
      <c r="S14" s="37" t="str">
        <f t="shared" si="1"/>
        <v>COST</v>
      </c>
      <c r="T14" s="39" t="str">
        <f t="shared" si="2"/>
        <v/>
      </c>
      <c r="U14" s="40" t="str">
        <f t="shared" si="3"/>
        <v/>
      </c>
      <c r="V14" s="34">
        <f t="shared" si="4"/>
        <v>-2.11</v>
      </c>
      <c r="W14" s="41" t="str">
        <f>IFERROR(__xludf.DUMMYFUNCTION(" IF(Account!$F14&lt;&gt;"""", SPLIT(Account!$F14, "" ""), """")"),"Frais")</f>
        <v>Frais</v>
      </c>
      <c r="X14" s="44" t="str">
        <f>IFERROR(__xludf.DUMMYFUNCTION("""COMPUTED_VALUE"""),"de")</f>
        <v>de</v>
      </c>
      <c r="Y14" s="44" t="str">
        <f>IFERROR(__xludf.DUMMYFUNCTION("""COMPUTED_VALUE"""),"courtage")</f>
        <v>courtage</v>
      </c>
      <c r="Z14" s="44"/>
      <c r="AA14" s="44"/>
      <c r="AB14" s="44"/>
      <c r="AC14" s="44"/>
      <c r="AD14" s="44"/>
      <c r="AE14" s="44"/>
      <c r="AF14" s="44"/>
      <c r="AG14" s="44"/>
      <c r="AH14" s="44"/>
      <c r="AI14" s="44"/>
      <c r="AJ14" s="44"/>
      <c r="AK14" s="44"/>
    </row>
    <row r="15">
      <c r="A15" s="20" t="s">
        <v>71</v>
      </c>
      <c r="B15" s="20" t="s">
        <v>123</v>
      </c>
      <c r="C15" s="20" t="s">
        <v>71</v>
      </c>
      <c r="D15" s="20" t="s">
        <v>73</v>
      </c>
      <c r="E15" s="20" t="s">
        <v>74</v>
      </c>
      <c r="F15" s="21" t="s">
        <v>127</v>
      </c>
      <c r="G15" s="20"/>
      <c r="H15" s="20" t="s">
        <v>76</v>
      </c>
      <c r="I15" s="20" t="s">
        <v>128</v>
      </c>
      <c r="J15" s="20" t="s">
        <v>76</v>
      </c>
      <c r="K15" s="20" t="s">
        <v>129</v>
      </c>
      <c r="L15" s="21" t="s">
        <v>114</v>
      </c>
      <c r="M15" s="33">
        <f>IFERROR(__xludf.DUMMYFUNCTION("IFS(W15=""Achat"",IFERROR(VALUE(X15),VALUE(REGEXREPLACE(T(X15),""[^0-9]"",""""))),W15=""Vente"",-IFERROR(VALUE(X15),VALUE(REGEXREPLACE(T(X15),""[^0-9]"",""""))),Y15=""Change"",0,Y15&lt;&gt;""Change"","""")"),108.0)</f>
        <v>108</v>
      </c>
      <c r="N15" s="34">
        <f>IFERROR(__xludf.DUMMYFUNCTION("IF(Account!$F15&lt;&gt;"""", VALUE(REGEXREPLACE($I15, ""\,"", ""."")), """")"),-530.28)</f>
        <v>-530.28</v>
      </c>
      <c r="O15" s="35">
        <f>IF(Account!$F15&lt;&gt;"", DATEVALUE(MID($A15,4,3) &amp; LEFT($A15,3) &amp; RIGHT($A15,4)) + TIMEVALUE($B15), "")</f>
        <v>44144.58611</v>
      </c>
      <c r="P15" s="36">
        <f>IF(Account!$F15&lt;&gt;"", DATEVALUE(MID($C15,4,3) &amp; LEFT($C15,3) &amp; RIGHT($C15,4)), "")</f>
        <v>44144</v>
      </c>
      <c r="Q15" s="37" t="str">
        <f t="array" ref="Q15">IF($R15&lt;&gt;"",IFERROR(INDEX(ISIN!$B:$B,MATCH($R15,ISIN!$C:$C,0))),)</f>
        <v>Long term US bonds (20-25 year)</v>
      </c>
      <c r="R15" s="38" t="str">
        <f t="array" ref="R15">IF($E15&lt;&gt;"",IFERROR(INDEX(ISIN!$C:$C,MATCH($E15,ISIN!$A:$A,0)),IFERROR(INDEX($R16:$R1200,MATCH($K15,$K16:$K1200,0)))),IF(AND($Y15="change",$H15="EUR"),IF($O15=$O16,$R16,IF($O15=$O14,$R14)),IFERROR(INDEX($R16:$R1200,MATCH(SUBSTITUTE($I15,"-","",1),$K16:$K1200,0)))))</f>
        <v>iShares Treasury Bond 20+ UCITS</v>
      </c>
      <c r="S15" s="37" t="str">
        <f t="shared" si="1"/>
        <v>BUY</v>
      </c>
      <c r="T15" s="39">
        <f t="shared" si="2"/>
        <v>108</v>
      </c>
      <c r="U15" s="40">
        <f t="shared" si="3"/>
        <v>4.91</v>
      </c>
      <c r="V15" s="34">
        <f t="shared" si="4"/>
        <v>-530.28</v>
      </c>
      <c r="W15" s="41" t="str">
        <f>IFERROR(__xludf.DUMMYFUNCTION(" IF(Account!$F15&lt;&gt;"""", SPLIT(Account!$F15, "" ""), """")"),"Achat")</f>
        <v>Achat</v>
      </c>
      <c r="X15" s="44">
        <f>IFERROR(__xludf.DUMMYFUNCTION("""COMPUTED_VALUE"""),108.0)</f>
        <v>108</v>
      </c>
      <c r="Y15" s="44" t="str">
        <f>IFERROR(__xludf.DUMMYFUNCTION("""COMPUTED_VALUE"""),"iShares")</f>
        <v>iShares</v>
      </c>
      <c r="Z15" s="44" t="str">
        <f>IFERROR(__xludf.DUMMYFUNCTION("""COMPUTED_VALUE"""),"$")</f>
        <v>$</v>
      </c>
      <c r="AA15" s="44" t="str">
        <f>IFERROR(__xludf.DUMMYFUNCTION("""COMPUTED_VALUE"""),"Treasury")</f>
        <v>Treasury</v>
      </c>
      <c r="AB15" s="44" t="str">
        <f>IFERROR(__xludf.DUMMYFUNCTION("""COMPUTED_VALUE"""),"Bond")</f>
        <v>Bond</v>
      </c>
      <c r="AC15" s="44" t="str">
        <f>IFERROR(__xludf.DUMMYFUNCTION("""COMPUTED_VALUE"""),"20+yr")</f>
        <v>20+yr</v>
      </c>
      <c r="AD15" s="44" t="str">
        <f>IFERROR(__xludf.DUMMYFUNCTION("""COMPUTED_VALUE"""),"UCITS")</f>
        <v>UCITS</v>
      </c>
      <c r="AE15" s="44" t="str">
        <f>IFERROR(__xludf.DUMMYFUNCTION("""COMPUTED_VALUE"""),"ETF")</f>
        <v>ETF</v>
      </c>
      <c r="AF15" s="44" t="str">
        <f>IFERROR(__xludf.DUMMYFUNCTION("""COMPUTED_VALUE"""),"USD")</f>
        <v>USD</v>
      </c>
      <c r="AG15" s="44" t="str">
        <f>IFERROR(__xludf.DUMMYFUNCTION("""COMPUTED_VALUE"""),"(Dist)@4,91")</f>
        <v>(Dist)@4,91</v>
      </c>
      <c r="AH15" s="44" t="str">
        <f>IFERROR(__xludf.DUMMYFUNCTION("""COMPUTED_VALUE"""),"EUR")</f>
        <v>EUR</v>
      </c>
      <c r="AI15" s="44" t="str">
        <f>IFERROR(__xludf.DUMMYFUNCTION("""COMPUTED_VALUE"""),"(IE00BSKRJZ44)")</f>
        <v>(IE00BSKRJZ44)</v>
      </c>
      <c r="AJ15" s="44"/>
      <c r="AK15" s="44"/>
    </row>
    <row r="16">
      <c r="A16" s="20" t="s">
        <v>71</v>
      </c>
      <c r="B16" s="20" t="s">
        <v>130</v>
      </c>
      <c r="C16" s="20" t="s">
        <v>71</v>
      </c>
      <c r="D16" s="20" t="s">
        <v>93</v>
      </c>
      <c r="E16" s="20" t="s">
        <v>94</v>
      </c>
      <c r="F16" s="21" t="s">
        <v>131</v>
      </c>
      <c r="G16" s="20"/>
      <c r="H16" s="20" t="s">
        <v>76</v>
      </c>
      <c r="I16" s="20" t="s">
        <v>132</v>
      </c>
      <c r="J16" s="20" t="s">
        <v>76</v>
      </c>
      <c r="K16" s="20" t="s">
        <v>133</v>
      </c>
      <c r="L16" s="21" t="s">
        <v>134</v>
      </c>
      <c r="M16" s="33">
        <f>IFERROR(__xludf.DUMMYFUNCTION("IFS(W16=""Achat"",IFERROR(VALUE(X16),VALUE(REGEXREPLACE(T(X16),""[^0-9]"",""""))),W16=""Vente"",-IFERROR(VALUE(X16),VALUE(REGEXREPLACE(T(X16),""[^0-9]"",""""))),Y16=""Change"",0,Y16&lt;&gt;""Change"","""")"),-230.0)</f>
        <v>-230</v>
      </c>
      <c r="N16" s="34">
        <f>IFERROR(__xludf.DUMMYFUNCTION("IF(Account!$F16&lt;&gt;"""", VALUE(REGEXREPLACE($I16, ""\,"", ""."")), """")"),13397.5)</f>
        <v>13397.5</v>
      </c>
      <c r="O16" s="35">
        <f>IF(Account!$F16&lt;&gt;"", DATEVALUE(MID($A16,4,3) &amp; LEFT($A16,3) &amp; RIGHT($A16,4)) + TIMEVALUE($B16), "")</f>
        <v>44144.58194</v>
      </c>
      <c r="P16" s="36">
        <f>IF(Account!$F16&lt;&gt;"", DATEVALUE(MID($C16,4,3) &amp; LEFT($C16,3) &amp; RIGHT($C16,4)), "")</f>
        <v>44144</v>
      </c>
      <c r="Q16" s="37" t="str">
        <f t="array" ref="Q16">IF($R16&lt;&gt;"",IFERROR(INDEX(ISIN!$B:$B,MATCH($R16,ISIN!$C:$C,0))),)</f>
        <v>Stocks</v>
      </c>
      <c r="R16" s="38" t="str">
        <f t="array" ref="R16">IF($E16&lt;&gt;"",IFERROR(INDEX(ISIN!$C:$C,MATCH($E16,ISIN!$A:$A,0)),IFERROR(INDEX($R17:$R1200,MATCH($K16,$K17:$K1200,0)))),IF(AND($Y16="change",$H16="EUR"),IF($O16=$O17,$R17,IF($O16=$O15,$R15)),IFERROR(INDEX($R17:$R1200,MATCH(SUBSTITUTE($I16,"-","",1),$K17:$K1200,0)))))</f>
        <v>Vanguard S&amp;P 500 UCITS</v>
      </c>
      <c r="S16" s="37" t="str">
        <f t="shared" si="1"/>
        <v>SELL</v>
      </c>
      <c r="T16" s="39">
        <f t="shared" si="2"/>
        <v>-230</v>
      </c>
      <c r="U16" s="40">
        <f t="shared" si="3"/>
        <v>58.25</v>
      </c>
      <c r="V16" s="34">
        <f t="shared" si="4"/>
        <v>13397.5</v>
      </c>
      <c r="W16" s="41" t="str">
        <f>IFERROR(__xludf.DUMMYFUNCTION(" IF(Account!$F16&lt;&gt;"""", SPLIT(Account!$F16, "" ""), """")"),"Vente")</f>
        <v>Vente</v>
      </c>
      <c r="X16" s="44">
        <f>IFERROR(__xludf.DUMMYFUNCTION("""COMPUTED_VALUE"""),230.0)</f>
        <v>230</v>
      </c>
      <c r="Y16" s="44" t="str">
        <f>IFERROR(__xludf.DUMMYFUNCTION("""COMPUTED_VALUE"""),"VANGUARD")</f>
        <v>VANGUARD</v>
      </c>
      <c r="Z16" s="44" t="str">
        <f>IFERROR(__xludf.DUMMYFUNCTION("""COMPUTED_VALUE"""),"S&amp;P500@58,25")</f>
        <v>S&amp;P500@58,25</v>
      </c>
      <c r="AA16" s="44" t="str">
        <f>IFERROR(__xludf.DUMMYFUNCTION("""COMPUTED_VALUE"""),"EUR")</f>
        <v>EUR</v>
      </c>
      <c r="AB16" s="44" t="str">
        <f>IFERROR(__xludf.DUMMYFUNCTION("""COMPUTED_VALUE"""),"(IE00B3XXRP09)")</f>
        <v>(IE00B3XXRP09)</v>
      </c>
      <c r="AC16" s="44"/>
      <c r="AD16" s="44"/>
      <c r="AE16" s="44"/>
      <c r="AF16" s="44"/>
      <c r="AG16" s="44"/>
      <c r="AH16" s="44"/>
      <c r="AI16" s="44"/>
      <c r="AJ16" s="44"/>
      <c r="AK16" s="44"/>
    </row>
    <row r="17">
      <c r="A17" s="20" t="s">
        <v>71</v>
      </c>
      <c r="B17" s="20" t="s">
        <v>135</v>
      </c>
      <c r="C17" s="20" t="s">
        <v>71</v>
      </c>
      <c r="D17" s="20" t="s">
        <v>86</v>
      </c>
      <c r="E17" s="20" t="s">
        <v>87</v>
      </c>
      <c r="F17" s="21" t="s">
        <v>136</v>
      </c>
      <c r="G17" s="20"/>
      <c r="H17" s="20" t="s">
        <v>76</v>
      </c>
      <c r="I17" s="20" t="s">
        <v>137</v>
      </c>
      <c r="J17" s="20" t="s">
        <v>76</v>
      </c>
      <c r="K17" s="20" t="s">
        <v>138</v>
      </c>
      <c r="L17" s="21" t="s">
        <v>139</v>
      </c>
      <c r="M17" s="33">
        <f>IFERROR(__xludf.DUMMYFUNCTION("IFS(W17=""Achat"",IFERROR(VALUE(X17),VALUE(REGEXREPLACE(T(X17),""[^0-9]"",""""))),W17=""Vente"",-IFERROR(VALUE(X17),VALUE(REGEXREPLACE(T(X17),""[^0-9]"",""""))),Y17=""Change"",0,Y17&lt;&gt;""Change"","""")"),12.0)</f>
        <v>12</v>
      </c>
      <c r="N17" s="34">
        <f>IFERROR(__xludf.DUMMYFUNCTION("IF(Account!$F17&lt;&gt;"""", VALUE(REGEXREPLACE($I17, ""\,"", ""."")), """")"),-2224.2)</f>
        <v>-2224.2</v>
      </c>
      <c r="O17" s="35">
        <f>IF(Account!$F17&lt;&gt;"", DATEVALUE(MID($A17,4,3) &amp; LEFT($A17,3) &amp; RIGHT($A17,4)) + TIMEVALUE($B17), "")</f>
        <v>44144.5625</v>
      </c>
      <c r="P17" s="36">
        <f>IF(Account!$F17&lt;&gt;"", DATEVALUE(MID($C17,4,3) &amp; LEFT($C17,3) &amp; RIGHT($C17,4)), "")</f>
        <v>44144</v>
      </c>
      <c r="Q17" s="37" t="str">
        <f t="array" ref="Q17">IF($R17&lt;&gt;"",IFERROR(INDEX(ISIN!$B:$B,MATCH($R17,ISIN!$C:$C,0))),)</f>
        <v>Intermediate US bonds (7-10 year)</v>
      </c>
      <c r="R17" s="38" t="str">
        <f t="array" ref="R17">IF($E17&lt;&gt;"",IFERROR(INDEX(ISIN!$C:$C,MATCH($E17,ISIN!$A:$A,0)),IFERROR(INDEX($R18:$R1200,MATCH($K17,$K18:$K1200,0)))),IF(AND($Y17="change",$H17="EUR"),IF($O17=$O18,$R18,IF($O17=$O16,$R16)),IFERROR(INDEX($R18:$R1200,MATCH(SUBSTITUTE($I17,"-","",1),$K18:$K1200,0)))))</f>
        <v>iShares Treasury Bond 7-10 UCITS</v>
      </c>
      <c r="S17" s="37" t="str">
        <f t="shared" si="1"/>
        <v>BUY</v>
      </c>
      <c r="T17" s="39">
        <f t="shared" si="2"/>
        <v>12</v>
      </c>
      <c r="U17" s="40">
        <f t="shared" si="3"/>
        <v>185.35</v>
      </c>
      <c r="V17" s="34">
        <f t="shared" si="4"/>
        <v>-2224.2</v>
      </c>
      <c r="W17" s="41" t="str">
        <f>IFERROR(__xludf.DUMMYFUNCTION(" IF(Account!$F17&lt;&gt;"""", SPLIT(Account!$F17, "" ""), """")"),"Achat")</f>
        <v>Achat</v>
      </c>
      <c r="X17" s="44">
        <f>IFERROR(__xludf.DUMMYFUNCTION("""COMPUTED_VALUE"""),12.0)</f>
        <v>12</v>
      </c>
      <c r="Y17" s="44" t="str">
        <f>IFERROR(__xludf.DUMMYFUNCTION("""COMPUTED_VALUE"""),"ISHARES")</f>
        <v>ISHARES</v>
      </c>
      <c r="Z17" s="44" t="str">
        <f>IFERROR(__xludf.DUMMYFUNCTION("""COMPUTED_VALUE"""),"US")</f>
        <v>US</v>
      </c>
      <c r="AA17" s="44" t="str">
        <f>IFERROR(__xludf.DUMMYFUNCTION("""COMPUTED_VALUE"""),"T")</f>
        <v>T</v>
      </c>
      <c r="AB17" s="44" t="str">
        <f>IFERROR(__xludf.DUMMYFUNCTION("""COMPUTED_VALUE"""),"7-10@185,35")</f>
        <v>7-10@185,35</v>
      </c>
      <c r="AC17" s="44" t="str">
        <f>IFERROR(__xludf.DUMMYFUNCTION("""COMPUTED_VALUE"""),"EUR")</f>
        <v>EUR</v>
      </c>
      <c r="AD17" s="44" t="str">
        <f>IFERROR(__xludf.DUMMYFUNCTION("""COMPUTED_VALUE"""),"(IE00B1FZS798)")</f>
        <v>(IE00B1FZS798)</v>
      </c>
      <c r="AE17" s="44"/>
      <c r="AF17" s="44"/>
      <c r="AG17" s="44"/>
      <c r="AH17" s="44"/>
      <c r="AI17" s="44"/>
      <c r="AJ17" s="44"/>
      <c r="AK17" s="44"/>
    </row>
    <row r="18">
      <c r="A18" s="20" t="s">
        <v>71</v>
      </c>
      <c r="B18" s="20" t="s">
        <v>140</v>
      </c>
      <c r="C18" s="20" t="s">
        <v>71</v>
      </c>
      <c r="D18" s="20" t="s">
        <v>73</v>
      </c>
      <c r="E18" s="20" t="s">
        <v>74</v>
      </c>
      <c r="F18" s="21" t="s">
        <v>75</v>
      </c>
      <c r="G18" s="20"/>
      <c r="H18" s="20" t="s">
        <v>76</v>
      </c>
      <c r="I18" s="20" t="s">
        <v>77</v>
      </c>
      <c r="J18" s="20" t="s">
        <v>76</v>
      </c>
      <c r="K18" s="20" t="s">
        <v>141</v>
      </c>
      <c r="L18" s="21" t="s">
        <v>142</v>
      </c>
      <c r="M18" s="33" t="str">
        <f>IFERROR(__xludf.DUMMYFUNCTION("IFS(W18=""Achat"",IFERROR(VALUE(X18),VALUE(REGEXREPLACE(T(X18),""[^0-9]"",""""))),W18=""Vente"",-IFERROR(VALUE(X18),VALUE(REGEXREPLACE(T(X18),""[^0-9]"",""""))),Y18=""Change"",0,Y18&lt;&gt;""Change"","""")"),"")</f>
        <v/>
      </c>
      <c r="N18" s="34">
        <f>IFERROR(__xludf.DUMMYFUNCTION("IF(Account!$F18&lt;&gt;"""", VALUE(REGEXREPLACE($I18, ""\,"", ""."")), """")"),-2.0)</f>
        <v>-2</v>
      </c>
      <c r="O18" s="35">
        <f>IF(Account!$F18&lt;&gt;"", DATEVALUE(MID($A18,4,3) &amp; LEFT($A18,3) &amp; RIGHT($A18,4)) + TIMEVALUE($B18), "")</f>
        <v>44144.55208</v>
      </c>
      <c r="P18" s="36">
        <f>IF(Account!$F18&lt;&gt;"", DATEVALUE(MID($C18,4,3) &amp; LEFT($C18,3) &amp; RIGHT($C18,4)), "")</f>
        <v>44144</v>
      </c>
      <c r="Q18" s="37" t="str">
        <f t="array" ref="Q18">IF($R18&lt;&gt;"",IFERROR(INDEX(ISIN!$B:$B,MATCH($R18,ISIN!$C:$C,0))),)</f>
        <v>Long term US bonds (20-25 year)</v>
      </c>
      <c r="R18" s="38" t="str">
        <f t="array" ref="R18">IF($E18&lt;&gt;"",IFERROR(INDEX(ISIN!$C:$C,MATCH($E18,ISIN!$A:$A,0)),IFERROR(INDEX($R19:$R1200,MATCH($K18,$K19:$K1200,0)))),IF(AND($Y18="change",$H18="EUR"),IF($O18=$O19,$R19,IF($O18=$O17,$R17)),IFERROR(INDEX($R19:$R1200,MATCH(SUBSTITUTE($I18,"-","",1),$K19:$K1200,0)))))</f>
        <v>iShares Treasury Bond 20+ UCITS</v>
      </c>
      <c r="S18" s="37" t="str">
        <f t="shared" si="1"/>
        <v>COST</v>
      </c>
      <c r="T18" s="39" t="str">
        <f t="shared" si="2"/>
        <v/>
      </c>
      <c r="U18" s="40" t="str">
        <f t="shared" si="3"/>
        <v/>
      </c>
      <c r="V18" s="34">
        <f t="shared" si="4"/>
        <v>-7.98</v>
      </c>
      <c r="W18" s="41" t="str">
        <f>IFERROR(__xludf.DUMMYFUNCTION(" IF(Account!$F18&lt;&gt;"""", SPLIT(Account!$F18, "" ""), """")"),"Frais")</f>
        <v>Frais</v>
      </c>
      <c r="X18" s="44" t="str">
        <f>IFERROR(__xludf.DUMMYFUNCTION("""COMPUTED_VALUE"""),"de")</f>
        <v>de</v>
      </c>
      <c r="Y18" s="44" t="str">
        <f>IFERROR(__xludf.DUMMYFUNCTION("""COMPUTED_VALUE"""),"courtage")</f>
        <v>courtage</v>
      </c>
      <c r="Z18" s="44"/>
      <c r="AA18" s="44"/>
      <c r="AB18" s="44"/>
      <c r="AC18" s="44"/>
      <c r="AD18" s="44"/>
      <c r="AE18" s="44"/>
      <c r="AF18" s="44"/>
      <c r="AG18" s="44"/>
      <c r="AH18" s="44"/>
      <c r="AI18" s="44"/>
      <c r="AJ18" s="44"/>
      <c r="AK18" s="44"/>
    </row>
    <row r="19">
      <c r="A19" s="20" t="s">
        <v>71</v>
      </c>
      <c r="B19" s="20" t="s">
        <v>140</v>
      </c>
      <c r="C19" s="20" t="s">
        <v>71</v>
      </c>
      <c r="D19" s="20" t="s">
        <v>73</v>
      </c>
      <c r="E19" s="20" t="s">
        <v>74</v>
      </c>
      <c r="F19" s="21" t="s">
        <v>75</v>
      </c>
      <c r="G19" s="20"/>
      <c r="H19" s="20" t="s">
        <v>76</v>
      </c>
      <c r="I19" s="20" t="s">
        <v>143</v>
      </c>
      <c r="J19" s="20" t="s">
        <v>76</v>
      </c>
      <c r="K19" s="20" t="s">
        <v>144</v>
      </c>
      <c r="L19" s="21" t="s">
        <v>142</v>
      </c>
      <c r="M19" s="33" t="str">
        <f>IFERROR(__xludf.DUMMYFUNCTION("IFS(W19=""Achat"",IFERROR(VALUE(X19),VALUE(REGEXREPLACE(T(X19),""[^0-9]"",""""))),W19=""Vente"",-IFERROR(VALUE(X19),VALUE(REGEXREPLACE(T(X19),""[^0-9]"",""""))),Y19=""Change"",0,Y19&lt;&gt;""Change"","""")"),"")</f>
        <v/>
      </c>
      <c r="N19" s="34">
        <f>IFERROR(__xludf.DUMMYFUNCTION("IF(Account!$F19&lt;&gt;"""", VALUE(REGEXREPLACE($I19, ""\,"", ""."")), """")"),-5.98)</f>
        <v>-5.98</v>
      </c>
      <c r="O19" s="35">
        <f>IF(Account!$F19&lt;&gt;"", DATEVALUE(MID($A19,4,3) &amp; LEFT($A19,3) &amp; RIGHT($A19,4)) + TIMEVALUE($B19), "")</f>
        <v>44144.55208</v>
      </c>
      <c r="P19" s="36">
        <f>IF(Account!$F19&lt;&gt;"", DATEVALUE(MID($C19,4,3) &amp; LEFT($C19,3) &amp; RIGHT($C19,4)), "")</f>
        <v>44144</v>
      </c>
      <c r="Q19" s="37" t="str">
        <f t="array" ref="Q19">IF($R19&lt;&gt;"",IFERROR(INDEX(ISIN!$B:$B,MATCH($R19,ISIN!$C:$C,0))),)</f>
        <v>Long term US bonds (20-25 year)</v>
      </c>
      <c r="R19" s="38" t="str">
        <f t="array" ref="R19">IF($E19&lt;&gt;"",IFERROR(INDEX(ISIN!$C:$C,MATCH($E19,ISIN!$A:$A,0)),IFERROR(INDEX($R20:$R1200,MATCH($K19,$K20:$K1200,0)))),IF(AND($Y19="change",$H19="EUR"),IF($O19=$O20,$R20,IF($O19=$O18,$R18)),IFERROR(INDEX($R20:$R1200,MATCH(SUBSTITUTE($I19,"-","",1),$K20:$K1200,0)))))</f>
        <v>iShares Treasury Bond 20+ UCITS</v>
      </c>
      <c r="S19" s="37" t="str">
        <f t="shared" si="1"/>
        <v>COST</v>
      </c>
      <c r="T19" s="39" t="str">
        <f t="shared" si="2"/>
        <v/>
      </c>
      <c r="U19" s="40" t="str">
        <f t="shared" si="3"/>
        <v/>
      </c>
      <c r="V19" s="34">
        <f t="shared" si="4"/>
        <v>-7.98</v>
      </c>
      <c r="W19" s="41" t="str">
        <f>IFERROR(__xludf.DUMMYFUNCTION(" IF(Account!$F19&lt;&gt;"""", SPLIT(Account!$F19, "" ""), """")"),"Frais")</f>
        <v>Frais</v>
      </c>
      <c r="X19" s="44" t="str">
        <f>IFERROR(__xludf.DUMMYFUNCTION("""COMPUTED_VALUE"""),"de")</f>
        <v>de</v>
      </c>
      <c r="Y19" s="44" t="str">
        <f>IFERROR(__xludf.DUMMYFUNCTION("""COMPUTED_VALUE"""),"courtage")</f>
        <v>courtage</v>
      </c>
      <c r="Z19" s="44"/>
      <c r="AA19" s="44"/>
      <c r="AB19" s="44"/>
      <c r="AC19" s="44"/>
      <c r="AD19" s="44"/>
      <c r="AE19" s="44"/>
      <c r="AF19" s="44"/>
      <c r="AG19" s="44"/>
      <c r="AH19" s="44"/>
      <c r="AI19" s="44"/>
      <c r="AJ19" s="44"/>
      <c r="AK19" s="44"/>
    </row>
    <row r="20">
      <c r="A20" s="20" t="s">
        <v>71</v>
      </c>
      <c r="B20" s="20" t="s">
        <v>140</v>
      </c>
      <c r="C20" s="20" t="s">
        <v>71</v>
      </c>
      <c r="D20" s="20" t="s">
        <v>73</v>
      </c>
      <c r="E20" s="20" t="s">
        <v>74</v>
      </c>
      <c r="F20" s="21" t="s">
        <v>145</v>
      </c>
      <c r="G20" s="20"/>
      <c r="H20" s="20" t="s">
        <v>76</v>
      </c>
      <c r="I20" s="20" t="s">
        <v>146</v>
      </c>
      <c r="J20" s="20" t="s">
        <v>76</v>
      </c>
      <c r="K20" s="20" t="s">
        <v>147</v>
      </c>
      <c r="L20" s="21" t="s">
        <v>142</v>
      </c>
      <c r="M20" s="33">
        <f>IFERROR(__xludf.DUMMYFUNCTION("IFS(W20=""Achat"",IFERROR(VALUE(X20),VALUE(REGEXREPLACE(T(X20),""[^0-9]"",""""))),W20=""Vente"",-IFERROR(VALUE(X20),VALUE(REGEXREPLACE(T(X20),""[^0-9]"",""""))),Y20=""Change"",0,Y20&lt;&gt;""Change"","""")"),6092.0)</f>
        <v>6092</v>
      </c>
      <c r="N20" s="34">
        <f>IFERROR(__xludf.DUMMYFUNCTION("IF(Account!$F20&lt;&gt;"""", VALUE(REGEXREPLACE($I20, ""\,"", ""."")), """")"),-29911.72)</f>
        <v>-29911.72</v>
      </c>
      <c r="O20" s="35">
        <f>IF(Account!$F20&lt;&gt;"", DATEVALUE(MID($A20,4,3) &amp; LEFT($A20,3) &amp; RIGHT($A20,4)) + TIMEVALUE($B20), "")</f>
        <v>44144.55208</v>
      </c>
      <c r="P20" s="36">
        <f>IF(Account!$F20&lt;&gt;"", DATEVALUE(MID($C20,4,3) &amp; LEFT($C20,3) &amp; RIGHT($C20,4)), "")</f>
        <v>44144</v>
      </c>
      <c r="Q20" s="37" t="str">
        <f t="array" ref="Q20">IF($R20&lt;&gt;"",IFERROR(INDEX(ISIN!$B:$B,MATCH($R20,ISIN!$C:$C,0))),)</f>
        <v>Long term US bonds (20-25 year)</v>
      </c>
      <c r="R20" s="38" t="str">
        <f t="array" ref="R20">IF($E20&lt;&gt;"",IFERROR(INDEX(ISIN!$C:$C,MATCH($E20,ISIN!$A:$A,0)),IFERROR(INDEX($R21:$R1200,MATCH($K20,$K21:$K1200,0)))),IF(AND($Y20="change",$H20="EUR"),IF($O20=$O21,$R21,IF($O20=$O19,$R19)),IFERROR(INDEX($R21:$R1200,MATCH(SUBSTITUTE($I20,"-","",1),$K21:$K1200,0)))))</f>
        <v>iShares Treasury Bond 20+ UCITS</v>
      </c>
      <c r="S20" s="37" t="str">
        <f t="shared" si="1"/>
        <v>BUY</v>
      </c>
      <c r="T20" s="39">
        <f t="shared" si="2"/>
        <v>6092</v>
      </c>
      <c r="U20" s="40">
        <f t="shared" si="3"/>
        <v>4.91</v>
      </c>
      <c r="V20" s="34">
        <f t="shared" si="4"/>
        <v>-29911.72</v>
      </c>
      <c r="W20" s="41" t="str">
        <f>IFERROR(__xludf.DUMMYFUNCTION(" IF(Account!$F20&lt;&gt;"""", SPLIT(Account!$F20, "" ""), """")"),"Achat")</f>
        <v>Achat</v>
      </c>
      <c r="X20" s="44" t="str">
        <f>IFERROR(__xludf.DUMMYFUNCTION("""COMPUTED_VALUE"""),"6 092")</f>
        <v>6 092</v>
      </c>
      <c r="Y20" s="44" t="str">
        <f>IFERROR(__xludf.DUMMYFUNCTION("""COMPUTED_VALUE"""),"iShares")</f>
        <v>iShares</v>
      </c>
      <c r="Z20" s="44" t="str">
        <f>IFERROR(__xludf.DUMMYFUNCTION("""COMPUTED_VALUE"""),"$")</f>
        <v>$</v>
      </c>
      <c r="AA20" s="44" t="str">
        <f>IFERROR(__xludf.DUMMYFUNCTION("""COMPUTED_VALUE"""),"Treasury")</f>
        <v>Treasury</v>
      </c>
      <c r="AB20" s="44" t="str">
        <f>IFERROR(__xludf.DUMMYFUNCTION("""COMPUTED_VALUE"""),"Bond")</f>
        <v>Bond</v>
      </c>
      <c r="AC20" s="44" t="str">
        <f>IFERROR(__xludf.DUMMYFUNCTION("""COMPUTED_VALUE"""),"20+yr")</f>
        <v>20+yr</v>
      </c>
      <c r="AD20" s="44" t="str">
        <f>IFERROR(__xludf.DUMMYFUNCTION("""COMPUTED_VALUE"""),"UCITS")</f>
        <v>UCITS</v>
      </c>
      <c r="AE20" s="44" t="str">
        <f>IFERROR(__xludf.DUMMYFUNCTION("""COMPUTED_VALUE"""),"ETF")</f>
        <v>ETF</v>
      </c>
      <c r="AF20" s="44" t="str">
        <f>IFERROR(__xludf.DUMMYFUNCTION("""COMPUTED_VALUE"""),"USD")</f>
        <v>USD</v>
      </c>
      <c r="AG20" s="44" t="str">
        <f>IFERROR(__xludf.DUMMYFUNCTION("""COMPUTED_VALUE"""),"(Dist)@4,91")</f>
        <v>(Dist)@4,91</v>
      </c>
      <c r="AH20" s="44" t="str">
        <f>IFERROR(__xludf.DUMMYFUNCTION("""COMPUTED_VALUE"""),"EUR")</f>
        <v>EUR</v>
      </c>
      <c r="AI20" s="44" t="str">
        <f>IFERROR(__xludf.DUMMYFUNCTION("""COMPUTED_VALUE"""),"(IE00BSKRJZ44)")</f>
        <v>(IE00BSKRJZ44)</v>
      </c>
      <c r="AJ20" s="44"/>
      <c r="AK20" s="44"/>
    </row>
    <row r="21">
      <c r="A21" s="20" t="s">
        <v>71</v>
      </c>
      <c r="B21" s="20" t="s">
        <v>148</v>
      </c>
      <c r="C21" s="20" t="s">
        <v>71</v>
      </c>
      <c r="D21" s="20" t="s">
        <v>93</v>
      </c>
      <c r="E21" s="20" t="s">
        <v>94</v>
      </c>
      <c r="F21" s="21" t="s">
        <v>149</v>
      </c>
      <c r="G21" s="20"/>
      <c r="H21" s="20" t="s">
        <v>76</v>
      </c>
      <c r="I21" s="20" t="s">
        <v>150</v>
      </c>
      <c r="J21" s="20" t="s">
        <v>76</v>
      </c>
      <c r="K21" s="20" t="s">
        <v>151</v>
      </c>
      <c r="L21" s="21" t="s">
        <v>152</v>
      </c>
      <c r="M21" s="33">
        <f>IFERROR(__xludf.DUMMYFUNCTION("IFS(W21=""Achat"",IFERROR(VALUE(X21),VALUE(REGEXREPLACE(T(X21),""[^0-9]"",""""))),W21=""Vente"",-IFERROR(VALUE(X21),VALUE(REGEXREPLACE(T(X21),""[^0-9]"",""""))),Y21=""Change"",0,Y21&lt;&gt;""Change"","""")"),-760.0)</f>
        <v>-760</v>
      </c>
      <c r="N21" s="34">
        <f>IFERROR(__xludf.DUMMYFUNCTION("IF(Account!$F21&lt;&gt;"""", VALUE(REGEXREPLACE($I21, ""\,"", ""."")), """")"),44080.0)</f>
        <v>44080</v>
      </c>
      <c r="O21" s="35">
        <f>IF(Account!$F21&lt;&gt;"", DATEVALUE(MID($A21,4,3) &amp; LEFT($A21,3) &amp; RIGHT($A21,4)) + TIMEVALUE($B21), "")</f>
        <v>44144.54722</v>
      </c>
      <c r="P21" s="36">
        <f>IF(Account!$F21&lt;&gt;"", DATEVALUE(MID($C21,4,3) &amp; LEFT($C21,3) &amp; RIGHT($C21,4)), "")</f>
        <v>44144</v>
      </c>
      <c r="Q21" s="37" t="str">
        <f t="array" ref="Q21">IF($R21&lt;&gt;"",IFERROR(INDEX(ISIN!$B:$B,MATCH($R21,ISIN!$C:$C,0))),)</f>
        <v>Stocks</v>
      </c>
      <c r="R21" s="38" t="str">
        <f t="array" ref="R21">IF($E21&lt;&gt;"",IFERROR(INDEX(ISIN!$C:$C,MATCH($E21,ISIN!$A:$A,0)),IFERROR(INDEX($R22:$R1200,MATCH($K21,$K22:$K1200,0)))),IF(AND($Y21="change",$H21="EUR"),IF($O21=$O22,$R22,IF($O21=$O20,$R20)),IFERROR(INDEX($R22:$R1200,MATCH(SUBSTITUTE($I21,"-","",1),$K22:$K1200,0)))))</f>
        <v>Vanguard S&amp;P 500 UCITS</v>
      </c>
      <c r="S21" s="37" t="str">
        <f t="shared" si="1"/>
        <v>SELL</v>
      </c>
      <c r="T21" s="39">
        <f t="shared" si="2"/>
        <v>-760</v>
      </c>
      <c r="U21" s="40">
        <f t="shared" si="3"/>
        <v>58</v>
      </c>
      <c r="V21" s="34">
        <f t="shared" si="4"/>
        <v>44080</v>
      </c>
      <c r="W21" s="41" t="str">
        <f>IFERROR(__xludf.DUMMYFUNCTION(" IF(Account!$F21&lt;&gt;"""", SPLIT(Account!$F21, "" ""), """")"),"Vente")</f>
        <v>Vente</v>
      </c>
      <c r="X21" s="44">
        <f>IFERROR(__xludf.DUMMYFUNCTION("""COMPUTED_VALUE"""),760.0)</f>
        <v>760</v>
      </c>
      <c r="Y21" s="44" t="str">
        <f>IFERROR(__xludf.DUMMYFUNCTION("""COMPUTED_VALUE"""),"VANGUARD")</f>
        <v>VANGUARD</v>
      </c>
      <c r="Z21" s="44" t="str">
        <f>IFERROR(__xludf.DUMMYFUNCTION("""COMPUTED_VALUE"""),"S&amp;P500@58")</f>
        <v>S&amp;P500@58</v>
      </c>
      <c r="AA21" s="44" t="str">
        <f>IFERROR(__xludf.DUMMYFUNCTION("""COMPUTED_VALUE"""),"EUR")</f>
        <v>EUR</v>
      </c>
      <c r="AB21" s="44" t="str">
        <f>IFERROR(__xludf.DUMMYFUNCTION("""COMPUTED_VALUE"""),"(IE00B3XXRP09)")</f>
        <v>(IE00B3XXRP09)</v>
      </c>
      <c r="AC21" s="44"/>
      <c r="AD21" s="44"/>
      <c r="AE21" s="44"/>
      <c r="AF21" s="44"/>
      <c r="AG21" s="44"/>
      <c r="AH21" s="44"/>
      <c r="AI21" s="44"/>
      <c r="AJ21" s="44"/>
      <c r="AK21" s="44"/>
    </row>
    <row r="22">
      <c r="A22" s="20" t="s">
        <v>71</v>
      </c>
      <c r="B22" s="20" t="s">
        <v>153</v>
      </c>
      <c r="C22" s="20" t="s">
        <v>71</v>
      </c>
      <c r="D22" s="20" t="s">
        <v>86</v>
      </c>
      <c r="E22" s="20" t="s">
        <v>87</v>
      </c>
      <c r="F22" s="21" t="s">
        <v>154</v>
      </c>
      <c r="G22" s="20"/>
      <c r="H22" s="20" t="s">
        <v>76</v>
      </c>
      <c r="I22" s="20" t="s">
        <v>155</v>
      </c>
      <c r="J22" s="20" t="s">
        <v>76</v>
      </c>
      <c r="K22" s="20" t="s">
        <v>156</v>
      </c>
      <c r="L22" s="21" t="s">
        <v>157</v>
      </c>
      <c r="M22" s="33">
        <f>IFERROR(__xludf.DUMMYFUNCTION("IFS(W22=""Achat"",IFERROR(VALUE(X22),VALUE(REGEXREPLACE(T(X22),""[^0-9]"",""""))),W22=""Vente"",-IFERROR(VALUE(X22),VALUE(REGEXREPLACE(T(X22),""[^0-9]"",""""))),Y22=""Change"",0,Y22&lt;&gt;""Change"","""")"),6.0)</f>
        <v>6</v>
      </c>
      <c r="N22" s="34">
        <f>IFERROR(__xludf.DUMMYFUNCTION("IF(Account!$F22&lt;&gt;"""", VALUE(REGEXREPLACE($I22, ""\,"", ""."")), """")"),-1121.04)</f>
        <v>-1121.04</v>
      </c>
      <c r="O22" s="35">
        <f>IF(Account!$F22&lt;&gt;"", DATEVALUE(MID($A22,4,3) &amp; LEFT($A22,3) &amp; RIGHT($A22,4)) + TIMEVALUE($B22), "")</f>
        <v>44144.49583</v>
      </c>
      <c r="P22" s="36">
        <f>IF(Account!$F22&lt;&gt;"", DATEVALUE(MID($C22,4,3) &amp; LEFT($C22,3) &amp; RIGHT($C22,4)), "")</f>
        <v>44144</v>
      </c>
      <c r="Q22" s="37" t="str">
        <f t="array" ref="Q22">IF($R22&lt;&gt;"",IFERROR(INDEX(ISIN!$B:$B,MATCH($R22,ISIN!$C:$C,0))),)</f>
        <v>Intermediate US bonds (7-10 year)</v>
      </c>
      <c r="R22" s="38" t="str">
        <f t="array" ref="R22">IF($E22&lt;&gt;"",IFERROR(INDEX(ISIN!$C:$C,MATCH($E22,ISIN!$A:$A,0)),IFERROR(INDEX($R23:$R1200,MATCH($K22,$K23:$K1200,0)))),IF(AND($Y22="change",$H22="EUR"),IF($O22=$O23,$R23,IF($O22=$O21,$R21)),IFERROR(INDEX($R23:$R1200,MATCH(SUBSTITUTE($I22,"-","",1),$K23:$K1200,0)))))</f>
        <v>iShares Treasury Bond 7-10 UCITS</v>
      </c>
      <c r="S22" s="37" t="str">
        <f t="shared" si="1"/>
        <v>BUY</v>
      </c>
      <c r="T22" s="39">
        <f t="shared" si="2"/>
        <v>6</v>
      </c>
      <c r="U22" s="40">
        <f t="shared" si="3"/>
        <v>186.84</v>
      </c>
      <c r="V22" s="34">
        <f t="shared" si="4"/>
        <v>-1121.04</v>
      </c>
      <c r="W22" s="41" t="str">
        <f>IFERROR(__xludf.DUMMYFUNCTION(" IF(Account!$F22&lt;&gt;"""", SPLIT(Account!$F22, "" ""), """")"),"Achat")</f>
        <v>Achat</v>
      </c>
      <c r="X22" s="44">
        <f>IFERROR(__xludf.DUMMYFUNCTION("""COMPUTED_VALUE"""),6.0)</f>
        <v>6</v>
      </c>
      <c r="Y22" s="44" t="str">
        <f>IFERROR(__xludf.DUMMYFUNCTION("""COMPUTED_VALUE"""),"ISHARES")</f>
        <v>ISHARES</v>
      </c>
      <c r="Z22" s="44" t="str">
        <f>IFERROR(__xludf.DUMMYFUNCTION("""COMPUTED_VALUE"""),"US")</f>
        <v>US</v>
      </c>
      <c r="AA22" s="44" t="str">
        <f>IFERROR(__xludf.DUMMYFUNCTION("""COMPUTED_VALUE"""),"T")</f>
        <v>T</v>
      </c>
      <c r="AB22" s="44" t="str">
        <f>IFERROR(__xludf.DUMMYFUNCTION("""COMPUTED_VALUE"""),"7-10@186,84")</f>
        <v>7-10@186,84</v>
      </c>
      <c r="AC22" s="44" t="str">
        <f>IFERROR(__xludf.DUMMYFUNCTION("""COMPUTED_VALUE"""),"EUR")</f>
        <v>EUR</v>
      </c>
      <c r="AD22" s="44" t="str">
        <f>IFERROR(__xludf.DUMMYFUNCTION("""COMPUTED_VALUE"""),"(IE00B1FZS798)")</f>
        <v>(IE00B1FZS798)</v>
      </c>
      <c r="AE22" s="44"/>
      <c r="AF22" s="44"/>
      <c r="AG22" s="44"/>
      <c r="AH22" s="44"/>
      <c r="AI22" s="44"/>
      <c r="AJ22" s="44"/>
      <c r="AK22" s="44"/>
    </row>
    <row r="23">
      <c r="A23" s="20" t="s">
        <v>71</v>
      </c>
      <c r="B23" s="20" t="s">
        <v>158</v>
      </c>
      <c r="C23" s="20" t="s">
        <v>71</v>
      </c>
      <c r="D23" s="20" t="s">
        <v>73</v>
      </c>
      <c r="E23" s="20" t="s">
        <v>74</v>
      </c>
      <c r="F23" s="21" t="s">
        <v>75</v>
      </c>
      <c r="G23" s="20"/>
      <c r="H23" s="20" t="s">
        <v>76</v>
      </c>
      <c r="I23" s="20" t="s">
        <v>77</v>
      </c>
      <c r="J23" s="20" t="s">
        <v>76</v>
      </c>
      <c r="K23" s="20" t="s">
        <v>159</v>
      </c>
      <c r="L23" s="21" t="s">
        <v>160</v>
      </c>
      <c r="M23" s="33" t="str">
        <f>IFERROR(__xludf.DUMMYFUNCTION("IFS(W23=""Achat"",IFERROR(VALUE(X23),VALUE(REGEXREPLACE(T(X23),""[^0-9]"",""""))),W23=""Vente"",-IFERROR(VALUE(X23),VALUE(REGEXREPLACE(T(X23),""[^0-9]"",""""))),Y23=""Change"",0,Y23&lt;&gt;""Change"","""")"),"")</f>
        <v/>
      </c>
      <c r="N23" s="34">
        <f>IFERROR(__xludf.DUMMYFUNCTION("IF(Account!$F23&lt;&gt;"""", VALUE(REGEXREPLACE($I23, ""\,"", ""."")), """")"),-2.0)</f>
        <v>-2</v>
      </c>
      <c r="O23" s="35">
        <f>IF(Account!$F23&lt;&gt;"", DATEVALUE(MID($A23,4,3) &amp; LEFT($A23,3) &amp; RIGHT($A23,4)) + TIMEVALUE($B23), "")</f>
        <v>44144.48611</v>
      </c>
      <c r="P23" s="36">
        <f>IF(Account!$F23&lt;&gt;"", DATEVALUE(MID($C23,4,3) &amp; LEFT($C23,3) &amp; RIGHT($C23,4)), "")</f>
        <v>44144</v>
      </c>
      <c r="Q23" s="37" t="str">
        <f t="array" ref="Q23">IF($R23&lt;&gt;"",IFERROR(INDEX(ISIN!$B:$B,MATCH($R23,ISIN!$C:$C,0))),)</f>
        <v>Long term US bonds (20-25 year)</v>
      </c>
      <c r="R23" s="38" t="str">
        <f t="array" ref="R23">IF($E23&lt;&gt;"",IFERROR(INDEX(ISIN!$C:$C,MATCH($E23,ISIN!$A:$A,0)),IFERROR(INDEX($R24:$R1200,MATCH($K23,$K24:$K1200,0)))),IF(AND($Y23="change",$H23="EUR"),IF($O23=$O24,$R24,IF($O23=$O22,$R22)),IFERROR(INDEX($R24:$R1200,MATCH(SUBSTITUTE($I23,"-","",1),$K24:$K1200,0)))))</f>
        <v>iShares Treasury Bond 20+ UCITS</v>
      </c>
      <c r="S23" s="37" t="str">
        <f t="shared" si="1"/>
        <v>COST</v>
      </c>
      <c r="T23" s="39" t="str">
        <f t="shared" si="2"/>
        <v/>
      </c>
      <c r="U23" s="40" t="str">
        <f t="shared" si="3"/>
        <v/>
      </c>
      <c r="V23" s="34">
        <f t="shared" si="4"/>
        <v>-6.86</v>
      </c>
      <c r="W23" s="41" t="str">
        <f>IFERROR(__xludf.DUMMYFUNCTION(" IF(Account!$F23&lt;&gt;"""", SPLIT(Account!$F23, "" ""), """")"),"Frais")</f>
        <v>Frais</v>
      </c>
      <c r="X23" s="44" t="str">
        <f>IFERROR(__xludf.DUMMYFUNCTION("""COMPUTED_VALUE"""),"de")</f>
        <v>de</v>
      </c>
      <c r="Y23" s="44" t="str">
        <f>IFERROR(__xludf.DUMMYFUNCTION("""COMPUTED_VALUE"""),"courtage")</f>
        <v>courtage</v>
      </c>
      <c r="Z23" s="44"/>
      <c r="AA23" s="44"/>
      <c r="AB23" s="44"/>
      <c r="AC23" s="44"/>
      <c r="AD23" s="44"/>
      <c r="AE23" s="44"/>
      <c r="AF23" s="44"/>
      <c r="AG23" s="44"/>
      <c r="AH23" s="44"/>
      <c r="AI23" s="44"/>
      <c r="AJ23" s="44"/>
      <c r="AK23" s="44"/>
    </row>
    <row r="24">
      <c r="A24" s="20" t="s">
        <v>71</v>
      </c>
      <c r="B24" s="20" t="s">
        <v>158</v>
      </c>
      <c r="C24" s="20" t="s">
        <v>71</v>
      </c>
      <c r="D24" s="20" t="s">
        <v>73</v>
      </c>
      <c r="E24" s="20" t="s">
        <v>74</v>
      </c>
      <c r="F24" s="21" t="s">
        <v>75</v>
      </c>
      <c r="G24" s="20"/>
      <c r="H24" s="20" t="s">
        <v>76</v>
      </c>
      <c r="I24" s="20" t="s">
        <v>161</v>
      </c>
      <c r="J24" s="20" t="s">
        <v>76</v>
      </c>
      <c r="K24" s="20" t="s">
        <v>162</v>
      </c>
      <c r="L24" s="21" t="s">
        <v>160</v>
      </c>
      <c r="M24" s="33" t="str">
        <f>IFERROR(__xludf.DUMMYFUNCTION("IFS(W24=""Achat"",IFERROR(VALUE(X24),VALUE(REGEXREPLACE(T(X24),""[^0-9]"",""""))),W24=""Vente"",-IFERROR(VALUE(X24),VALUE(REGEXREPLACE(T(X24),""[^0-9]"",""""))),Y24=""Change"",0,Y24&lt;&gt;""Change"","""")"),"")</f>
        <v/>
      </c>
      <c r="N24" s="34">
        <f>IFERROR(__xludf.DUMMYFUNCTION("IF(Account!$F24&lt;&gt;"""", VALUE(REGEXREPLACE($I24, ""\,"", ""."")), """")"),-4.86)</f>
        <v>-4.86</v>
      </c>
      <c r="O24" s="35">
        <f>IF(Account!$F24&lt;&gt;"", DATEVALUE(MID($A24,4,3) &amp; LEFT($A24,3) &amp; RIGHT($A24,4)) + TIMEVALUE($B24), "")</f>
        <v>44144.48611</v>
      </c>
      <c r="P24" s="36">
        <f>IF(Account!$F24&lt;&gt;"", DATEVALUE(MID($C24,4,3) &amp; LEFT($C24,3) &amp; RIGHT($C24,4)), "")</f>
        <v>44144</v>
      </c>
      <c r="Q24" s="37" t="str">
        <f t="array" ref="Q24">IF($R24&lt;&gt;"",IFERROR(INDEX(ISIN!$B:$B,MATCH($R24,ISIN!$C:$C,0))),)</f>
        <v>Long term US bonds (20-25 year)</v>
      </c>
      <c r="R24" s="38" t="str">
        <f t="array" ref="R24">IF($E24&lt;&gt;"",IFERROR(INDEX(ISIN!$C:$C,MATCH($E24,ISIN!$A:$A,0)),IFERROR(INDEX($R25:$R1200,MATCH($K24,$K25:$K1200,0)))),IF(AND($Y24="change",$H24="EUR"),IF($O24=$O25,$R25,IF($O24=$O23,$R23)),IFERROR(INDEX($R25:$R1200,MATCH(SUBSTITUTE($I24,"-","",1),$K25:$K1200,0)))))</f>
        <v>iShares Treasury Bond 20+ UCITS</v>
      </c>
      <c r="S24" s="37" t="str">
        <f t="shared" si="1"/>
        <v>COST</v>
      </c>
      <c r="T24" s="39" t="str">
        <f t="shared" si="2"/>
        <v/>
      </c>
      <c r="U24" s="40" t="str">
        <f t="shared" si="3"/>
        <v/>
      </c>
      <c r="V24" s="34">
        <f t="shared" si="4"/>
        <v>-6.86</v>
      </c>
      <c r="W24" s="41" t="str">
        <f>IFERROR(__xludf.DUMMYFUNCTION(" IF(Account!$F24&lt;&gt;"""", SPLIT(Account!$F24, "" ""), """")"),"Frais")</f>
        <v>Frais</v>
      </c>
      <c r="X24" s="44" t="str">
        <f>IFERROR(__xludf.DUMMYFUNCTION("""COMPUTED_VALUE"""),"de")</f>
        <v>de</v>
      </c>
      <c r="Y24" s="44" t="str">
        <f>IFERROR(__xludf.DUMMYFUNCTION("""COMPUTED_VALUE"""),"courtage")</f>
        <v>courtage</v>
      </c>
      <c r="Z24" s="44"/>
      <c r="AA24" s="44"/>
      <c r="AB24" s="44"/>
      <c r="AC24" s="44"/>
      <c r="AD24" s="44"/>
      <c r="AE24" s="44"/>
      <c r="AF24" s="44"/>
      <c r="AG24" s="44"/>
      <c r="AH24" s="44"/>
      <c r="AI24" s="44"/>
      <c r="AJ24" s="44"/>
      <c r="AK24" s="44"/>
    </row>
    <row r="25">
      <c r="A25" s="20" t="s">
        <v>71</v>
      </c>
      <c r="B25" s="20" t="s">
        <v>158</v>
      </c>
      <c r="C25" s="20" t="s">
        <v>71</v>
      </c>
      <c r="D25" s="20" t="s">
        <v>73</v>
      </c>
      <c r="E25" s="20" t="s">
        <v>74</v>
      </c>
      <c r="F25" s="21" t="s">
        <v>163</v>
      </c>
      <c r="G25" s="20"/>
      <c r="H25" s="20" t="s">
        <v>76</v>
      </c>
      <c r="I25" s="20" t="s">
        <v>164</v>
      </c>
      <c r="J25" s="20" t="s">
        <v>76</v>
      </c>
      <c r="K25" s="20" t="s">
        <v>165</v>
      </c>
      <c r="L25" s="21" t="s">
        <v>160</v>
      </c>
      <c r="M25" s="33">
        <f>IFERROR(__xludf.DUMMYFUNCTION("IFS(W25=""Achat"",IFERROR(VALUE(X25),VALUE(REGEXREPLACE(T(X25),""[^0-9]"",""""))),W25=""Vente"",-IFERROR(VALUE(X25),VALUE(REGEXREPLACE(T(X25),""[^0-9]"",""""))),Y25=""Change"",0,Y25&lt;&gt;""Change"","""")"),4813.0)</f>
        <v>4813</v>
      </c>
      <c r="N25" s="34">
        <f>IFERROR(__xludf.DUMMYFUNCTION("IF(Account!$F25&lt;&gt;"""", VALUE(REGEXREPLACE($I25, ""\,"", ""."")), """")"),-24305.65)</f>
        <v>-24305.65</v>
      </c>
      <c r="O25" s="35">
        <f>IF(Account!$F25&lt;&gt;"", DATEVALUE(MID($A25,4,3) &amp; LEFT($A25,3) &amp; RIGHT($A25,4)) + TIMEVALUE($B25), "")</f>
        <v>44144.48611</v>
      </c>
      <c r="P25" s="36">
        <f>IF(Account!$F25&lt;&gt;"", DATEVALUE(MID($C25,4,3) &amp; LEFT($C25,3) &amp; RIGHT($C25,4)), "")</f>
        <v>44144</v>
      </c>
      <c r="Q25" s="37" t="str">
        <f t="array" ref="Q25">IF($R25&lt;&gt;"",IFERROR(INDEX(ISIN!$B:$B,MATCH($R25,ISIN!$C:$C,0))),)</f>
        <v>Long term US bonds (20-25 year)</v>
      </c>
      <c r="R25" s="38" t="str">
        <f t="array" ref="R25">IF($E25&lt;&gt;"",IFERROR(INDEX(ISIN!$C:$C,MATCH($E25,ISIN!$A:$A,0)),IFERROR(INDEX($R26:$R1200,MATCH($K25,$K26:$K1200,0)))),IF(AND($Y25="change",$H25="EUR"),IF($O25=$O26,$R26,IF($O25=$O24,$R24)),IFERROR(INDEX($R26:$R1200,MATCH(SUBSTITUTE($I25,"-","",1),$K26:$K1200,0)))))</f>
        <v>iShares Treasury Bond 20+ UCITS</v>
      </c>
      <c r="S25" s="37" t="str">
        <f t="shared" si="1"/>
        <v>BUY</v>
      </c>
      <c r="T25" s="39">
        <f t="shared" si="2"/>
        <v>4813</v>
      </c>
      <c r="U25" s="40">
        <f t="shared" si="3"/>
        <v>5.05</v>
      </c>
      <c r="V25" s="34">
        <f t="shared" si="4"/>
        <v>-24305.65</v>
      </c>
      <c r="W25" s="41" t="str">
        <f>IFERROR(__xludf.DUMMYFUNCTION(" IF(Account!$F25&lt;&gt;"""", SPLIT(Account!$F25, "" ""), """")"),"Achat")</f>
        <v>Achat</v>
      </c>
      <c r="X25" s="44" t="str">
        <f>IFERROR(__xludf.DUMMYFUNCTION("""COMPUTED_VALUE"""),"4 813")</f>
        <v>4 813</v>
      </c>
      <c r="Y25" s="44" t="str">
        <f>IFERROR(__xludf.DUMMYFUNCTION("""COMPUTED_VALUE"""),"iShares")</f>
        <v>iShares</v>
      </c>
      <c r="Z25" s="44" t="str">
        <f>IFERROR(__xludf.DUMMYFUNCTION("""COMPUTED_VALUE"""),"$")</f>
        <v>$</v>
      </c>
      <c r="AA25" s="44" t="str">
        <f>IFERROR(__xludf.DUMMYFUNCTION("""COMPUTED_VALUE"""),"Treasury")</f>
        <v>Treasury</v>
      </c>
      <c r="AB25" s="44" t="str">
        <f>IFERROR(__xludf.DUMMYFUNCTION("""COMPUTED_VALUE"""),"Bond")</f>
        <v>Bond</v>
      </c>
      <c r="AC25" s="44" t="str">
        <f>IFERROR(__xludf.DUMMYFUNCTION("""COMPUTED_VALUE"""),"20+yr")</f>
        <v>20+yr</v>
      </c>
      <c r="AD25" s="44" t="str">
        <f>IFERROR(__xludf.DUMMYFUNCTION("""COMPUTED_VALUE"""),"UCITS")</f>
        <v>UCITS</v>
      </c>
      <c r="AE25" s="44" t="str">
        <f>IFERROR(__xludf.DUMMYFUNCTION("""COMPUTED_VALUE"""),"ETF")</f>
        <v>ETF</v>
      </c>
      <c r="AF25" s="44" t="str">
        <f>IFERROR(__xludf.DUMMYFUNCTION("""COMPUTED_VALUE"""),"USD")</f>
        <v>USD</v>
      </c>
      <c r="AG25" s="44" t="str">
        <f>IFERROR(__xludf.DUMMYFUNCTION("""COMPUTED_VALUE"""),"(Dist)@5,05")</f>
        <v>(Dist)@5,05</v>
      </c>
      <c r="AH25" s="44" t="str">
        <f>IFERROR(__xludf.DUMMYFUNCTION("""COMPUTED_VALUE"""),"EUR")</f>
        <v>EUR</v>
      </c>
      <c r="AI25" s="44" t="str">
        <f>IFERROR(__xludf.DUMMYFUNCTION("""COMPUTED_VALUE"""),"(IE00BSKRJZ44)")</f>
        <v>(IE00BSKRJZ44)</v>
      </c>
      <c r="AJ25" s="44"/>
      <c r="AK25" s="44"/>
    </row>
    <row r="26">
      <c r="A26" s="20" t="s">
        <v>71</v>
      </c>
      <c r="B26" s="20" t="s">
        <v>166</v>
      </c>
      <c r="C26" s="20" t="s">
        <v>71</v>
      </c>
      <c r="D26" s="20" t="s">
        <v>86</v>
      </c>
      <c r="E26" s="20" t="s">
        <v>87</v>
      </c>
      <c r="F26" s="21" t="s">
        <v>167</v>
      </c>
      <c r="G26" s="20"/>
      <c r="H26" s="20" t="s">
        <v>76</v>
      </c>
      <c r="I26" s="20" t="s">
        <v>168</v>
      </c>
      <c r="J26" s="20" t="s">
        <v>76</v>
      </c>
      <c r="K26" s="20" t="s">
        <v>169</v>
      </c>
      <c r="L26" s="21" t="s">
        <v>170</v>
      </c>
      <c r="M26" s="33">
        <f>IFERROR(__xludf.DUMMYFUNCTION("IFS(W26=""Achat"",IFERROR(VALUE(X26),VALUE(REGEXREPLACE(T(X26),""[^0-9]"",""""))),W26=""Vente"",-IFERROR(VALUE(X26),VALUE(REGEXREPLACE(T(X26),""[^0-9]"",""""))),Y26=""Change"",0,Y26&lt;&gt;""Change"","""")"),14.0)</f>
        <v>14</v>
      </c>
      <c r="N26" s="34">
        <f>IFERROR(__xludf.DUMMYFUNCTION("IF(Account!$F26&lt;&gt;"""", VALUE(REGEXREPLACE($I26, ""\,"", ""."")), """")"),-2615.76)</f>
        <v>-2615.76</v>
      </c>
      <c r="O26" s="35">
        <f>IF(Account!$F26&lt;&gt;"", DATEVALUE(MID($A26,4,3) &amp; LEFT($A26,3) &amp; RIGHT($A26,4)) + TIMEVALUE($B26), "")</f>
        <v>44144.44583</v>
      </c>
      <c r="P26" s="36">
        <f>IF(Account!$F26&lt;&gt;"", DATEVALUE(MID($C26,4,3) &amp; LEFT($C26,3) &amp; RIGHT($C26,4)), "")</f>
        <v>44144</v>
      </c>
      <c r="Q26" s="37" t="str">
        <f t="array" ref="Q26">IF($R26&lt;&gt;"",IFERROR(INDEX(ISIN!$B:$B,MATCH($R26,ISIN!$C:$C,0))),)</f>
        <v>Intermediate US bonds (7-10 year)</v>
      </c>
      <c r="R26" s="38" t="str">
        <f t="array" ref="R26">IF($E26&lt;&gt;"",IFERROR(INDEX(ISIN!$C:$C,MATCH($E26,ISIN!$A:$A,0)),IFERROR(INDEX($R27:$R1200,MATCH($K26,$K27:$K1200,0)))),IF(AND($Y26="change",$H26="EUR"),IF($O26=$O27,$R27,IF($O26=$O25,$R25)),IFERROR(INDEX($R27:$R1200,MATCH(SUBSTITUTE($I26,"-","",1),$K27:$K1200,0)))))</f>
        <v>iShares Treasury Bond 7-10 UCITS</v>
      </c>
      <c r="S26" s="37" t="str">
        <f t="shared" si="1"/>
        <v>BUY</v>
      </c>
      <c r="T26" s="39">
        <f t="shared" si="2"/>
        <v>14</v>
      </c>
      <c r="U26" s="40">
        <f t="shared" si="3"/>
        <v>186.84</v>
      </c>
      <c r="V26" s="34">
        <f t="shared" si="4"/>
        <v>-2615.76</v>
      </c>
      <c r="W26" s="41" t="str">
        <f>IFERROR(__xludf.DUMMYFUNCTION(" IF(Account!$F26&lt;&gt;"""", SPLIT(Account!$F26, "" ""), """")"),"Achat")</f>
        <v>Achat</v>
      </c>
      <c r="X26" s="44">
        <f>IFERROR(__xludf.DUMMYFUNCTION("""COMPUTED_VALUE"""),14.0)</f>
        <v>14</v>
      </c>
      <c r="Y26" s="44" t="str">
        <f>IFERROR(__xludf.DUMMYFUNCTION("""COMPUTED_VALUE"""),"ISHARES")</f>
        <v>ISHARES</v>
      </c>
      <c r="Z26" s="44" t="str">
        <f>IFERROR(__xludf.DUMMYFUNCTION("""COMPUTED_VALUE"""),"US")</f>
        <v>US</v>
      </c>
      <c r="AA26" s="44" t="str">
        <f>IFERROR(__xludf.DUMMYFUNCTION("""COMPUTED_VALUE"""),"T")</f>
        <v>T</v>
      </c>
      <c r="AB26" s="44" t="str">
        <f>IFERROR(__xludf.DUMMYFUNCTION("""COMPUTED_VALUE"""),"7-10@186,84")</f>
        <v>7-10@186,84</v>
      </c>
      <c r="AC26" s="44" t="str">
        <f>IFERROR(__xludf.DUMMYFUNCTION("""COMPUTED_VALUE"""),"EUR")</f>
        <v>EUR</v>
      </c>
      <c r="AD26" s="44" t="str">
        <f>IFERROR(__xludf.DUMMYFUNCTION("""COMPUTED_VALUE"""),"(IE00B1FZS798)")</f>
        <v>(IE00B1FZS798)</v>
      </c>
      <c r="AE26" s="44"/>
      <c r="AF26" s="44"/>
      <c r="AG26" s="44"/>
      <c r="AH26" s="44"/>
      <c r="AI26" s="44"/>
      <c r="AJ26" s="44"/>
      <c r="AK26" s="44"/>
    </row>
    <row r="27">
      <c r="A27" s="20" t="s">
        <v>171</v>
      </c>
      <c r="B27" s="20" t="s">
        <v>172</v>
      </c>
      <c r="C27" s="20" t="s">
        <v>171</v>
      </c>
      <c r="D27" s="20" t="s">
        <v>73</v>
      </c>
      <c r="E27" s="20" t="s">
        <v>74</v>
      </c>
      <c r="F27" s="21" t="s">
        <v>75</v>
      </c>
      <c r="G27" s="20"/>
      <c r="H27" s="20" t="s">
        <v>76</v>
      </c>
      <c r="I27" s="20" t="s">
        <v>77</v>
      </c>
      <c r="J27" s="20" t="s">
        <v>76</v>
      </c>
      <c r="K27" s="20" t="s">
        <v>173</v>
      </c>
      <c r="L27" s="21" t="s">
        <v>174</v>
      </c>
      <c r="M27" s="33" t="str">
        <f>IFERROR(__xludf.DUMMYFUNCTION("IFS(W27=""Achat"",IFERROR(VALUE(X27),VALUE(REGEXREPLACE(T(X27),""[^0-9]"",""""))),W27=""Vente"",-IFERROR(VALUE(X27),VALUE(REGEXREPLACE(T(X27),""[^0-9]"",""""))),Y27=""Change"",0,Y27&lt;&gt;""Change"","""")"),"")</f>
        <v/>
      </c>
      <c r="N27" s="34">
        <f>IFERROR(__xludf.DUMMYFUNCTION("IF(Account!$F27&lt;&gt;"""", VALUE(REGEXREPLACE($I27, ""\,"", ""."")), """")"),-2.0)</f>
        <v>-2</v>
      </c>
      <c r="O27" s="35">
        <f>IF(Account!$F27&lt;&gt;"", DATEVALUE(MID($A27,4,3) &amp; LEFT($A27,3) &amp; RIGHT($A27,4)) + TIMEVALUE($B27), "")</f>
        <v>44141.53056</v>
      </c>
      <c r="P27" s="36">
        <f>IF(Account!$F27&lt;&gt;"", DATEVALUE(MID($C27,4,3) &amp; LEFT($C27,3) &amp; RIGHT($C27,4)), "")</f>
        <v>44141</v>
      </c>
      <c r="Q27" s="37" t="str">
        <f t="array" ref="Q27">IF($R27&lt;&gt;"",IFERROR(INDEX(ISIN!$B:$B,MATCH($R27,ISIN!$C:$C,0))),)</f>
        <v>Long term US bonds (20-25 year)</v>
      </c>
      <c r="R27" s="38" t="str">
        <f t="array" ref="R27">IF($E27&lt;&gt;"",IFERROR(INDEX(ISIN!$C:$C,MATCH($E27,ISIN!$A:$A,0)),IFERROR(INDEX($R28:$R1200,MATCH($K27,$K28:$K1200,0)))),IF(AND($Y27="change",$H27="EUR"),IF($O27=$O28,$R28,IF($O27=$O26,$R26)),IFERROR(INDEX($R28:$R1200,MATCH(SUBSTITUTE($I27,"-","",1),$K28:$K1200,0)))))</f>
        <v>iShares Treasury Bond 20+ UCITS</v>
      </c>
      <c r="S27" s="37" t="str">
        <f t="shared" si="1"/>
        <v>COST</v>
      </c>
      <c r="T27" s="39" t="str">
        <f t="shared" si="2"/>
        <v/>
      </c>
      <c r="U27" s="40" t="str">
        <f t="shared" si="3"/>
        <v/>
      </c>
      <c r="V27" s="34">
        <f t="shared" si="4"/>
        <v>-3.02</v>
      </c>
      <c r="W27" s="41" t="str">
        <f>IFERROR(__xludf.DUMMYFUNCTION(" IF(Account!$F27&lt;&gt;"""", SPLIT(Account!$F27, "" ""), """")"),"Frais")</f>
        <v>Frais</v>
      </c>
      <c r="X27" s="44" t="str">
        <f>IFERROR(__xludf.DUMMYFUNCTION("""COMPUTED_VALUE"""),"de")</f>
        <v>de</v>
      </c>
      <c r="Y27" s="44" t="str">
        <f>IFERROR(__xludf.DUMMYFUNCTION("""COMPUTED_VALUE"""),"courtage")</f>
        <v>courtage</v>
      </c>
      <c r="Z27" s="44"/>
      <c r="AA27" s="44"/>
      <c r="AB27" s="44"/>
      <c r="AC27" s="44"/>
      <c r="AD27" s="44"/>
      <c r="AE27" s="44"/>
      <c r="AF27" s="44"/>
      <c r="AG27" s="44"/>
      <c r="AH27" s="44"/>
      <c r="AI27" s="44"/>
      <c r="AJ27" s="44"/>
      <c r="AK27" s="44"/>
    </row>
    <row r="28">
      <c r="A28" s="20" t="s">
        <v>171</v>
      </c>
      <c r="B28" s="20" t="s">
        <v>172</v>
      </c>
      <c r="C28" s="20" t="s">
        <v>171</v>
      </c>
      <c r="D28" s="20" t="s">
        <v>73</v>
      </c>
      <c r="E28" s="20" t="s">
        <v>74</v>
      </c>
      <c r="F28" s="21" t="s">
        <v>75</v>
      </c>
      <c r="G28" s="20"/>
      <c r="H28" s="20" t="s">
        <v>76</v>
      </c>
      <c r="I28" s="20" t="s">
        <v>175</v>
      </c>
      <c r="J28" s="20" t="s">
        <v>76</v>
      </c>
      <c r="K28" s="20" t="s">
        <v>176</v>
      </c>
      <c r="L28" s="21" t="s">
        <v>174</v>
      </c>
      <c r="M28" s="33" t="str">
        <f>IFERROR(__xludf.DUMMYFUNCTION("IFS(W28=""Achat"",IFERROR(VALUE(X28),VALUE(REGEXREPLACE(T(X28),""[^0-9]"",""""))),W28=""Vente"",-IFERROR(VALUE(X28),VALUE(REGEXREPLACE(T(X28),""[^0-9]"",""""))),Y28=""Change"",0,Y28&lt;&gt;""Change"","""")"),"")</f>
        <v/>
      </c>
      <c r="N28" s="34">
        <f>IFERROR(__xludf.DUMMYFUNCTION("IF(Account!$F28&lt;&gt;"""", VALUE(REGEXREPLACE($I28, ""\,"", ""."")), """")"),-1.02)</f>
        <v>-1.02</v>
      </c>
      <c r="O28" s="35">
        <f>IF(Account!$F28&lt;&gt;"", DATEVALUE(MID($A28,4,3) &amp; LEFT($A28,3) &amp; RIGHT($A28,4)) + TIMEVALUE($B28), "")</f>
        <v>44141.53056</v>
      </c>
      <c r="P28" s="36">
        <f>IF(Account!$F28&lt;&gt;"", DATEVALUE(MID($C28,4,3) &amp; LEFT($C28,3) &amp; RIGHT($C28,4)), "")</f>
        <v>44141</v>
      </c>
      <c r="Q28" s="37" t="str">
        <f t="array" ref="Q28">IF($R28&lt;&gt;"",IFERROR(INDEX(ISIN!$B:$B,MATCH($R28,ISIN!$C:$C,0))),)</f>
        <v>Long term US bonds (20-25 year)</v>
      </c>
      <c r="R28" s="38" t="str">
        <f t="array" ref="R28">IF($E28&lt;&gt;"",IFERROR(INDEX(ISIN!$C:$C,MATCH($E28,ISIN!$A:$A,0)),IFERROR(INDEX($R29:$R1200,MATCH($K28,$K29:$K1200,0)))),IF(AND($Y28="change",$H28="EUR"),IF($O28=$O29,$R29,IF($O28=$O27,$R27)),IFERROR(INDEX($R29:$R1200,MATCH(SUBSTITUTE($I28,"-","",1),$K29:$K1200,0)))))</f>
        <v>iShares Treasury Bond 20+ UCITS</v>
      </c>
      <c r="S28" s="37" t="str">
        <f t="shared" si="1"/>
        <v>COST</v>
      </c>
      <c r="T28" s="39" t="str">
        <f t="shared" si="2"/>
        <v/>
      </c>
      <c r="U28" s="40" t="str">
        <f t="shared" si="3"/>
        <v/>
      </c>
      <c r="V28" s="34">
        <f t="shared" si="4"/>
        <v>-3.02</v>
      </c>
      <c r="W28" s="41" t="str">
        <f>IFERROR(__xludf.DUMMYFUNCTION(" IF(Account!$F28&lt;&gt;"""", SPLIT(Account!$F28, "" ""), """")"),"Frais")</f>
        <v>Frais</v>
      </c>
      <c r="X28" s="44" t="str">
        <f>IFERROR(__xludf.DUMMYFUNCTION("""COMPUTED_VALUE"""),"de")</f>
        <v>de</v>
      </c>
      <c r="Y28" s="44" t="str">
        <f>IFERROR(__xludf.DUMMYFUNCTION("""COMPUTED_VALUE"""),"courtage")</f>
        <v>courtage</v>
      </c>
      <c r="Z28" s="44"/>
      <c r="AA28" s="44"/>
      <c r="AB28" s="44"/>
      <c r="AC28" s="44"/>
      <c r="AD28" s="44"/>
      <c r="AE28" s="44"/>
      <c r="AF28" s="44"/>
      <c r="AG28" s="44"/>
      <c r="AH28" s="44"/>
      <c r="AI28" s="44"/>
      <c r="AJ28" s="44"/>
      <c r="AK28" s="44"/>
    </row>
    <row r="29">
      <c r="A29" s="20" t="s">
        <v>171</v>
      </c>
      <c r="B29" s="20" t="s">
        <v>172</v>
      </c>
      <c r="C29" s="20" t="s">
        <v>171</v>
      </c>
      <c r="D29" s="20" t="s">
        <v>73</v>
      </c>
      <c r="E29" s="20" t="s">
        <v>74</v>
      </c>
      <c r="F29" s="21" t="s">
        <v>177</v>
      </c>
      <c r="G29" s="20"/>
      <c r="H29" s="20" t="s">
        <v>76</v>
      </c>
      <c r="I29" s="20" t="s">
        <v>178</v>
      </c>
      <c r="J29" s="20" t="s">
        <v>76</v>
      </c>
      <c r="K29" s="20" t="s">
        <v>179</v>
      </c>
      <c r="L29" s="21" t="s">
        <v>174</v>
      </c>
      <c r="M29" s="33">
        <f>IFERROR(__xludf.DUMMYFUNCTION("IFS(W29=""Achat"",IFERROR(VALUE(X29),VALUE(REGEXREPLACE(T(X29),""[^0-9]"",""""))),W29=""Vente"",-IFERROR(VALUE(X29),VALUE(REGEXREPLACE(T(X29),""[^0-9]"",""""))),Y29=""Change"",0,Y29&lt;&gt;""Change"","""")"),1000.0)</f>
        <v>1000</v>
      </c>
      <c r="N29" s="34">
        <f>IFERROR(__xludf.DUMMYFUNCTION("IF(Account!$F29&lt;&gt;"""", VALUE(REGEXREPLACE($I29, ""\,"", ""."")), """")"),-5092.0)</f>
        <v>-5092</v>
      </c>
      <c r="O29" s="35">
        <f>IF(Account!$F29&lt;&gt;"", DATEVALUE(MID($A29,4,3) &amp; LEFT($A29,3) &amp; RIGHT($A29,4)) + TIMEVALUE($B29), "")</f>
        <v>44141.53056</v>
      </c>
      <c r="P29" s="36">
        <f>IF(Account!$F29&lt;&gt;"", DATEVALUE(MID($C29,4,3) &amp; LEFT($C29,3) &amp; RIGHT($C29,4)), "")</f>
        <v>44141</v>
      </c>
      <c r="Q29" s="37" t="str">
        <f t="array" ref="Q29">IF($R29&lt;&gt;"",IFERROR(INDEX(ISIN!$B:$B,MATCH($R29,ISIN!$C:$C,0))),)</f>
        <v>Long term US bonds (20-25 year)</v>
      </c>
      <c r="R29" s="38" t="str">
        <f t="array" ref="R29">IF($E29&lt;&gt;"",IFERROR(INDEX(ISIN!$C:$C,MATCH($E29,ISIN!$A:$A,0)),IFERROR(INDEX($R30:$R1200,MATCH($K29,$K30:$K1200,0)))),IF(AND($Y29="change",$H29="EUR"),IF($O29=$O30,$R30,IF($O29=$O28,$R28)),IFERROR(INDEX($R30:$R1200,MATCH(SUBSTITUTE($I29,"-","",1),$K30:$K1200,0)))))</f>
        <v>iShares Treasury Bond 20+ UCITS</v>
      </c>
      <c r="S29" s="37" t="str">
        <f t="shared" si="1"/>
        <v>BUY</v>
      </c>
      <c r="T29" s="39">
        <f t="shared" si="2"/>
        <v>1000</v>
      </c>
      <c r="U29" s="40">
        <f t="shared" si="3"/>
        <v>5.092</v>
      </c>
      <c r="V29" s="34">
        <f t="shared" si="4"/>
        <v>-5092</v>
      </c>
      <c r="W29" s="41" t="str">
        <f>IFERROR(__xludf.DUMMYFUNCTION(" IF(Account!$F29&lt;&gt;"""", SPLIT(Account!$F29, "" ""), """")"),"Achat")</f>
        <v>Achat</v>
      </c>
      <c r="X29" s="44" t="str">
        <f>IFERROR(__xludf.DUMMYFUNCTION("""COMPUTED_VALUE"""),"1 000")</f>
        <v>1 000</v>
      </c>
      <c r="Y29" s="44" t="str">
        <f>IFERROR(__xludf.DUMMYFUNCTION("""COMPUTED_VALUE"""),"iShares")</f>
        <v>iShares</v>
      </c>
      <c r="Z29" s="44" t="str">
        <f>IFERROR(__xludf.DUMMYFUNCTION("""COMPUTED_VALUE"""),"$")</f>
        <v>$</v>
      </c>
      <c r="AA29" s="44" t="str">
        <f>IFERROR(__xludf.DUMMYFUNCTION("""COMPUTED_VALUE"""),"Treasury")</f>
        <v>Treasury</v>
      </c>
      <c r="AB29" s="44" t="str">
        <f>IFERROR(__xludf.DUMMYFUNCTION("""COMPUTED_VALUE"""),"Bond")</f>
        <v>Bond</v>
      </c>
      <c r="AC29" s="44" t="str">
        <f>IFERROR(__xludf.DUMMYFUNCTION("""COMPUTED_VALUE"""),"20+yr")</f>
        <v>20+yr</v>
      </c>
      <c r="AD29" s="44" t="str">
        <f>IFERROR(__xludf.DUMMYFUNCTION("""COMPUTED_VALUE"""),"UCITS")</f>
        <v>UCITS</v>
      </c>
      <c r="AE29" s="44" t="str">
        <f>IFERROR(__xludf.DUMMYFUNCTION("""COMPUTED_VALUE"""),"ETF")</f>
        <v>ETF</v>
      </c>
      <c r="AF29" s="44" t="str">
        <f>IFERROR(__xludf.DUMMYFUNCTION("""COMPUTED_VALUE"""),"USD")</f>
        <v>USD</v>
      </c>
      <c r="AG29" s="44" t="str">
        <f>IFERROR(__xludf.DUMMYFUNCTION("""COMPUTED_VALUE"""),"(Dist)@5,092")</f>
        <v>(Dist)@5,092</v>
      </c>
      <c r="AH29" s="44" t="str">
        <f>IFERROR(__xludf.DUMMYFUNCTION("""COMPUTED_VALUE"""),"EUR")</f>
        <v>EUR</v>
      </c>
      <c r="AI29" s="44" t="str">
        <f>IFERROR(__xludf.DUMMYFUNCTION("""COMPUTED_VALUE"""),"(IE00BSKRJZ44)")</f>
        <v>(IE00BSKRJZ44)</v>
      </c>
      <c r="AJ29" s="44"/>
      <c r="AK29" s="44"/>
    </row>
    <row r="30">
      <c r="A30" s="20" t="s">
        <v>171</v>
      </c>
      <c r="B30" s="20" t="s">
        <v>180</v>
      </c>
      <c r="C30" s="20" t="s">
        <v>171</v>
      </c>
      <c r="D30" s="20" t="s">
        <v>86</v>
      </c>
      <c r="E30" s="20" t="s">
        <v>87</v>
      </c>
      <c r="F30" s="21" t="s">
        <v>181</v>
      </c>
      <c r="G30" s="20"/>
      <c r="H30" s="20" t="s">
        <v>76</v>
      </c>
      <c r="I30" s="20" t="s">
        <v>182</v>
      </c>
      <c r="J30" s="20" t="s">
        <v>76</v>
      </c>
      <c r="K30" s="20" t="s">
        <v>183</v>
      </c>
      <c r="L30" s="21" t="s">
        <v>184</v>
      </c>
      <c r="M30" s="33">
        <f>IFERROR(__xludf.DUMMYFUNCTION("IFS(W30=""Achat"",IFERROR(VALUE(X30),VALUE(REGEXREPLACE(T(X30),""[^0-9]"",""""))),W30=""Vente"",-IFERROR(VALUE(X30),VALUE(REGEXREPLACE(T(X30),""[^0-9]"",""""))),Y30=""Change"",0,Y30&lt;&gt;""Change"","""")"),6.0)</f>
        <v>6</v>
      </c>
      <c r="N30" s="34">
        <f>IFERROR(__xludf.DUMMYFUNCTION("IF(Account!$F30&lt;&gt;"""", VALUE(REGEXREPLACE($I30, ""\,"", ""."")), """")"),-1123.5)</f>
        <v>-1123.5</v>
      </c>
      <c r="O30" s="35">
        <f>IF(Account!$F30&lt;&gt;"", DATEVALUE(MID($A30,4,3) &amp; LEFT($A30,3) &amp; RIGHT($A30,4)) + TIMEVALUE($B30), "")</f>
        <v>44141.51667</v>
      </c>
      <c r="P30" s="36">
        <f>IF(Account!$F30&lt;&gt;"", DATEVALUE(MID($C30,4,3) &amp; LEFT($C30,3) &amp; RIGHT($C30,4)), "")</f>
        <v>44141</v>
      </c>
      <c r="Q30" s="37" t="str">
        <f t="array" ref="Q30">IF($R30&lt;&gt;"",IFERROR(INDEX(ISIN!$B:$B,MATCH($R30,ISIN!$C:$C,0))),)</f>
        <v>Intermediate US bonds (7-10 year)</v>
      </c>
      <c r="R30" s="38" t="str">
        <f t="array" ref="R30">IF($E30&lt;&gt;"",IFERROR(INDEX(ISIN!$C:$C,MATCH($E30,ISIN!$A:$A,0)),IFERROR(INDEX($R31:$R1200,MATCH($K30,$K31:$K1200,0)))),IF(AND($Y30="change",$H30="EUR"),IF($O30=$O31,$R31,IF($O30=$O29,$R29)),IFERROR(INDEX($R31:$R1200,MATCH(SUBSTITUTE($I30,"-","",1),$K31:$K1200,0)))))</f>
        <v>iShares Treasury Bond 7-10 UCITS</v>
      </c>
      <c r="S30" s="37" t="str">
        <f t="shared" si="1"/>
        <v>BUY</v>
      </c>
      <c r="T30" s="39">
        <f t="shared" si="2"/>
        <v>6</v>
      </c>
      <c r="U30" s="40">
        <f t="shared" si="3"/>
        <v>187.25</v>
      </c>
      <c r="V30" s="34">
        <f t="shared" si="4"/>
        <v>-1123.5</v>
      </c>
      <c r="W30" s="41" t="str">
        <f>IFERROR(__xludf.DUMMYFUNCTION(" IF(Account!$F30&lt;&gt;"""", SPLIT(Account!$F30, "" ""), """")"),"Achat")</f>
        <v>Achat</v>
      </c>
      <c r="X30" s="44">
        <f>IFERROR(__xludf.DUMMYFUNCTION("""COMPUTED_VALUE"""),6.0)</f>
        <v>6</v>
      </c>
      <c r="Y30" s="44" t="str">
        <f>IFERROR(__xludf.DUMMYFUNCTION("""COMPUTED_VALUE"""),"ISHARES")</f>
        <v>ISHARES</v>
      </c>
      <c r="Z30" s="44" t="str">
        <f>IFERROR(__xludf.DUMMYFUNCTION("""COMPUTED_VALUE"""),"US")</f>
        <v>US</v>
      </c>
      <c r="AA30" s="44" t="str">
        <f>IFERROR(__xludf.DUMMYFUNCTION("""COMPUTED_VALUE"""),"T")</f>
        <v>T</v>
      </c>
      <c r="AB30" s="44" t="str">
        <f>IFERROR(__xludf.DUMMYFUNCTION("""COMPUTED_VALUE"""),"7-10@187,25")</f>
        <v>7-10@187,25</v>
      </c>
      <c r="AC30" s="44" t="str">
        <f>IFERROR(__xludf.DUMMYFUNCTION("""COMPUTED_VALUE"""),"EUR")</f>
        <v>EUR</v>
      </c>
      <c r="AD30" s="44" t="str">
        <f>IFERROR(__xludf.DUMMYFUNCTION("""COMPUTED_VALUE"""),"(IE00B1FZS798)")</f>
        <v>(IE00B1FZS798)</v>
      </c>
      <c r="AE30" s="44"/>
      <c r="AF30" s="44"/>
      <c r="AG30" s="44"/>
      <c r="AH30" s="44"/>
      <c r="AI30" s="44"/>
      <c r="AJ30" s="44"/>
      <c r="AK30" s="44"/>
    </row>
    <row r="31">
      <c r="A31" s="20" t="s">
        <v>185</v>
      </c>
      <c r="B31" s="20" t="s">
        <v>186</v>
      </c>
      <c r="C31" s="20" t="s">
        <v>171</v>
      </c>
      <c r="D31" s="20"/>
      <c r="E31" s="20"/>
      <c r="F31" s="21" t="s">
        <v>187</v>
      </c>
      <c r="G31" s="20"/>
      <c r="H31" s="20" t="s">
        <v>76</v>
      </c>
      <c r="I31" s="20" t="s">
        <v>188</v>
      </c>
      <c r="J31" s="20" t="s">
        <v>76</v>
      </c>
      <c r="K31" s="20" t="s">
        <v>189</v>
      </c>
      <c r="L31" s="21"/>
      <c r="M31" s="33" t="str">
        <f>IFERROR(__xludf.DUMMYFUNCTION("IFS(W31=""Achat"",IFERROR(VALUE(X31),VALUE(REGEXREPLACE(T(X31),""[^0-9]"",""""))),W31=""Vente"",-IFERROR(VALUE(X31),VALUE(REGEXREPLACE(T(X31),""[^0-9]"",""""))),Y31=""Change"",0,Y31&lt;&gt;""Change"","""")"),"")</f>
        <v/>
      </c>
      <c r="N31" s="34">
        <f>IFERROR(__xludf.DUMMYFUNCTION("IF(Account!$F31&lt;&gt;"""", VALUE(REGEXREPLACE($I31, ""\,"", ""."")), """")"),1800.0)</f>
        <v>1800</v>
      </c>
      <c r="O31" s="35">
        <f>IF(Account!$F31&lt;&gt;"", DATEVALUE(MID($A31,4,3) &amp; LEFT($A31,3) &amp; RIGHT($A31,4)) + TIMEVALUE($B31), "")</f>
        <v>44140.70139</v>
      </c>
      <c r="P31" s="36">
        <f>IF(Account!$F31&lt;&gt;"", DATEVALUE(MID($C31,4,3) &amp; LEFT($C31,3) &amp; RIGHT($C31,4)), "")</f>
        <v>44141</v>
      </c>
      <c r="Q31" s="37" t="str">
        <f t="array" ref="Q31">IF($R31&lt;&gt;"",IFERROR(INDEX(ISIN!$B:$B,MATCH($R31,ISIN!$C:$C,0))),)</f>
        <v/>
      </c>
      <c r="R31" s="38" t="str">
        <f t="array" ref="R31">IF($E31&lt;&gt;"",IFERROR(INDEX(ISIN!$C:$C,MATCH($E31,ISIN!$A:$A,0)),IFERROR(INDEX($R32:$R1200,MATCH($K31,$K32:$K1200,0)))),IF(AND($Y31="change",$H31="EUR"),IF($O31=$O32,$R32,IF($O31=$O30,$R30)),IFERROR(INDEX($R32:$R1200,MATCH(SUBSTITUTE($I31,"-","",1),$K32:$K1200,0)))))</f>
        <v/>
      </c>
      <c r="S31" s="37" t="str">
        <f t="shared" si="1"/>
        <v>COST</v>
      </c>
      <c r="T31" s="39" t="str">
        <f t="shared" si="2"/>
        <v/>
      </c>
      <c r="U31" s="40" t="str">
        <f t="shared" si="3"/>
        <v/>
      </c>
      <c r="V31" s="34" t="str">
        <f t="shared" si="4"/>
        <v/>
      </c>
      <c r="W31" s="41" t="str">
        <f>IFERROR(__xludf.DUMMYFUNCTION(" IF(Account!$F31&lt;&gt;"""", SPLIT(Account!$F31, "" ""), """")"),"Processed")</f>
        <v>Processed</v>
      </c>
      <c r="X31" s="44" t="str">
        <f>IFERROR(__xludf.DUMMYFUNCTION("""COMPUTED_VALUE"""),"Flatex")</f>
        <v>Flatex</v>
      </c>
      <c r="Y31" s="44" t="str">
        <f>IFERROR(__xludf.DUMMYFUNCTION("""COMPUTED_VALUE"""),"Withdrawal")</f>
        <v>Withdrawal</v>
      </c>
      <c r="Z31" s="44"/>
      <c r="AA31" s="44"/>
      <c r="AB31" s="44"/>
      <c r="AC31" s="44"/>
      <c r="AD31" s="44"/>
      <c r="AE31" s="44"/>
      <c r="AF31" s="44"/>
      <c r="AG31" s="44"/>
      <c r="AH31" s="44"/>
      <c r="AI31" s="44"/>
      <c r="AJ31" s="44"/>
      <c r="AK31" s="44"/>
    </row>
    <row r="32">
      <c r="A32" s="20" t="s">
        <v>185</v>
      </c>
      <c r="B32" s="20" t="s">
        <v>186</v>
      </c>
      <c r="C32" s="20" t="s">
        <v>171</v>
      </c>
      <c r="D32" s="20"/>
      <c r="E32" s="20"/>
      <c r="F32" s="21" t="s">
        <v>190</v>
      </c>
      <c r="G32" s="20"/>
      <c r="H32" s="20" t="s">
        <v>76</v>
      </c>
      <c r="I32" s="20" t="s">
        <v>191</v>
      </c>
      <c r="J32" s="20" t="s">
        <v>76</v>
      </c>
      <c r="K32" s="20" t="s">
        <v>192</v>
      </c>
      <c r="L32" s="21"/>
      <c r="M32" s="33" t="str">
        <f>IFERROR(__xludf.DUMMYFUNCTION("IFS(W32=""Achat"",IFERROR(VALUE(X32),VALUE(REGEXREPLACE(T(X32),""[^0-9]"",""""))),W32=""Vente"",-IFERROR(VALUE(X32),VALUE(REGEXREPLACE(T(X32),""[^0-9]"",""""))),Y32=""Change"",0,Y32&lt;&gt;""Change"","""")"),"")</f>
        <v/>
      </c>
      <c r="N32" s="34">
        <f>IFERROR(__xludf.DUMMYFUNCTION("IF(Account!$F32&lt;&gt;"""", VALUE(REGEXREPLACE($I32, ""\,"", ""."")), """")"),-1800.0)</f>
        <v>-1800</v>
      </c>
      <c r="O32" s="35">
        <f>IF(Account!$F32&lt;&gt;"", DATEVALUE(MID($A32,4,3) &amp; LEFT($A32,3) &amp; RIGHT($A32,4)) + TIMEVALUE($B32), "")</f>
        <v>44140.70139</v>
      </c>
      <c r="P32" s="36">
        <f>IF(Account!$F32&lt;&gt;"", DATEVALUE(MID($C32,4,3) &amp; LEFT($C32,3) &amp; RIGHT($C32,4)), "")</f>
        <v>44141</v>
      </c>
      <c r="Q32" s="37" t="str">
        <f t="array" ref="Q32">IF($R32&lt;&gt;"",IFERROR(INDEX(ISIN!$B:$B,MATCH($R32,ISIN!$C:$C,0))),)</f>
        <v/>
      </c>
      <c r="R32" s="38" t="str">
        <f t="array" ref="R32">IF($E32&lt;&gt;"",IFERROR(INDEX(ISIN!$C:$C,MATCH($E32,ISIN!$A:$A,0)),IFERROR(INDEX($R33:$R1200,MATCH($K32,$K33:$K1200,0)))),IF(AND($Y32="change",$H32="EUR"),IF($O32=$O33,$R33,IF($O32=$O31,$R31)),IFERROR(INDEX($R33:$R1200,MATCH(SUBSTITUTE($I32,"-","",1),$K33:$K1200,0)))))</f>
        <v/>
      </c>
      <c r="S32" s="37" t="str">
        <f t="shared" si="1"/>
        <v>COST</v>
      </c>
      <c r="T32" s="39" t="str">
        <f t="shared" si="2"/>
        <v/>
      </c>
      <c r="U32" s="40" t="str">
        <f t="shared" si="3"/>
        <v/>
      </c>
      <c r="V32" s="34" t="str">
        <f t="shared" si="4"/>
        <v/>
      </c>
      <c r="W32" s="41" t="str">
        <f>IFERROR(__xludf.DUMMYFUNCTION(" IF(Account!$F32&lt;&gt;"""", SPLIT(Account!$F32, "" ""), """")"),"Retrait")</f>
        <v>Retrait</v>
      </c>
      <c r="X32" s="44" t="str">
        <f>IFERROR(__xludf.DUMMYFUNCTION("""COMPUTED_VALUE"""),"flatex")</f>
        <v>flatex</v>
      </c>
      <c r="Y32" s="44"/>
      <c r="Z32" s="44"/>
      <c r="AA32" s="44"/>
      <c r="AB32" s="44"/>
      <c r="AC32" s="44"/>
      <c r="AD32" s="44"/>
      <c r="AE32" s="44"/>
      <c r="AF32" s="44"/>
      <c r="AG32" s="44"/>
      <c r="AH32" s="44"/>
      <c r="AI32" s="44"/>
      <c r="AJ32" s="44"/>
      <c r="AK32" s="44"/>
    </row>
    <row r="33">
      <c r="A33" s="20" t="s">
        <v>185</v>
      </c>
      <c r="B33" s="20" t="s">
        <v>193</v>
      </c>
      <c r="C33" s="20" t="s">
        <v>185</v>
      </c>
      <c r="D33" s="20" t="s">
        <v>86</v>
      </c>
      <c r="E33" s="20" t="s">
        <v>87</v>
      </c>
      <c r="F33" s="21" t="s">
        <v>194</v>
      </c>
      <c r="G33" s="20"/>
      <c r="H33" s="20" t="s">
        <v>76</v>
      </c>
      <c r="I33" s="20" t="s">
        <v>195</v>
      </c>
      <c r="J33" s="20" t="s">
        <v>76</v>
      </c>
      <c r="K33" s="20" t="s">
        <v>189</v>
      </c>
      <c r="L33" s="21" t="s">
        <v>196</v>
      </c>
      <c r="M33" s="33">
        <f>IFERROR(__xludf.DUMMYFUNCTION("IFS(W33=""Achat"",IFERROR(VALUE(X33),VALUE(REGEXREPLACE(T(X33),""[^0-9]"",""""))),W33=""Vente"",-IFERROR(VALUE(X33),VALUE(REGEXREPLACE(T(X33),""[^0-9]"",""""))),Y33=""Change"",0,Y33&lt;&gt;""Change"","""")"),56.0)</f>
        <v>56</v>
      </c>
      <c r="N33" s="34">
        <f>IFERROR(__xludf.DUMMYFUNCTION("IF(Account!$F33&lt;&gt;"""", VALUE(REGEXREPLACE($I33, ""\,"", ""."")), """")"),-10570.0)</f>
        <v>-10570</v>
      </c>
      <c r="O33" s="35">
        <f>IF(Account!$F33&lt;&gt;"", DATEVALUE(MID($A33,4,3) &amp; LEFT($A33,3) &amp; RIGHT($A33,4)) + TIMEVALUE($B33), "")</f>
        <v>44140.52917</v>
      </c>
      <c r="P33" s="36">
        <f>IF(Account!$F33&lt;&gt;"", DATEVALUE(MID($C33,4,3) &amp; LEFT($C33,3) &amp; RIGHT($C33,4)), "")</f>
        <v>44140</v>
      </c>
      <c r="Q33" s="37" t="str">
        <f t="array" ref="Q33">IF($R33&lt;&gt;"",IFERROR(INDEX(ISIN!$B:$B,MATCH($R33,ISIN!$C:$C,0))),)</f>
        <v>Intermediate US bonds (7-10 year)</v>
      </c>
      <c r="R33" s="38" t="str">
        <f t="array" ref="R33">IF($E33&lt;&gt;"",IFERROR(INDEX(ISIN!$C:$C,MATCH($E33,ISIN!$A:$A,0)),IFERROR(INDEX($R34:$R1200,MATCH($K33,$K34:$K1200,0)))),IF(AND($Y33="change",$H33="EUR"),IF($O33=$O34,$R34,IF($O33=$O32,$R32)),IFERROR(INDEX($R34:$R1200,MATCH(SUBSTITUTE($I33,"-","",1),$K34:$K1200,0)))))</f>
        <v>iShares Treasury Bond 7-10 UCITS</v>
      </c>
      <c r="S33" s="37" t="str">
        <f t="shared" si="1"/>
        <v>BUY</v>
      </c>
      <c r="T33" s="39">
        <f t="shared" si="2"/>
        <v>56</v>
      </c>
      <c r="U33" s="40">
        <f t="shared" si="3"/>
        <v>188.75</v>
      </c>
      <c r="V33" s="34">
        <f t="shared" si="4"/>
        <v>-10570</v>
      </c>
      <c r="W33" s="41" t="str">
        <f>IFERROR(__xludf.DUMMYFUNCTION(" IF(Account!$F33&lt;&gt;"""", SPLIT(Account!$F33, "" ""), """")"),"Achat")</f>
        <v>Achat</v>
      </c>
      <c r="X33" s="44">
        <f>IFERROR(__xludf.DUMMYFUNCTION("""COMPUTED_VALUE"""),56.0)</f>
        <v>56</v>
      </c>
      <c r="Y33" s="44" t="str">
        <f>IFERROR(__xludf.DUMMYFUNCTION("""COMPUTED_VALUE"""),"ISHARES")</f>
        <v>ISHARES</v>
      </c>
      <c r="Z33" s="44" t="str">
        <f>IFERROR(__xludf.DUMMYFUNCTION("""COMPUTED_VALUE"""),"US")</f>
        <v>US</v>
      </c>
      <c r="AA33" s="44" t="str">
        <f>IFERROR(__xludf.DUMMYFUNCTION("""COMPUTED_VALUE"""),"T")</f>
        <v>T</v>
      </c>
      <c r="AB33" s="44" t="str">
        <f>IFERROR(__xludf.DUMMYFUNCTION("""COMPUTED_VALUE"""),"7-10@188,75")</f>
        <v>7-10@188,75</v>
      </c>
      <c r="AC33" s="44" t="str">
        <f>IFERROR(__xludf.DUMMYFUNCTION("""COMPUTED_VALUE"""),"EUR")</f>
        <v>EUR</v>
      </c>
      <c r="AD33" s="44" t="str">
        <f>IFERROR(__xludf.DUMMYFUNCTION("""COMPUTED_VALUE"""),"(IE00B1FZS798)")</f>
        <v>(IE00B1FZS798)</v>
      </c>
      <c r="AE33" s="44"/>
      <c r="AF33" s="44"/>
      <c r="AG33" s="44"/>
      <c r="AH33" s="44"/>
      <c r="AI33" s="44"/>
      <c r="AJ33" s="44"/>
      <c r="AK33" s="44"/>
    </row>
    <row r="34">
      <c r="A34" s="20" t="s">
        <v>185</v>
      </c>
      <c r="B34" s="20" t="s">
        <v>193</v>
      </c>
      <c r="C34" s="20" t="s">
        <v>185</v>
      </c>
      <c r="D34" s="20" t="s">
        <v>93</v>
      </c>
      <c r="E34" s="20" t="s">
        <v>94</v>
      </c>
      <c r="F34" s="21" t="s">
        <v>197</v>
      </c>
      <c r="G34" s="20"/>
      <c r="H34" s="20" t="s">
        <v>76</v>
      </c>
      <c r="I34" s="20" t="s">
        <v>198</v>
      </c>
      <c r="J34" s="20" t="s">
        <v>76</v>
      </c>
      <c r="K34" s="20" t="s">
        <v>199</v>
      </c>
      <c r="L34" s="21" t="s">
        <v>200</v>
      </c>
      <c r="M34" s="33">
        <f>IFERROR(__xludf.DUMMYFUNCTION("IFS(W34=""Achat"",IFERROR(VALUE(X34),VALUE(REGEXREPLACE(T(X34),""[^0-9]"",""""))),W34=""Vente"",-IFERROR(VALUE(X34),VALUE(REGEXREPLACE(T(X34),""[^0-9]"",""""))),Y34=""Change"",0,Y34&lt;&gt;""Change"","""")"),-450.0)</f>
        <v>-450</v>
      </c>
      <c r="N34" s="34">
        <f>IFERROR(__xludf.DUMMYFUNCTION("IF(Account!$F34&lt;&gt;"""", VALUE(REGEXREPLACE($I34, ""\,"", ""."")), """")"),25357.5)</f>
        <v>25357.5</v>
      </c>
      <c r="O34" s="35">
        <f>IF(Account!$F34&lt;&gt;"", DATEVALUE(MID($A34,4,3) &amp; LEFT($A34,3) &amp; RIGHT($A34,4)) + TIMEVALUE($B34), "")</f>
        <v>44140.52917</v>
      </c>
      <c r="P34" s="36">
        <f>IF(Account!$F34&lt;&gt;"", DATEVALUE(MID($C34,4,3) &amp; LEFT($C34,3) &amp; RIGHT($C34,4)), "")</f>
        <v>44140</v>
      </c>
      <c r="Q34" s="37" t="str">
        <f t="array" ref="Q34">IF($R34&lt;&gt;"",IFERROR(INDEX(ISIN!$B:$B,MATCH($R34,ISIN!$C:$C,0))),)</f>
        <v>Stocks</v>
      </c>
      <c r="R34" s="38" t="str">
        <f t="array" ref="R34">IF($E34&lt;&gt;"",IFERROR(INDEX(ISIN!$C:$C,MATCH($E34,ISIN!$A:$A,0)),IFERROR(INDEX($R35:$R1200,MATCH($K34,$K35:$K1200,0)))),IF(AND($Y34="change",$H34="EUR"),IF($O34=$O35,$R35,IF($O34=$O33,$R33)),IFERROR(INDEX($R35:$R1200,MATCH(SUBSTITUTE($I34,"-","",1),$K35:$K1200,0)))))</f>
        <v>Vanguard S&amp;P 500 UCITS</v>
      </c>
      <c r="S34" s="37" t="str">
        <f t="shared" si="1"/>
        <v>SELL</v>
      </c>
      <c r="T34" s="39">
        <f t="shared" si="2"/>
        <v>-450</v>
      </c>
      <c r="U34" s="40">
        <f t="shared" si="3"/>
        <v>56.35</v>
      </c>
      <c r="V34" s="34">
        <f t="shared" si="4"/>
        <v>25357.5</v>
      </c>
      <c r="W34" s="41" t="str">
        <f>IFERROR(__xludf.DUMMYFUNCTION(" IF(Account!$F34&lt;&gt;"""", SPLIT(Account!$F34, "" ""), """")"),"Vente")</f>
        <v>Vente</v>
      </c>
      <c r="X34" s="44">
        <f>IFERROR(__xludf.DUMMYFUNCTION("""COMPUTED_VALUE"""),450.0)</f>
        <v>450</v>
      </c>
      <c r="Y34" s="44" t="str">
        <f>IFERROR(__xludf.DUMMYFUNCTION("""COMPUTED_VALUE"""),"VANGUARD")</f>
        <v>VANGUARD</v>
      </c>
      <c r="Z34" s="44" t="str">
        <f>IFERROR(__xludf.DUMMYFUNCTION("""COMPUTED_VALUE"""),"S&amp;P500@56,35")</f>
        <v>S&amp;P500@56,35</v>
      </c>
      <c r="AA34" s="44" t="str">
        <f>IFERROR(__xludf.DUMMYFUNCTION("""COMPUTED_VALUE"""),"EUR")</f>
        <v>EUR</v>
      </c>
      <c r="AB34" s="44" t="str">
        <f>IFERROR(__xludf.DUMMYFUNCTION("""COMPUTED_VALUE"""),"(IE00B3XXRP09)")</f>
        <v>(IE00B3XXRP09)</v>
      </c>
      <c r="AC34" s="44"/>
      <c r="AD34" s="44"/>
      <c r="AE34" s="44"/>
      <c r="AF34" s="44"/>
      <c r="AG34" s="44"/>
      <c r="AH34" s="44"/>
      <c r="AI34" s="44"/>
      <c r="AJ34" s="44"/>
      <c r="AK34" s="44"/>
    </row>
    <row r="35">
      <c r="A35" s="20" t="s">
        <v>185</v>
      </c>
      <c r="B35" s="20" t="s">
        <v>201</v>
      </c>
      <c r="C35" s="20" t="s">
        <v>185</v>
      </c>
      <c r="D35" s="20" t="s">
        <v>202</v>
      </c>
      <c r="E35" s="20" t="s">
        <v>203</v>
      </c>
      <c r="F35" s="21" t="s">
        <v>204</v>
      </c>
      <c r="G35" s="20"/>
      <c r="H35" s="20" t="s">
        <v>76</v>
      </c>
      <c r="I35" s="20" t="s">
        <v>188</v>
      </c>
      <c r="J35" s="20" t="s">
        <v>76</v>
      </c>
      <c r="K35" s="20" t="s">
        <v>205</v>
      </c>
      <c r="L35" s="21"/>
      <c r="M35" s="33" t="str">
        <f>IFERROR(__xludf.DUMMYFUNCTION("IFS(W35=""Achat"",IFERROR(VALUE(X35),VALUE(REGEXREPLACE(T(X35),""[^0-9]"",""""))),W35=""Vente"",-IFERROR(VALUE(X35),VALUE(REGEXREPLACE(T(X35),""[^0-9]"",""""))),Y35=""Change"",0,Y35&lt;&gt;""Change"","""")"),"")</f>
        <v/>
      </c>
      <c r="N35" s="34">
        <f>IFERROR(__xludf.DUMMYFUNCTION("IF(Account!$F35&lt;&gt;"""", VALUE(REGEXREPLACE($I35, ""\,"", ""."")), """")"),1800.0)</f>
        <v>1800</v>
      </c>
      <c r="O35" s="35">
        <f>IF(Account!$F35&lt;&gt;"", DATEVALUE(MID($A35,4,3) &amp; LEFT($A35,3) &amp; RIGHT($A35,4)) + TIMEVALUE($B35), "")</f>
        <v>44140.51042</v>
      </c>
      <c r="P35" s="36">
        <f>IF(Account!$F35&lt;&gt;"", DATEVALUE(MID($C35,4,3) &amp; LEFT($C35,3) &amp; RIGHT($C35,4)), "")</f>
        <v>44140</v>
      </c>
      <c r="Q35" s="37" t="str">
        <f t="array" ref="Q35">IF($R35&lt;&gt;"",IFERROR(INDEX(ISIN!$B:$B,MATCH($R35,ISIN!$C:$C,0))),)</f>
        <v/>
      </c>
      <c r="R35" s="38" t="str">
        <f t="array" ref="R35">IF($E35&lt;&gt;"",IFERROR(INDEX(ISIN!$C:$C,MATCH($E35,ISIN!$A:$A,0)),IFERROR(INDEX($R36:$R1200,MATCH($K35,$K36:$K1200,0)))),IF(AND($Y35="change",$H35="EUR"),IF($O35=$O36,$R36,IF($O35=$O34,$R34)),IFERROR(INDEX($R36:$R1200,MATCH(SUBSTITUTE($I35,"-","",1),$K36:$K1200,0)))))</f>
        <v/>
      </c>
      <c r="S35" s="37" t="str">
        <f t="shared" si="1"/>
        <v>COST</v>
      </c>
      <c r="T35" s="39" t="str">
        <f t="shared" si="2"/>
        <v/>
      </c>
      <c r="U35" s="40" t="str">
        <f t="shared" si="3"/>
        <v/>
      </c>
      <c r="V35" s="34" t="str">
        <f t="shared" si="4"/>
        <v/>
      </c>
      <c r="W35" s="41" t="str">
        <f>IFERROR(__xludf.DUMMYFUNCTION(" IF(Account!$F35&lt;&gt;"""", SPLIT(Account!$F35, "" ""), """")"),"Transfert")</f>
        <v>Transfert</v>
      </c>
      <c r="X35" s="44" t="str">
        <f>IFERROR(__xludf.DUMMYFUNCTION("""COMPUTED_VALUE"""),"de")</f>
        <v>de</v>
      </c>
      <c r="Y35" s="44" t="str">
        <f>IFERROR(__xludf.DUMMYFUNCTION("""COMPUTED_VALUE"""),"fonds")</f>
        <v>fonds</v>
      </c>
      <c r="Z35" s="44" t="str">
        <f>IFERROR(__xludf.DUMMYFUNCTION("""COMPUTED_VALUE"""),"Flatex")</f>
        <v>Flatex</v>
      </c>
      <c r="AA35" s="44"/>
      <c r="AB35" s="44"/>
      <c r="AC35" s="44"/>
      <c r="AD35" s="44"/>
      <c r="AE35" s="44"/>
      <c r="AF35" s="44"/>
      <c r="AG35" s="44"/>
      <c r="AH35" s="44"/>
      <c r="AI35" s="44"/>
      <c r="AJ35" s="44"/>
      <c r="AK35" s="44"/>
    </row>
    <row r="36">
      <c r="A36" s="20" t="s">
        <v>185</v>
      </c>
      <c r="B36" s="20" t="s">
        <v>201</v>
      </c>
      <c r="C36" s="20" t="s">
        <v>185</v>
      </c>
      <c r="D36" s="20" t="s">
        <v>202</v>
      </c>
      <c r="E36" s="20" t="s">
        <v>203</v>
      </c>
      <c r="F36" s="21" t="s">
        <v>206</v>
      </c>
      <c r="G36" s="20"/>
      <c r="H36" s="20" t="s">
        <v>76</v>
      </c>
      <c r="I36" s="20" t="s">
        <v>191</v>
      </c>
      <c r="J36" s="20" t="s">
        <v>76</v>
      </c>
      <c r="K36" s="20" t="s">
        <v>207</v>
      </c>
      <c r="L36" s="21"/>
      <c r="M36" s="33" t="str">
        <f>IFERROR(__xludf.DUMMYFUNCTION("IFS(W36=""Achat"",IFERROR(VALUE(X36),VALUE(REGEXREPLACE(T(X36),""[^0-9]"",""""))),W36=""Vente"",-IFERROR(VALUE(X36),VALUE(REGEXREPLACE(T(X36),""[^0-9]"",""""))),Y36=""Change"",0,Y36&lt;&gt;""Change"","""")"),"")</f>
        <v/>
      </c>
      <c r="N36" s="34">
        <f>IFERROR(__xludf.DUMMYFUNCTION("IF(Account!$F36&lt;&gt;"""", VALUE(REGEXREPLACE($I36, ""\,"", ""."")), """")"),-1800.0)</f>
        <v>-1800</v>
      </c>
      <c r="O36" s="35">
        <f>IF(Account!$F36&lt;&gt;"", DATEVALUE(MID($A36,4,3) &amp; LEFT($A36,3) &amp; RIGHT($A36,4)) + TIMEVALUE($B36), "")</f>
        <v>44140.51042</v>
      </c>
      <c r="P36" s="36">
        <f>IF(Account!$F36&lt;&gt;"", DATEVALUE(MID($C36,4,3) &amp; LEFT($C36,3) &amp; RIGHT($C36,4)), "")</f>
        <v>44140</v>
      </c>
      <c r="Q36" s="37" t="str">
        <f t="array" ref="Q36">IF($R36&lt;&gt;"",IFERROR(INDEX(ISIN!$B:$B,MATCH($R36,ISIN!$C:$C,0))),)</f>
        <v/>
      </c>
      <c r="R36" s="38" t="str">
        <f t="array" ref="R36">IF($E36&lt;&gt;"",IFERROR(INDEX(ISIN!$C:$C,MATCH($E36,ISIN!$A:$A,0)),IFERROR(INDEX($R37:$R1200,MATCH($K36,$K37:$K1200,0)))),IF(AND($Y36="change",$H36="EUR"),IF($O36=$O37,$R37,IF($O36=$O35,$R35)),IFERROR(INDEX($R37:$R1200,MATCH(SUBSTITUTE($I36,"-","",1),$K37:$K1200,0)))))</f>
        <v/>
      </c>
      <c r="S36" s="37" t="str">
        <f t="shared" si="1"/>
        <v>APPROVISIONNEMENT</v>
      </c>
      <c r="T36" s="39" t="str">
        <f t="shared" si="2"/>
        <v/>
      </c>
      <c r="U36" s="40" t="str">
        <f t="shared" si="3"/>
        <v/>
      </c>
      <c r="V36" s="34">
        <f t="shared" si="4"/>
        <v>-1800</v>
      </c>
      <c r="W36" s="41" t="str">
        <f>IFERROR(__xludf.DUMMYFUNCTION(" IF(Account!$F36&lt;&gt;"""", SPLIT(Account!$F36, "" ""), """")"),"Degiro")</f>
        <v>Degiro</v>
      </c>
      <c r="X36" s="44" t="str">
        <f>IFERROR(__xludf.DUMMYFUNCTION("""COMPUTED_VALUE"""),"Cash")</f>
        <v>Cash</v>
      </c>
      <c r="Y36" s="44" t="str">
        <f>IFERROR(__xludf.DUMMYFUNCTION("""COMPUTED_VALUE"""),"Sweep")</f>
        <v>Sweep</v>
      </c>
      <c r="Z36" s="44" t="str">
        <f>IFERROR(__xludf.DUMMYFUNCTION("""COMPUTED_VALUE"""),"Transfer")</f>
        <v>Transfer</v>
      </c>
      <c r="AA36" s="44"/>
      <c r="AB36" s="44"/>
      <c r="AC36" s="44"/>
      <c r="AD36" s="44"/>
      <c r="AE36" s="44"/>
      <c r="AF36" s="44"/>
      <c r="AG36" s="44"/>
      <c r="AH36" s="44"/>
      <c r="AI36" s="44"/>
      <c r="AJ36" s="44"/>
      <c r="AK36" s="44"/>
    </row>
    <row r="37">
      <c r="A37" s="20" t="s">
        <v>208</v>
      </c>
      <c r="B37" s="20" t="s">
        <v>209</v>
      </c>
      <c r="C37" s="20" t="s">
        <v>208</v>
      </c>
      <c r="D37" s="20" t="s">
        <v>202</v>
      </c>
      <c r="E37" s="20" t="s">
        <v>203</v>
      </c>
      <c r="F37" s="21" t="s">
        <v>204</v>
      </c>
      <c r="G37" s="20"/>
      <c r="H37" s="20" t="s">
        <v>76</v>
      </c>
      <c r="I37" s="20" t="s">
        <v>210</v>
      </c>
      <c r="J37" s="20" t="s">
        <v>76</v>
      </c>
      <c r="K37" s="20" t="s">
        <v>205</v>
      </c>
      <c r="L37" s="21"/>
      <c r="M37" s="33" t="str">
        <f>IFERROR(__xludf.DUMMYFUNCTION("IFS(W37=""Achat"",IFERROR(VALUE(X37),VALUE(REGEXREPLACE(T(X37),""[^0-9]"",""""))),W37=""Vente"",-IFERROR(VALUE(X37),VALUE(REGEXREPLACE(T(X37),""[^0-9]"",""""))),Y37=""Change"",0,Y37&lt;&gt;""Change"","""")"),"")</f>
        <v/>
      </c>
      <c r="N37" s="34">
        <f>IFERROR(__xludf.DUMMYFUNCTION("IF(Account!$F37&lt;&gt;"""", VALUE(REGEXREPLACE($I37, ""\,"", ""."")), """")"),-1000.0)</f>
        <v>-1000</v>
      </c>
      <c r="O37" s="35">
        <f>IF(Account!$F37&lt;&gt;"", DATEVALUE(MID($A37,4,3) &amp; LEFT($A37,3) &amp; RIGHT($A37,4)) + TIMEVALUE($B37), "")</f>
        <v>44139.54167</v>
      </c>
      <c r="P37" s="36">
        <f>IF(Account!$F37&lt;&gt;"", DATEVALUE(MID($C37,4,3) &amp; LEFT($C37,3) &amp; RIGHT($C37,4)), "")</f>
        <v>44139</v>
      </c>
      <c r="Q37" s="37" t="str">
        <f t="array" ref="Q37">IF($R37&lt;&gt;"",IFERROR(INDEX(ISIN!$B:$B,MATCH($R37,ISIN!$C:$C,0))),)</f>
        <v/>
      </c>
      <c r="R37" s="38" t="str">
        <f t="array" ref="R37">IF($E37&lt;&gt;"",IFERROR(INDEX(ISIN!$C:$C,MATCH($E37,ISIN!$A:$A,0)),IFERROR(INDEX($R38:$R1200,MATCH($K37,$K38:$K1200,0)))),IF(AND($Y37="change",$H37="EUR"),IF($O37=$O38,$R38,IF($O37=$O36,$R36)),IFERROR(INDEX($R38:$R1200,MATCH(SUBSTITUTE($I37,"-","",1),$K38:$K1200,0)))))</f>
        <v/>
      </c>
      <c r="S37" s="37" t="str">
        <f t="shared" si="1"/>
        <v>COST</v>
      </c>
      <c r="T37" s="39" t="str">
        <f t="shared" si="2"/>
        <v/>
      </c>
      <c r="U37" s="40" t="str">
        <f t="shared" si="3"/>
        <v/>
      </c>
      <c r="V37" s="34" t="str">
        <f t="shared" si="4"/>
        <v/>
      </c>
      <c r="W37" s="41" t="str">
        <f>IFERROR(__xludf.DUMMYFUNCTION(" IF(Account!$F37&lt;&gt;"""", SPLIT(Account!$F37, "" ""), """")"),"Transfert")</f>
        <v>Transfert</v>
      </c>
      <c r="X37" s="44" t="str">
        <f>IFERROR(__xludf.DUMMYFUNCTION("""COMPUTED_VALUE"""),"de")</f>
        <v>de</v>
      </c>
      <c r="Y37" s="44" t="str">
        <f>IFERROR(__xludf.DUMMYFUNCTION("""COMPUTED_VALUE"""),"fonds")</f>
        <v>fonds</v>
      </c>
      <c r="Z37" s="44" t="str">
        <f>IFERROR(__xludf.DUMMYFUNCTION("""COMPUTED_VALUE"""),"Flatex")</f>
        <v>Flatex</v>
      </c>
      <c r="AA37" s="44"/>
      <c r="AB37" s="44"/>
      <c r="AC37" s="44"/>
      <c r="AD37" s="44"/>
      <c r="AE37" s="44"/>
      <c r="AF37" s="44"/>
      <c r="AG37" s="44"/>
      <c r="AH37" s="44"/>
      <c r="AI37" s="44"/>
      <c r="AJ37" s="44"/>
      <c r="AK37" s="44"/>
    </row>
    <row r="38">
      <c r="A38" s="20" t="s">
        <v>208</v>
      </c>
      <c r="B38" s="20" t="s">
        <v>209</v>
      </c>
      <c r="C38" s="20" t="s">
        <v>208</v>
      </c>
      <c r="D38" s="20" t="s">
        <v>202</v>
      </c>
      <c r="E38" s="20" t="s">
        <v>203</v>
      </c>
      <c r="F38" s="21" t="s">
        <v>206</v>
      </c>
      <c r="G38" s="20"/>
      <c r="H38" s="20" t="s">
        <v>76</v>
      </c>
      <c r="I38" s="20" t="s">
        <v>211</v>
      </c>
      <c r="J38" s="20" t="s">
        <v>76</v>
      </c>
      <c r="K38" s="20" t="s">
        <v>212</v>
      </c>
      <c r="L38" s="21"/>
      <c r="M38" s="33" t="str">
        <f>IFERROR(__xludf.DUMMYFUNCTION("IFS(W38=""Achat"",IFERROR(VALUE(X38),VALUE(REGEXREPLACE(T(X38),""[^0-9]"",""""))),W38=""Vente"",-IFERROR(VALUE(X38),VALUE(REGEXREPLACE(T(X38),""[^0-9]"",""""))),Y38=""Change"",0,Y38&lt;&gt;""Change"","""")"),"")</f>
        <v/>
      </c>
      <c r="N38" s="34">
        <f>IFERROR(__xludf.DUMMYFUNCTION("IF(Account!$F38&lt;&gt;"""", VALUE(REGEXREPLACE($I38, ""\,"", ""."")), """")"),1000.0)</f>
        <v>1000</v>
      </c>
      <c r="O38" s="35">
        <f>IF(Account!$F38&lt;&gt;"", DATEVALUE(MID($A38,4,3) &amp; LEFT($A38,3) &amp; RIGHT($A38,4)) + TIMEVALUE($B38), "")</f>
        <v>44139.54167</v>
      </c>
      <c r="P38" s="36">
        <f>IF(Account!$F38&lt;&gt;"", DATEVALUE(MID($C38,4,3) &amp; LEFT($C38,3) &amp; RIGHT($C38,4)), "")</f>
        <v>44139</v>
      </c>
      <c r="Q38" s="37" t="str">
        <f t="array" ref="Q38">IF($R38&lt;&gt;"",IFERROR(INDEX(ISIN!$B:$B,MATCH($R38,ISIN!$C:$C,0))),)</f>
        <v/>
      </c>
      <c r="R38" s="38" t="str">
        <f t="array" ref="R38">IF($E38&lt;&gt;"",IFERROR(INDEX(ISIN!$C:$C,MATCH($E38,ISIN!$A:$A,0)),IFERROR(INDEX($R39:$R1200,MATCH($K38,$K39:$K1200,0)))),IF(AND($Y38="change",$H38="EUR"),IF($O38=$O39,$R39,IF($O38=$O37,$R37)),IFERROR(INDEX($R39:$R1200,MATCH(SUBSTITUTE($I38,"-","",1),$K39:$K1200,0)))))</f>
        <v/>
      </c>
      <c r="S38" s="37" t="str">
        <f t="shared" si="1"/>
        <v>APPROVISIONNEMENT</v>
      </c>
      <c r="T38" s="39" t="str">
        <f t="shared" si="2"/>
        <v/>
      </c>
      <c r="U38" s="40" t="str">
        <f t="shared" si="3"/>
        <v/>
      </c>
      <c r="V38" s="34">
        <f t="shared" si="4"/>
        <v>1000</v>
      </c>
      <c r="W38" s="41" t="str">
        <f>IFERROR(__xludf.DUMMYFUNCTION(" IF(Account!$F38&lt;&gt;"""", SPLIT(Account!$F38, "" ""), """")"),"Degiro")</f>
        <v>Degiro</v>
      </c>
      <c r="X38" s="44" t="str">
        <f>IFERROR(__xludf.DUMMYFUNCTION("""COMPUTED_VALUE"""),"Cash")</f>
        <v>Cash</v>
      </c>
      <c r="Y38" s="44" t="str">
        <f>IFERROR(__xludf.DUMMYFUNCTION("""COMPUTED_VALUE"""),"Sweep")</f>
        <v>Sweep</v>
      </c>
      <c r="Z38" s="44" t="str">
        <f>IFERROR(__xludf.DUMMYFUNCTION("""COMPUTED_VALUE"""),"Transfer")</f>
        <v>Transfer</v>
      </c>
      <c r="AA38" s="44"/>
      <c r="AB38" s="44"/>
      <c r="AC38" s="44"/>
      <c r="AD38" s="44"/>
      <c r="AE38" s="44"/>
      <c r="AF38" s="44"/>
      <c r="AG38" s="44"/>
      <c r="AH38" s="44"/>
      <c r="AI38" s="44"/>
      <c r="AJ38" s="44"/>
      <c r="AK38" s="44"/>
    </row>
    <row r="39">
      <c r="A39" s="20" t="s">
        <v>208</v>
      </c>
      <c r="B39" s="20" t="s">
        <v>213</v>
      </c>
      <c r="C39" s="20" t="s">
        <v>208</v>
      </c>
      <c r="D39" s="20"/>
      <c r="E39" s="20"/>
      <c r="F39" s="21" t="s">
        <v>187</v>
      </c>
      <c r="G39" s="20"/>
      <c r="H39" s="20" t="s">
        <v>76</v>
      </c>
      <c r="I39" s="20" t="s">
        <v>191</v>
      </c>
      <c r="J39" s="20" t="s">
        <v>76</v>
      </c>
      <c r="K39" s="20" t="s">
        <v>205</v>
      </c>
      <c r="L39" s="21"/>
      <c r="M39" s="33" t="str">
        <f>IFERROR(__xludf.DUMMYFUNCTION("IFS(W39=""Achat"",IFERROR(VALUE(X39),VALUE(REGEXREPLACE(T(X39),""[^0-9]"",""""))),W39=""Vente"",-IFERROR(VALUE(X39),VALUE(REGEXREPLACE(T(X39),""[^0-9]"",""""))),Y39=""Change"",0,Y39&lt;&gt;""Change"","""")"),"")</f>
        <v/>
      </c>
      <c r="N39" s="34">
        <f>IFERROR(__xludf.DUMMYFUNCTION("IF(Account!$F39&lt;&gt;"""", VALUE(REGEXREPLACE($I39, ""\,"", ""."")), """")"),-1800.0)</f>
        <v>-1800</v>
      </c>
      <c r="O39" s="35">
        <f>IF(Account!$F39&lt;&gt;"", DATEVALUE(MID($A39,4,3) &amp; LEFT($A39,3) &amp; RIGHT($A39,4)) + TIMEVALUE($B39), "")</f>
        <v>44139.41875</v>
      </c>
      <c r="P39" s="36">
        <f>IF(Account!$F39&lt;&gt;"", DATEVALUE(MID($C39,4,3) &amp; LEFT($C39,3) &amp; RIGHT($C39,4)), "")</f>
        <v>44139</v>
      </c>
      <c r="Q39" s="37" t="str">
        <f t="array" ref="Q39">IF($R39&lt;&gt;"",IFERROR(INDEX(ISIN!$B:$B,MATCH($R39,ISIN!$C:$C,0))),)</f>
        <v/>
      </c>
      <c r="R39" s="38" t="str">
        <f t="array" ref="R39">IF($E39&lt;&gt;"",IFERROR(INDEX(ISIN!$C:$C,MATCH($E39,ISIN!$A:$A,0)),IFERROR(INDEX($R40:$R1200,MATCH($K39,$K40:$K1200,0)))),IF(AND($Y39="change",$H39="EUR"),IF($O39=$O40,$R40,IF($O39=$O38,$R38)),IFERROR(INDEX($R40:$R1200,MATCH(SUBSTITUTE($I39,"-","",1),$K40:$K1200,0)))))</f>
        <v/>
      </c>
      <c r="S39" s="37" t="str">
        <f t="shared" si="1"/>
        <v>COST</v>
      </c>
      <c r="T39" s="39" t="str">
        <f t="shared" si="2"/>
        <v/>
      </c>
      <c r="U39" s="40" t="str">
        <f t="shared" si="3"/>
        <v/>
      </c>
      <c r="V39" s="34" t="str">
        <f t="shared" si="4"/>
        <v/>
      </c>
      <c r="W39" s="41" t="str">
        <f>IFERROR(__xludf.DUMMYFUNCTION(" IF(Account!$F39&lt;&gt;"""", SPLIT(Account!$F39, "" ""), """")"),"Processed")</f>
        <v>Processed</v>
      </c>
      <c r="X39" s="44" t="str">
        <f>IFERROR(__xludf.DUMMYFUNCTION("""COMPUTED_VALUE"""),"Flatex")</f>
        <v>Flatex</v>
      </c>
      <c r="Y39" s="44" t="str">
        <f>IFERROR(__xludf.DUMMYFUNCTION("""COMPUTED_VALUE"""),"Withdrawal")</f>
        <v>Withdrawal</v>
      </c>
      <c r="Z39" s="44"/>
      <c r="AA39" s="44"/>
      <c r="AB39" s="44"/>
      <c r="AC39" s="44"/>
      <c r="AD39" s="44"/>
      <c r="AE39" s="44"/>
      <c r="AF39" s="44"/>
      <c r="AG39" s="44"/>
      <c r="AH39" s="44"/>
      <c r="AI39" s="44"/>
      <c r="AJ39" s="44"/>
      <c r="AK39" s="44"/>
    </row>
    <row r="40">
      <c r="A40" s="20" t="s">
        <v>214</v>
      </c>
      <c r="B40" s="20" t="s">
        <v>215</v>
      </c>
      <c r="C40" s="20" t="s">
        <v>216</v>
      </c>
      <c r="D40" s="20"/>
      <c r="E40" s="20"/>
      <c r="F40" s="21" t="s">
        <v>217</v>
      </c>
      <c r="G40" s="20"/>
      <c r="H40" s="20" t="s">
        <v>76</v>
      </c>
      <c r="I40" s="20" t="s">
        <v>211</v>
      </c>
      <c r="J40" s="20" t="s">
        <v>76</v>
      </c>
      <c r="K40" s="20" t="s">
        <v>218</v>
      </c>
      <c r="L40" s="21"/>
      <c r="M40" s="33" t="str">
        <f>IFERROR(__xludf.DUMMYFUNCTION("IFS(W40=""Achat"",IFERROR(VALUE(X40),VALUE(REGEXREPLACE(T(X40),""[^0-9]"",""""))),W40=""Vente"",-IFERROR(VALUE(X40),VALUE(REGEXREPLACE(T(X40),""[^0-9]"",""""))),Y40=""Change"",0,Y40&lt;&gt;""Change"","""")"),"")</f>
        <v/>
      </c>
      <c r="N40" s="34">
        <f>IFERROR(__xludf.DUMMYFUNCTION("IF(Account!$F40&lt;&gt;"""", VALUE(REGEXREPLACE($I40, ""\,"", ""."")), """")"),1000.0)</f>
        <v>1000</v>
      </c>
      <c r="O40" s="35">
        <f>IF(Account!$F40&lt;&gt;"", DATEVALUE(MID($A40,4,3) &amp; LEFT($A40,3) &amp; RIGHT($A40,4)) + TIMEVALUE($B40), "")</f>
        <v>44138.64514</v>
      </c>
      <c r="P40" s="36">
        <f>IF(Account!$F40&lt;&gt;"", DATEVALUE(MID($C40,4,3) &amp; LEFT($C40,3) &amp; RIGHT($C40,4)), "")</f>
        <v>44137</v>
      </c>
      <c r="Q40" s="37" t="str">
        <f t="array" ref="Q40">IF($R40&lt;&gt;"",IFERROR(INDEX(ISIN!$B:$B,MATCH($R40,ISIN!$C:$C,0))),)</f>
        <v/>
      </c>
      <c r="R40" s="38" t="str">
        <f t="array" ref="R40">IF($E40&lt;&gt;"",IFERROR(INDEX(ISIN!$C:$C,MATCH($E40,ISIN!$A:$A,0)),IFERROR(INDEX($R41:$R1200,MATCH($K40,$K41:$K1200,0)))),IF(AND($Y40="change",$H40="EUR"),IF($O40=$O41,$R41,IF($O40=$O39,$R39)),IFERROR(INDEX($R41:$R1200,MATCH(SUBSTITUTE($I40,"-","",1),$K41:$K1200,0)))))</f>
        <v/>
      </c>
      <c r="S40" s="37" t="str">
        <f t="shared" si="1"/>
        <v>COST</v>
      </c>
      <c r="T40" s="39" t="str">
        <f t="shared" si="2"/>
        <v/>
      </c>
      <c r="U40" s="40" t="str">
        <f t="shared" si="3"/>
        <v/>
      </c>
      <c r="V40" s="34" t="str">
        <f t="shared" si="4"/>
        <v/>
      </c>
      <c r="W40" s="41" t="str">
        <f>IFERROR(__xludf.DUMMYFUNCTION(" IF(Account!$F40&lt;&gt;"""", SPLIT(Account!$F40, "" ""), """")"),"Retrait")</f>
        <v>Retrait</v>
      </c>
      <c r="X40" s="44" t="str">
        <f>IFERROR(__xludf.DUMMYFUNCTION("""COMPUTED_VALUE"""),"refusé")</f>
        <v>refusé</v>
      </c>
      <c r="Y40" s="44"/>
      <c r="Z40" s="44"/>
      <c r="AA40" s="44"/>
      <c r="AB40" s="44"/>
      <c r="AC40" s="44"/>
      <c r="AD40" s="44"/>
      <c r="AE40" s="44"/>
      <c r="AF40" s="44"/>
      <c r="AG40" s="44"/>
      <c r="AH40" s="44"/>
      <c r="AI40" s="44"/>
      <c r="AJ40" s="44"/>
      <c r="AK40" s="44"/>
    </row>
    <row r="41">
      <c r="A41" s="20" t="s">
        <v>214</v>
      </c>
      <c r="B41" s="20" t="s">
        <v>219</v>
      </c>
      <c r="C41" s="20" t="s">
        <v>214</v>
      </c>
      <c r="D41" s="20" t="s">
        <v>202</v>
      </c>
      <c r="E41" s="20" t="s">
        <v>203</v>
      </c>
      <c r="F41" s="21" t="s">
        <v>204</v>
      </c>
      <c r="G41" s="20"/>
      <c r="H41" s="20" t="s">
        <v>76</v>
      </c>
      <c r="I41" s="20" t="s">
        <v>211</v>
      </c>
      <c r="J41" s="20" t="s">
        <v>76</v>
      </c>
      <c r="K41" s="20" t="s">
        <v>220</v>
      </c>
      <c r="L41" s="21"/>
      <c r="M41" s="33" t="str">
        <f>IFERROR(__xludf.DUMMYFUNCTION("IFS(W41=""Achat"",IFERROR(VALUE(X41),VALUE(REGEXREPLACE(T(X41),""[^0-9]"",""""))),W41=""Vente"",-IFERROR(VALUE(X41),VALUE(REGEXREPLACE(T(X41),""[^0-9]"",""""))),Y41=""Change"",0,Y41&lt;&gt;""Change"","""")"),"")</f>
        <v/>
      </c>
      <c r="N41" s="34">
        <f>IFERROR(__xludf.DUMMYFUNCTION("IF(Account!$F41&lt;&gt;"""", VALUE(REGEXREPLACE($I41, ""\,"", ""."")), """")"),1000.0)</f>
        <v>1000</v>
      </c>
      <c r="O41" s="35">
        <f>IF(Account!$F41&lt;&gt;"", DATEVALUE(MID($A41,4,3) &amp; LEFT($A41,3) &amp; RIGHT($A41,4)) + TIMEVALUE($B41), "")</f>
        <v>44138.48958</v>
      </c>
      <c r="P41" s="36">
        <f>IF(Account!$F41&lt;&gt;"", DATEVALUE(MID($C41,4,3) &amp; LEFT($C41,3) &amp; RIGHT($C41,4)), "")</f>
        <v>44138</v>
      </c>
      <c r="Q41" s="37" t="str">
        <f t="array" ref="Q41">IF($R41&lt;&gt;"",IFERROR(INDEX(ISIN!$B:$B,MATCH($R41,ISIN!$C:$C,0))),)</f>
        <v/>
      </c>
      <c r="R41" s="38" t="str">
        <f t="array" ref="R41">IF($E41&lt;&gt;"",IFERROR(INDEX(ISIN!$C:$C,MATCH($E41,ISIN!$A:$A,0)),IFERROR(INDEX($R42:$R1200,MATCH($K41,$K42:$K1200,0)))),IF(AND($Y41="change",$H41="EUR"),IF($O41=$O42,$R42,IF($O41=$O40,$R40)),IFERROR(INDEX($R42:$R1200,MATCH(SUBSTITUTE($I41,"-","",1),$K42:$K1200,0)))))</f>
        <v/>
      </c>
      <c r="S41" s="37" t="str">
        <f t="shared" si="1"/>
        <v>COST</v>
      </c>
      <c r="T41" s="39" t="str">
        <f t="shared" si="2"/>
        <v/>
      </c>
      <c r="U41" s="40" t="str">
        <f t="shared" si="3"/>
        <v/>
      </c>
      <c r="V41" s="34" t="str">
        <f t="shared" si="4"/>
        <v/>
      </c>
      <c r="W41" s="41" t="str">
        <f>IFERROR(__xludf.DUMMYFUNCTION(" IF(Account!$F41&lt;&gt;"""", SPLIT(Account!$F41, "" ""), """")"),"Transfert")</f>
        <v>Transfert</v>
      </c>
      <c r="X41" s="44" t="str">
        <f>IFERROR(__xludf.DUMMYFUNCTION("""COMPUTED_VALUE"""),"de")</f>
        <v>de</v>
      </c>
      <c r="Y41" s="44" t="str">
        <f>IFERROR(__xludf.DUMMYFUNCTION("""COMPUTED_VALUE"""),"fonds")</f>
        <v>fonds</v>
      </c>
      <c r="Z41" s="44" t="str">
        <f>IFERROR(__xludf.DUMMYFUNCTION("""COMPUTED_VALUE"""),"Flatex")</f>
        <v>Flatex</v>
      </c>
      <c r="AA41" s="44"/>
      <c r="AB41" s="44"/>
      <c r="AC41" s="44"/>
      <c r="AD41" s="44"/>
      <c r="AE41" s="44"/>
      <c r="AF41" s="44"/>
      <c r="AG41" s="44"/>
      <c r="AH41" s="44"/>
      <c r="AI41" s="44"/>
      <c r="AJ41" s="44"/>
      <c r="AK41" s="44"/>
    </row>
    <row r="42">
      <c r="A42" s="20" t="s">
        <v>214</v>
      </c>
      <c r="B42" s="20" t="s">
        <v>219</v>
      </c>
      <c r="C42" s="20" t="s">
        <v>214</v>
      </c>
      <c r="D42" s="20" t="s">
        <v>202</v>
      </c>
      <c r="E42" s="20" t="s">
        <v>203</v>
      </c>
      <c r="F42" s="21" t="s">
        <v>206</v>
      </c>
      <c r="G42" s="20"/>
      <c r="H42" s="20" t="s">
        <v>76</v>
      </c>
      <c r="I42" s="20" t="s">
        <v>210</v>
      </c>
      <c r="J42" s="20" t="s">
        <v>76</v>
      </c>
      <c r="K42" s="20" t="s">
        <v>221</v>
      </c>
      <c r="L42" s="21"/>
      <c r="M42" s="33" t="str">
        <f>IFERROR(__xludf.DUMMYFUNCTION("IFS(W42=""Achat"",IFERROR(VALUE(X42),VALUE(REGEXREPLACE(T(X42),""[^0-9]"",""""))),W42=""Vente"",-IFERROR(VALUE(X42),VALUE(REGEXREPLACE(T(X42),""[^0-9]"",""""))),Y42=""Change"",0,Y42&lt;&gt;""Change"","""")"),"")</f>
        <v/>
      </c>
      <c r="N42" s="34">
        <f>IFERROR(__xludf.DUMMYFUNCTION("IF(Account!$F42&lt;&gt;"""", VALUE(REGEXREPLACE($I42, ""\,"", ""."")), """")"),-1000.0)</f>
        <v>-1000</v>
      </c>
      <c r="O42" s="35">
        <f>IF(Account!$F42&lt;&gt;"", DATEVALUE(MID($A42,4,3) &amp; LEFT($A42,3) &amp; RIGHT($A42,4)) + TIMEVALUE($B42), "")</f>
        <v>44138.48958</v>
      </c>
      <c r="P42" s="36">
        <f>IF(Account!$F42&lt;&gt;"", DATEVALUE(MID($C42,4,3) &amp; LEFT($C42,3) &amp; RIGHT($C42,4)), "")</f>
        <v>44138</v>
      </c>
      <c r="Q42" s="37" t="str">
        <f t="array" ref="Q42">IF($R42&lt;&gt;"",IFERROR(INDEX(ISIN!$B:$B,MATCH($R42,ISIN!$C:$C,0))),)</f>
        <v/>
      </c>
      <c r="R42" s="38" t="str">
        <f t="array" ref="R42">IF($E42&lt;&gt;"",IFERROR(INDEX(ISIN!$C:$C,MATCH($E42,ISIN!$A:$A,0)),IFERROR(INDEX($R43:$R1200,MATCH($K42,$K43:$K1200,0)))),IF(AND($Y42="change",$H42="EUR"),IF($O42=$O43,$R43,IF($O42=$O41,$R41)),IFERROR(INDEX($R43:$R1200,MATCH(SUBSTITUTE($I42,"-","",1),$K43:$K1200,0)))))</f>
        <v/>
      </c>
      <c r="S42" s="37" t="str">
        <f t="shared" si="1"/>
        <v>APPROVISIONNEMENT</v>
      </c>
      <c r="T42" s="39" t="str">
        <f t="shared" si="2"/>
        <v/>
      </c>
      <c r="U42" s="40" t="str">
        <f t="shared" si="3"/>
        <v/>
      </c>
      <c r="V42" s="34">
        <f t="shared" si="4"/>
        <v>-1000</v>
      </c>
      <c r="W42" s="41" t="str">
        <f>IFERROR(__xludf.DUMMYFUNCTION(" IF(Account!$F42&lt;&gt;"""", SPLIT(Account!$F42, "" ""), """")"),"Degiro")</f>
        <v>Degiro</v>
      </c>
      <c r="X42" s="44" t="str">
        <f>IFERROR(__xludf.DUMMYFUNCTION("""COMPUTED_VALUE"""),"Cash")</f>
        <v>Cash</v>
      </c>
      <c r="Y42" s="44" t="str">
        <f>IFERROR(__xludf.DUMMYFUNCTION("""COMPUTED_VALUE"""),"Sweep")</f>
        <v>Sweep</v>
      </c>
      <c r="Z42" s="44" t="str">
        <f>IFERROR(__xludf.DUMMYFUNCTION("""COMPUTED_VALUE"""),"Transfer")</f>
        <v>Transfer</v>
      </c>
      <c r="AA42" s="44"/>
      <c r="AB42" s="44"/>
      <c r="AC42" s="44"/>
      <c r="AD42" s="44"/>
      <c r="AE42" s="44"/>
      <c r="AF42" s="44"/>
      <c r="AG42" s="44"/>
      <c r="AH42" s="44"/>
      <c r="AI42" s="44"/>
      <c r="AJ42" s="44"/>
      <c r="AK42" s="44"/>
    </row>
    <row r="43">
      <c r="A43" s="20" t="s">
        <v>216</v>
      </c>
      <c r="B43" s="20" t="s">
        <v>222</v>
      </c>
      <c r="C43" s="20" t="s">
        <v>223</v>
      </c>
      <c r="D43" s="20"/>
      <c r="E43" s="20"/>
      <c r="F43" s="21" t="s">
        <v>224</v>
      </c>
      <c r="G43" s="20"/>
      <c r="H43" s="20" t="s">
        <v>76</v>
      </c>
      <c r="I43" s="20" t="s">
        <v>225</v>
      </c>
      <c r="J43" s="20" t="s">
        <v>76</v>
      </c>
      <c r="K43" s="20" t="s">
        <v>220</v>
      </c>
      <c r="L43" s="21"/>
      <c r="M43" s="33" t="str">
        <f>IFERROR(__xludf.DUMMYFUNCTION("IFS(W43=""Achat"",IFERROR(VALUE(X43),VALUE(REGEXREPLACE(T(X43),""[^0-9]"",""""))),W43=""Vente"",-IFERROR(VALUE(X43),VALUE(REGEXREPLACE(T(X43),""[^0-9]"",""""))),Y43=""Change"",0,Y43&lt;&gt;""Change"","""")"),"")</f>
        <v/>
      </c>
      <c r="N43" s="34">
        <f>IFERROR(__xludf.DUMMYFUNCTION("IF(Account!$F43&lt;&gt;"""", VALUE(REGEXREPLACE($I43, ""\,"", ""."")), """")"),-1397.65)</f>
        <v>-1397.65</v>
      </c>
      <c r="O43" s="35">
        <f>IF(Account!$F43&lt;&gt;"", DATEVALUE(MID($A43,4,3) &amp; LEFT($A43,3) &amp; RIGHT($A43,4)) + TIMEVALUE($B43), "")</f>
        <v>44137.67083</v>
      </c>
      <c r="P43" s="36">
        <f>IF(Account!$F43&lt;&gt;"", DATEVALUE(MID($C43,4,3) &amp; LEFT($C43,3) &amp; RIGHT($C43,4)), "")</f>
        <v>44135</v>
      </c>
      <c r="Q43" s="37" t="str">
        <f t="array" ref="Q43">IF($R43&lt;&gt;"",IFERROR(INDEX(ISIN!$B:$B,MATCH($R43,ISIN!$C:$C,0))),)</f>
        <v/>
      </c>
      <c r="R43" s="38" t="str">
        <f t="array" ref="R43">IF($E43&lt;&gt;"",IFERROR(INDEX(ISIN!$C:$C,MATCH($E43,ISIN!$A:$A,0)),IFERROR(INDEX($R44:$R1200,MATCH($K43,$K44:$K1200,0)))),IF(AND($Y43="change",$H43="EUR"),IF($O43=$O44,$R44,IF($O43=$O42,$R42)),IFERROR(INDEX($R44:$R1200,MATCH(SUBSTITUTE($I43,"-","",1),$K44:$K1200,0)))))</f>
        <v/>
      </c>
      <c r="S43" s="37" t="str">
        <f t="shared" si="1"/>
        <v>COST</v>
      </c>
      <c r="T43" s="39" t="str">
        <f t="shared" si="2"/>
        <v/>
      </c>
      <c r="U43" s="40" t="str">
        <f t="shared" si="3"/>
        <v/>
      </c>
      <c r="V43" s="34">
        <f t="shared" si="4"/>
        <v>-1397.65</v>
      </c>
      <c r="W43" s="41" t="str">
        <f>IFERROR(__xludf.DUMMYFUNCTION(" IF(Account!$F43&lt;&gt;"""", SPLIT(Account!$F43, "" ""), """")"),"Intérêts")</f>
        <v>Intérêts</v>
      </c>
      <c r="X43" s="44" t="str">
        <f>IFERROR(__xludf.DUMMYFUNCTION("""COMPUTED_VALUE"""),"débiteurs")</f>
        <v>débiteurs</v>
      </c>
      <c r="Y43" s="44" t="str">
        <f>IFERROR(__xludf.DUMMYFUNCTION("""COMPUTED_VALUE"""),"mensuels")</f>
        <v>mensuels</v>
      </c>
      <c r="Z43" s="44" t="str">
        <f>IFERROR(__xludf.DUMMYFUNCTION("""COMPUTED_VALUE"""),"(Débit")</f>
        <v>(Débit</v>
      </c>
      <c r="AA43" s="44" t="str">
        <f>IFERROR(__xludf.DUMMYFUNCTION("""COMPUTED_VALUE"""),"Argent)")</f>
        <v>Argent)</v>
      </c>
      <c r="AB43" s="44"/>
      <c r="AC43" s="44"/>
      <c r="AD43" s="44"/>
      <c r="AE43" s="44"/>
      <c r="AF43" s="44"/>
      <c r="AG43" s="44"/>
      <c r="AH43" s="44"/>
      <c r="AI43" s="44"/>
      <c r="AJ43" s="44"/>
      <c r="AK43" s="44"/>
    </row>
    <row r="44">
      <c r="A44" s="20" t="s">
        <v>216</v>
      </c>
      <c r="B44" s="20" t="s">
        <v>193</v>
      </c>
      <c r="C44" s="20" t="s">
        <v>216</v>
      </c>
      <c r="D44" s="20"/>
      <c r="E44" s="20"/>
      <c r="F44" s="21" t="s">
        <v>217</v>
      </c>
      <c r="G44" s="20"/>
      <c r="H44" s="20" t="s">
        <v>76</v>
      </c>
      <c r="I44" s="20" t="s">
        <v>210</v>
      </c>
      <c r="J44" s="20" t="s">
        <v>76</v>
      </c>
      <c r="K44" s="20" t="s">
        <v>226</v>
      </c>
      <c r="L44" s="21"/>
      <c r="M44" s="33" t="str">
        <f>IFERROR(__xludf.DUMMYFUNCTION("IFS(W44=""Achat"",IFERROR(VALUE(X44),VALUE(REGEXREPLACE(T(X44),""[^0-9]"",""""))),W44=""Vente"",-IFERROR(VALUE(X44),VALUE(REGEXREPLACE(T(X44),""[^0-9]"",""""))),Y44=""Change"",0,Y44&lt;&gt;""Change"","""")"),"")</f>
        <v/>
      </c>
      <c r="N44" s="34">
        <f>IFERROR(__xludf.DUMMYFUNCTION("IF(Account!$F44&lt;&gt;"""", VALUE(REGEXREPLACE($I44, ""\,"", ""."")), """")"),-1000.0)</f>
        <v>-1000</v>
      </c>
      <c r="O44" s="35">
        <f>IF(Account!$F44&lt;&gt;"", DATEVALUE(MID($A44,4,3) &amp; LEFT($A44,3) &amp; RIGHT($A44,4)) + TIMEVALUE($B44), "")</f>
        <v>44137.52917</v>
      </c>
      <c r="P44" s="36">
        <f>IF(Account!$F44&lt;&gt;"", DATEVALUE(MID($C44,4,3) &amp; LEFT($C44,3) &amp; RIGHT($C44,4)), "")</f>
        <v>44137</v>
      </c>
      <c r="Q44" s="37" t="str">
        <f t="array" ref="Q44">IF($R44&lt;&gt;"",IFERROR(INDEX(ISIN!$B:$B,MATCH($R44,ISIN!$C:$C,0))),)</f>
        <v/>
      </c>
      <c r="R44" s="38" t="str">
        <f t="array" ref="R44">IF($E44&lt;&gt;"",IFERROR(INDEX(ISIN!$C:$C,MATCH($E44,ISIN!$A:$A,0)),IFERROR(INDEX($R45:$R1200,MATCH($K44,$K45:$K1200,0)))),IF(AND($Y44="change",$H44="EUR"),IF($O44=$O45,$R45,IF($O44=$O43,$R43)),IFERROR(INDEX($R45:$R1200,MATCH(SUBSTITUTE($I44,"-","",1),$K45:$K1200,0)))))</f>
        <v/>
      </c>
      <c r="S44" s="37" t="str">
        <f t="shared" si="1"/>
        <v>COST</v>
      </c>
      <c r="T44" s="39" t="str">
        <f t="shared" si="2"/>
        <v/>
      </c>
      <c r="U44" s="40" t="str">
        <f t="shared" si="3"/>
        <v/>
      </c>
      <c r="V44" s="34" t="str">
        <f t="shared" si="4"/>
        <v/>
      </c>
      <c r="W44" s="41" t="str">
        <f>IFERROR(__xludf.DUMMYFUNCTION(" IF(Account!$F44&lt;&gt;"""", SPLIT(Account!$F44, "" ""), """")"),"Retrait")</f>
        <v>Retrait</v>
      </c>
      <c r="X44" s="44" t="str">
        <f>IFERROR(__xludf.DUMMYFUNCTION("""COMPUTED_VALUE"""),"refusé")</f>
        <v>refusé</v>
      </c>
      <c r="Y44" s="44"/>
      <c r="Z44" s="44"/>
      <c r="AA44" s="44"/>
      <c r="AB44" s="44"/>
      <c r="AC44" s="44"/>
      <c r="AD44" s="44"/>
      <c r="AE44" s="44"/>
      <c r="AF44" s="44"/>
      <c r="AG44" s="44"/>
      <c r="AH44" s="44"/>
      <c r="AI44" s="44"/>
      <c r="AJ44" s="44"/>
      <c r="AK44" s="44"/>
    </row>
    <row r="45">
      <c r="A45" s="20" t="s">
        <v>227</v>
      </c>
      <c r="B45" s="20" t="s">
        <v>228</v>
      </c>
      <c r="C45" s="20" t="s">
        <v>227</v>
      </c>
      <c r="D45" s="20" t="s">
        <v>73</v>
      </c>
      <c r="E45" s="20" t="s">
        <v>74</v>
      </c>
      <c r="F45" s="21" t="s">
        <v>75</v>
      </c>
      <c r="G45" s="20"/>
      <c r="H45" s="20" t="s">
        <v>76</v>
      </c>
      <c r="I45" s="20" t="s">
        <v>77</v>
      </c>
      <c r="J45" s="20" t="s">
        <v>76</v>
      </c>
      <c r="K45" s="20" t="s">
        <v>229</v>
      </c>
      <c r="L45" s="21" t="s">
        <v>230</v>
      </c>
      <c r="M45" s="33" t="str">
        <f>IFERROR(__xludf.DUMMYFUNCTION("IFS(W45=""Achat"",IFERROR(VALUE(X45),VALUE(REGEXREPLACE(T(X45),""[^0-9]"",""""))),W45=""Vente"",-IFERROR(VALUE(X45),VALUE(REGEXREPLACE(T(X45),""[^0-9]"",""""))),Y45=""Change"",0,Y45&lt;&gt;""Change"","""")"),"")</f>
        <v/>
      </c>
      <c r="N45" s="34">
        <f>IFERROR(__xludf.DUMMYFUNCTION("IF(Account!$F45&lt;&gt;"""", VALUE(REGEXREPLACE($I45, ""\,"", ""."")), """")"),-2.0)</f>
        <v>-2</v>
      </c>
      <c r="O45" s="35">
        <f>IF(Account!$F45&lt;&gt;"", DATEVALUE(MID($A45,4,3) &amp; LEFT($A45,3) &amp; RIGHT($A45,4)) + TIMEVALUE($B45), "")</f>
        <v>44125.55417</v>
      </c>
      <c r="P45" s="36">
        <f>IF(Account!$F45&lt;&gt;"", DATEVALUE(MID($C45,4,3) &amp; LEFT($C45,3) &amp; RIGHT($C45,4)), "")</f>
        <v>44125</v>
      </c>
      <c r="Q45" s="37" t="str">
        <f t="array" ref="Q45">IF($R45&lt;&gt;"",IFERROR(INDEX(ISIN!$B:$B,MATCH($R45,ISIN!$C:$C,0))),)</f>
        <v>Long term US bonds (20-25 year)</v>
      </c>
      <c r="R45" s="38" t="str">
        <f t="array" ref="R45">IF($E45&lt;&gt;"",IFERROR(INDEX(ISIN!$C:$C,MATCH($E45,ISIN!$A:$A,0)),IFERROR(INDEX($R46:$R1200,MATCH($K45,$K46:$K1200,0)))),IF(AND($Y45="change",$H45="EUR"),IF($O45=$O46,$R46,IF($O45=$O44,$R44)),IFERROR(INDEX($R46:$R1200,MATCH(SUBSTITUTE($I45,"-","",1),$K46:$K1200,0)))))</f>
        <v>iShares Treasury Bond 20+ UCITS</v>
      </c>
      <c r="S45" s="37" t="str">
        <f t="shared" si="1"/>
        <v>COST</v>
      </c>
      <c r="T45" s="39" t="str">
        <f t="shared" si="2"/>
        <v/>
      </c>
      <c r="U45" s="40" t="str">
        <f t="shared" si="3"/>
        <v/>
      </c>
      <c r="V45" s="34">
        <f t="shared" si="4"/>
        <v>-3.62</v>
      </c>
      <c r="W45" s="41" t="str">
        <f>IFERROR(__xludf.DUMMYFUNCTION(" IF(Account!$F45&lt;&gt;"""", SPLIT(Account!$F45, "" ""), """")"),"Frais")</f>
        <v>Frais</v>
      </c>
      <c r="X45" s="44" t="str">
        <f>IFERROR(__xludf.DUMMYFUNCTION("""COMPUTED_VALUE"""),"de")</f>
        <v>de</v>
      </c>
      <c r="Y45" s="44" t="str">
        <f>IFERROR(__xludf.DUMMYFUNCTION("""COMPUTED_VALUE"""),"courtage")</f>
        <v>courtage</v>
      </c>
      <c r="Z45" s="44"/>
      <c r="AA45" s="44"/>
      <c r="AB45" s="44"/>
      <c r="AC45" s="44"/>
      <c r="AD45" s="44"/>
      <c r="AE45" s="44"/>
      <c r="AF45" s="44"/>
      <c r="AG45" s="44"/>
      <c r="AH45" s="44"/>
      <c r="AI45" s="44"/>
      <c r="AJ45" s="44"/>
      <c r="AK45" s="44"/>
    </row>
    <row r="46">
      <c r="A46" s="20" t="s">
        <v>227</v>
      </c>
      <c r="B46" s="20" t="s">
        <v>228</v>
      </c>
      <c r="C46" s="20" t="s">
        <v>227</v>
      </c>
      <c r="D46" s="20" t="s">
        <v>73</v>
      </c>
      <c r="E46" s="20" t="s">
        <v>74</v>
      </c>
      <c r="F46" s="21" t="s">
        <v>75</v>
      </c>
      <c r="G46" s="20"/>
      <c r="H46" s="20" t="s">
        <v>76</v>
      </c>
      <c r="I46" s="20" t="s">
        <v>231</v>
      </c>
      <c r="J46" s="20" t="s">
        <v>76</v>
      </c>
      <c r="K46" s="20" t="s">
        <v>232</v>
      </c>
      <c r="L46" s="21" t="s">
        <v>230</v>
      </c>
      <c r="M46" s="33" t="str">
        <f>IFERROR(__xludf.DUMMYFUNCTION("IFS(W46=""Achat"",IFERROR(VALUE(X46),VALUE(REGEXREPLACE(T(X46),""[^0-9]"",""""))),W46=""Vente"",-IFERROR(VALUE(X46),VALUE(REGEXREPLACE(T(X46),""[^0-9]"",""""))),Y46=""Change"",0,Y46&lt;&gt;""Change"","""")"),"")</f>
        <v/>
      </c>
      <c r="N46" s="34">
        <f>IFERROR(__xludf.DUMMYFUNCTION("IF(Account!$F46&lt;&gt;"""", VALUE(REGEXREPLACE($I46, ""\,"", ""."")), """")"),-1.62)</f>
        <v>-1.62</v>
      </c>
      <c r="O46" s="35">
        <f>IF(Account!$F46&lt;&gt;"", DATEVALUE(MID($A46,4,3) &amp; LEFT($A46,3) &amp; RIGHT($A46,4)) + TIMEVALUE($B46), "")</f>
        <v>44125.55417</v>
      </c>
      <c r="P46" s="36">
        <f>IF(Account!$F46&lt;&gt;"", DATEVALUE(MID($C46,4,3) &amp; LEFT($C46,3) &amp; RIGHT($C46,4)), "")</f>
        <v>44125</v>
      </c>
      <c r="Q46" s="37" t="str">
        <f t="array" ref="Q46">IF($R46&lt;&gt;"",IFERROR(INDEX(ISIN!$B:$B,MATCH($R46,ISIN!$C:$C,0))),)</f>
        <v>Long term US bonds (20-25 year)</v>
      </c>
      <c r="R46" s="38" t="str">
        <f t="array" ref="R46">IF($E46&lt;&gt;"",IFERROR(INDEX(ISIN!$C:$C,MATCH($E46,ISIN!$A:$A,0)),IFERROR(INDEX($R47:$R1200,MATCH($K46,$K47:$K1200,0)))),IF(AND($Y46="change",$H46="EUR"),IF($O46=$O47,$R47,IF($O46=$O45,$R45)),IFERROR(INDEX($R47:$R1200,MATCH(SUBSTITUTE($I46,"-","",1),$K47:$K1200,0)))))</f>
        <v>iShares Treasury Bond 20+ UCITS</v>
      </c>
      <c r="S46" s="37" t="str">
        <f t="shared" si="1"/>
        <v>COST</v>
      </c>
      <c r="T46" s="39" t="str">
        <f t="shared" si="2"/>
        <v/>
      </c>
      <c r="U46" s="40" t="str">
        <f t="shared" si="3"/>
        <v/>
      </c>
      <c r="V46" s="34">
        <f t="shared" si="4"/>
        <v>-3.62</v>
      </c>
      <c r="W46" s="41" t="str">
        <f>IFERROR(__xludf.DUMMYFUNCTION(" IF(Account!$F46&lt;&gt;"""", SPLIT(Account!$F46, "" ""), """")"),"Frais")</f>
        <v>Frais</v>
      </c>
      <c r="X46" s="44" t="str">
        <f>IFERROR(__xludf.DUMMYFUNCTION("""COMPUTED_VALUE"""),"de")</f>
        <v>de</v>
      </c>
      <c r="Y46" s="44" t="str">
        <f>IFERROR(__xludf.DUMMYFUNCTION("""COMPUTED_VALUE"""),"courtage")</f>
        <v>courtage</v>
      </c>
      <c r="Z46" s="44"/>
      <c r="AA46" s="44"/>
      <c r="AB46" s="44"/>
      <c r="AC46" s="44"/>
      <c r="AD46" s="44"/>
      <c r="AE46" s="44"/>
      <c r="AF46" s="44"/>
      <c r="AG46" s="44"/>
      <c r="AH46" s="44"/>
      <c r="AI46" s="44"/>
      <c r="AJ46" s="44"/>
      <c r="AK46" s="44"/>
    </row>
    <row r="47">
      <c r="A47" s="20" t="s">
        <v>227</v>
      </c>
      <c r="B47" s="20" t="s">
        <v>228</v>
      </c>
      <c r="C47" s="20" t="s">
        <v>227</v>
      </c>
      <c r="D47" s="20" t="s">
        <v>73</v>
      </c>
      <c r="E47" s="20" t="s">
        <v>74</v>
      </c>
      <c r="F47" s="21" t="s">
        <v>233</v>
      </c>
      <c r="G47" s="20"/>
      <c r="H47" s="20" t="s">
        <v>76</v>
      </c>
      <c r="I47" s="20" t="s">
        <v>234</v>
      </c>
      <c r="J47" s="20" t="s">
        <v>76</v>
      </c>
      <c r="K47" s="20" t="s">
        <v>235</v>
      </c>
      <c r="L47" s="21" t="s">
        <v>230</v>
      </c>
      <c r="M47" s="33">
        <f>IFERROR(__xludf.DUMMYFUNCTION("IFS(W47=""Achat"",IFERROR(VALUE(X47),VALUE(REGEXREPLACE(T(X47),""[^0-9]"",""""))),W47=""Vente"",-IFERROR(VALUE(X47),VALUE(REGEXREPLACE(T(X47),""[^0-9]"",""""))),Y47=""Change"",0,Y47&lt;&gt;""Change"","""")"),1616.0)</f>
        <v>1616</v>
      </c>
      <c r="N47" s="34">
        <f>IFERROR(__xludf.DUMMYFUNCTION("IF(Account!$F47&lt;&gt;"""", VALUE(REGEXREPLACE($I47, ""\,"", ""."")), """")"),-8109.09)</f>
        <v>-8109.09</v>
      </c>
      <c r="O47" s="35">
        <f>IF(Account!$F47&lt;&gt;"", DATEVALUE(MID($A47,4,3) &amp; LEFT($A47,3) &amp; RIGHT($A47,4)) + TIMEVALUE($B47), "")</f>
        <v>44125.55417</v>
      </c>
      <c r="P47" s="36">
        <f>IF(Account!$F47&lt;&gt;"", DATEVALUE(MID($C47,4,3) &amp; LEFT($C47,3) &amp; RIGHT($C47,4)), "")</f>
        <v>44125</v>
      </c>
      <c r="Q47" s="37" t="str">
        <f t="array" ref="Q47">IF($R47&lt;&gt;"",IFERROR(INDEX(ISIN!$B:$B,MATCH($R47,ISIN!$C:$C,0))),)</f>
        <v>Long term US bonds (20-25 year)</v>
      </c>
      <c r="R47" s="38" t="str">
        <f t="array" ref="R47">IF($E47&lt;&gt;"",IFERROR(INDEX(ISIN!$C:$C,MATCH($E47,ISIN!$A:$A,0)),IFERROR(INDEX($R48:$R1200,MATCH($K47,$K48:$K1200,0)))),IF(AND($Y47="change",$H47="EUR"),IF($O47=$O48,$R48,IF($O47=$O46,$R46)),IFERROR(INDEX($R48:$R1200,MATCH(SUBSTITUTE($I47,"-","",1),$K48:$K1200,0)))))</f>
        <v>iShares Treasury Bond 20+ UCITS</v>
      </c>
      <c r="S47" s="37" t="str">
        <f t="shared" si="1"/>
        <v>BUY</v>
      </c>
      <c r="T47" s="39">
        <f t="shared" si="2"/>
        <v>1616</v>
      </c>
      <c r="U47" s="40">
        <f t="shared" si="3"/>
        <v>5.018001238</v>
      </c>
      <c r="V47" s="34">
        <f t="shared" si="4"/>
        <v>-8109.09</v>
      </c>
      <c r="W47" s="41" t="str">
        <f>IFERROR(__xludf.DUMMYFUNCTION(" IF(Account!$F47&lt;&gt;"""", SPLIT(Account!$F47, "" ""), """")"),"Achat")</f>
        <v>Achat</v>
      </c>
      <c r="X47" s="44" t="str">
        <f>IFERROR(__xludf.DUMMYFUNCTION("""COMPUTED_VALUE"""),"1 616")</f>
        <v>1 616</v>
      </c>
      <c r="Y47" s="44" t="str">
        <f>IFERROR(__xludf.DUMMYFUNCTION("""COMPUTED_VALUE"""),"iShares")</f>
        <v>iShares</v>
      </c>
      <c r="Z47" s="44" t="str">
        <f>IFERROR(__xludf.DUMMYFUNCTION("""COMPUTED_VALUE"""),"$")</f>
        <v>$</v>
      </c>
      <c r="AA47" s="44" t="str">
        <f>IFERROR(__xludf.DUMMYFUNCTION("""COMPUTED_VALUE"""),"Treasury")</f>
        <v>Treasury</v>
      </c>
      <c r="AB47" s="44" t="str">
        <f>IFERROR(__xludf.DUMMYFUNCTION("""COMPUTED_VALUE"""),"Bond")</f>
        <v>Bond</v>
      </c>
      <c r="AC47" s="44" t="str">
        <f>IFERROR(__xludf.DUMMYFUNCTION("""COMPUTED_VALUE"""),"20+yr")</f>
        <v>20+yr</v>
      </c>
      <c r="AD47" s="44" t="str">
        <f>IFERROR(__xludf.DUMMYFUNCTION("""COMPUTED_VALUE"""),"UCITS")</f>
        <v>UCITS</v>
      </c>
      <c r="AE47" s="44" t="str">
        <f>IFERROR(__xludf.DUMMYFUNCTION("""COMPUTED_VALUE"""),"ETF")</f>
        <v>ETF</v>
      </c>
      <c r="AF47" s="44" t="str">
        <f>IFERROR(__xludf.DUMMYFUNCTION("""COMPUTED_VALUE"""),"USD")</f>
        <v>USD</v>
      </c>
      <c r="AG47" s="44" t="str">
        <f>IFERROR(__xludf.DUMMYFUNCTION("""COMPUTED_VALUE"""),"(Dist)@5,018")</f>
        <v>(Dist)@5,018</v>
      </c>
      <c r="AH47" s="44" t="str">
        <f>IFERROR(__xludf.DUMMYFUNCTION("""COMPUTED_VALUE"""),"EUR")</f>
        <v>EUR</v>
      </c>
      <c r="AI47" s="44" t="str">
        <f>IFERROR(__xludf.DUMMYFUNCTION("""COMPUTED_VALUE"""),"(IE00BSKRJZ44)")</f>
        <v>(IE00BSKRJZ44)</v>
      </c>
      <c r="AJ47" s="44"/>
      <c r="AK47" s="44"/>
    </row>
    <row r="48">
      <c r="A48" s="20" t="s">
        <v>227</v>
      </c>
      <c r="B48" s="20" t="s">
        <v>236</v>
      </c>
      <c r="C48" s="20" t="s">
        <v>227</v>
      </c>
      <c r="D48" s="20" t="s">
        <v>93</v>
      </c>
      <c r="E48" s="20" t="s">
        <v>94</v>
      </c>
      <c r="F48" s="21" t="s">
        <v>237</v>
      </c>
      <c r="G48" s="20"/>
      <c r="H48" s="20" t="s">
        <v>76</v>
      </c>
      <c r="I48" s="20" t="s">
        <v>238</v>
      </c>
      <c r="J48" s="20" t="s">
        <v>76</v>
      </c>
      <c r="K48" s="20" t="s">
        <v>239</v>
      </c>
      <c r="L48" s="21" t="s">
        <v>240</v>
      </c>
      <c r="M48" s="33">
        <f>IFERROR(__xludf.DUMMYFUNCTION("IFS(W48=""Achat"",IFERROR(VALUE(X48),VALUE(REGEXREPLACE(T(X48),""[^0-9]"",""""))),W48=""Vente"",-IFERROR(VALUE(X48),VALUE(REGEXREPLACE(T(X48),""[^0-9]"",""""))),Y48=""Change"",0,Y48&lt;&gt;""Change"","""")"),-114.0)</f>
        <v>-114</v>
      </c>
      <c r="N48" s="34">
        <f>IFERROR(__xludf.DUMMYFUNCTION("IF(Account!$F48&lt;&gt;"""", VALUE(REGEXREPLACE($I48, ""\,"", ""."")), """")"),6268.29)</f>
        <v>6268.29</v>
      </c>
      <c r="O48" s="35">
        <f>IF(Account!$F48&lt;&gt;"", DATEVALUE(MID($A48,4,3) &amp; LEFT($A48,3) &amp; RIGHT($A48,4)) + TIMEVALUE($B48), "")</f>
        <v>44125.54375</v>
      </c>
      <c r="P48" s="36">
        <f>IF(Account!$F48&lt;&gt;"", DATEVALUE(MID($C48,4,3) &amp; LEFT($C48,3) &amp; RIGHT($C48,4)), "")</f>
        <v>44125</v>
      </c>
      <c r="Q48" s="37" t="str">
        <f t="array" ref="Q48">IF($R48&lt;&gt;"",IFERROR(INDEX(ISIN!$B:$B,MATCH($R48,ISIN!$C:$C,0))),)</f>
        <v>Stocks</v>
      </c>
      <c r="R48" s="38" t="str">
        <f t="array" ref="R48">IF($E48&lt;&gt;"",IFERROR(INDEX(ISIN!$C:$C,MATCH($E48,ISIN!$A:$A,0)),IFERROR(INDEX($R49:$R1200,MATCH($K48,$K49:$K1200,0)))),IF(AND($Y48="change",$H48="EUR"),IF($O48=$O49,$R49,IF($O48=$O47,$R47)),IFERROR(INDEX($R49:$R1200,MATCH(SUBSTITUTE($I48,"-","",1),$K49:$K1200,0)))))</f>
        <v>Vanguard S&amp;P 500 UCITS</v>
      </c>
      <c r="S48" s="37" t="str">
        <f t="shared" si="1"/>
        <v>SELL</v>
      </c>
      <c r="T48" s="39">
        <f t="shared" si="2"/>
        <v>-114</v>
      </c>
      <c r="U48" s="40">
        <f t="shared" si="3"/>
        <v>54.985</v>
      </c>
      <c r="V48" s="34">
        <f t="shared" si="4"/>
        <v>6268.29</v>
      </c>
      <c r="W48" s="41" t="str">
        <f>IFERROR(__xludf.DUMMYFUNCTION(" IF(Account!$F48&lt;&gt;"""", SPLIT(Account!$F48, "" ""), """")"),"Vente")</f>
        <v>Vente</v>
      </c>
      <c r="X48" s="44">
        <f>IFERROR(__xludf.DUMMYFUNCTION("""COMPUTED_VALUE"""),114.0)</f>
        <v>114</v>
      </c>
      <c r="Y48" s="44" t="str">
        <f>IFERROR(__xludf.DUMMYFUNCTION("""COMPUTED_VALUE"""),"VANGUARD")</f>
        <v>VANGUARD</v>
      </c>
      <c r="Z48" s="44" t="str">
        <f>IFERROR(__xludf.DUMMYFUNCTION("""COMPUTED_VALUE"""),"S&amp;P500@54,985")</f>
        <v>S&amp;P500@54,985</v>
      </c>
      <c r="AA48" s="44" t="str">
        <f>IFERROR(__xludf.DUMMYFUNCTION("""COMPUTED_VALUE"""),"EUR")</f>
        <v>EUR</v>
      </c>
      <c r="AB48" s="44" t="str">
        <f>IFERROR(__xludf.DUMMYFUNCTION("""COMPUTED_VALUE"""),"(IE00B3XXRP09)")</f>
        <v>(IE00B3XXRP09)</v>
      </c>
      <c r="AC48" s="44"/>
      <c r="AD48" s="44"/>
      <c r="AE48" s="44"/>
      <c r="AF48" s="44"/>
      <c r="AG48" s="44"/>
      <c r="AH48" s="44"/>
      <c r="AI48" s="44"/>
      <c r="AJ48" s="44"/>
      <c r="AK48" s="44"/>
    </row>
    <row r="49">
      <c r="A49" s="20" t="s">
        <v>227</v>
      </c>
      <c r="B49" s="20" t="s">
        <v>241</v>
      </c>
      <c r="C49" s="20" t="s">
        <v>227</v>
      </c>
      <c r="D49" s="20" t="s">
        <v>93</v>
      </c>
      <c r="E49" s="20" t="s">
        <v>94</v>
      </c>
      <c r="F49" s="21" t="s">
        <v>242</v>
      </c>
      <c r="G49" s="20"/>
      <c r="H49" s="20" t="s">
        <v>76</v>
      </c>
      <c r="I49" s="20" t="s">
        <v>243</v>
      </c>
      <c r="J49" s="20" t="s">
        <v>76</v>
      </c>
      <c r="K49" s="20" t="s">
        <v>244</v>
      </c>
      <c r="L49" s="21" t="s">
        <v>245</v>
      </c>
      <c r="M49" s="33">
        <f>IFERROR(__xludf.DUMMYFUNCTION("IFS(W49=""Achat"",IFERROR(VALUE(X49),VALUE(REGEXREPLACE(T(X49),""[^0-9]"",""""))),W49=""Vente"",-IFERROR(VALUE(X49),VALUE(REGEXREPLACE(T(X49),""[^0-9]"",""""))),Y49=""Change"",0,Y49&lt;&gt;""Change"","""")"),-3.0)</f>
        <v>-3</v>
      </c>
      <c r="N49" s="34">
        <f>IFERROR(__xludf.DUMMYFUNCTION("IF(Account!$F49&lt;&gt;"""", VALUE(REGEXREPLACE($I49, ""\,"", ""."")), """")"),165.26)</f>
        <v>165.26</v>
      </c>
      <c r="O49" s="35">
        <f>IF(Account!$F49&lt;&gt;"", DATEVALUE(MID($A49,4,3) &amp; LEFT($A49,3) &amp; RIGHT($A49,4)) + TIMEVALUE($B49), "")</f>
        <v>44125.53958</v>
      </c>
      <c r="P49" s="36">
        <f>IF(Account!$F49&lt;&gt;"", DATEVALUE(MID($C49,4,3) &amp; LEFT($C49,3) &amp; RIGHT($C49,4)), "")</f>
        <v>44125</v>
      </c>
      <c r="Q49" s="37" t="str">
        <f t="array" ref="Q49">IF($R49&lt;&gt;"",IFERROR(INDEX(ISIN!$B:$B,MATCH($R49,ISIN!$C:$C,0))),)</f>
        <v>Stocks</v>
      </c>
      <c r="R49" s="38" t="str">
        <f t="array" ref="R49">IF($E49&lt;&gt;"",IFERROR(INDEX(ISIN!$C:$C,MATCH($E49,ISIN!$A:$A,0)),IFERROR(INDEX($R50:$R1200,MATCH($K49,$K50:$K1200,0)))),IF(AND($Y49="change",$H49="EUR"),IF($O49=$O50,$R50,IF($O49=$O48,$R48)),IFERROR(INDEX($R50:$R1200,MATCH(SUBSTITUTE($I49,"-","",1),$K50:$K1200,0)))))</f>
        <v>Vanguard S&amp;P 500 UCITS</v>
      </c>
      <c r="S49" s="37" t="str">
        <f t="shared" si="1"/>
        <v>SELL</v>
      </c>
      <c r="T49" s="39">
        <f t="shared" si="2"/>
        <v>-20</v>
      </c>
      <c r="U49" s="40">
        <f t="shared" si="3"/>
        <v>55.085</v>
      </c>
      <c r="V49" s="34">
        <f t="shared" si="4"/>
        <v>1101.7</v>
      </c>
      <c r="W49" s="41" t="str">
        <f>IFERROR(__xludf.DUMMYFUNCTION(" IF(Account!$F49&lt;&gt;"""", SPLIT(Account!$F49, "" ""), """")"),"Vente")</f>
        <v>Vente</v>
      </c>
      <c r="X49" s="44">
        <f>IFERROR(__xludf.DUMMYFUNCTION("""COMPUTED_VALUE"""),3.0)</f>
        <v>3</v>
      </c>
      <c r="Y49" s="44" t="str">
        <f>IFERROR(__xludf.DUMMYFUNCTION("""COMPUTED_VALUE"""),"VANGUARD")</f>
        <v>VANGUARD</v>
      </c>
      <c r="Z49" s="44" t="str">
        <f>IFERROR(__xludf.DUMMYFUNCTION("""COMPUTED_VALUE"""),"S&amp;P500@55,085")</f>
        <v>S&amp;P500@55,085</v>
      </c>
      <c r="AA49" s="44" t="str">
        <f>IFERROR(__xludf.DUMMYFUNCTION("""COMPUTED_VALUE"""),"EUR")</f>
        <v>EUR</v>
      </c>
      <c r="AB49" s="44" t="str">
        <f>IFERROR(__xludf.DUMMYFUNCTION("""COMPUTED_VALUE"""),"(IE00B3XXRP09)")</f>
        <v>(IE00B3XXRP09)</v>
      </c>
      <c r="AC49" s="44"/>
      <c r="AD49" s="44"/>
      <c r="AE49" s="44"/>
      <c r="AF49" s="44"/>
      <c r="AG49" s="44"/>
      <c r="AH49" s="44"/>
      <c r="AI49" s="44"/>
      <c r="AJ49" s="44"/>
      <c r="AK49" s="44"/>
    </row>
    <row r="50">
      <c r="A50" s="20" t="s">
        <v>227</v>
      </c>
      <c r="B50" s="20" t="s">
        <v>241</v>
      </c>
      <c r="C50" s="20" t="s">
        <v>227</v>
      </c>
      <c r="D50" s="20" t="s">
        <v>93</v>
      </c>
      <c r="E50" s="20" t="s">
        <v>94</v>
      </c>
      <c r="F50" s="21" t="s">
        <v>246</v>
      </c>
      <c r="G50" s="20"/>
      <c r="H50" s="20" t="s">
        <v>76</v>
      </c>
      <c r="I50" s="20" t="s">
        <v>247</v>
      </c>
      <c r="J50" s="20" t="s">
        <v>76</v>
      </c>
      <c r="K50" s="20" t="s">
        <v>248</v>
      </c>
      <c r="L50" s="21" t="s">
        <v>245</v>
      </c>
      <c r="M50" s="33">
        <f>IFERROR(__xludf.DUMMYFUNCTION("IFS(W50=""Achat"",IFERROR(VALUE(X50),VALUE(REGEXREPLACE(T(X50),""[^0-9]"",""""))),W50=""Vente"",-IFERROR(VALUE(X50),VALUE(REGEXREPLACE(T(X50),""[^0-9]"",""""))),Y50=""Change"",0,Y50&lt;&gt;""Change"","""")"),-17.0)</f>
        <v>-17</v>
      </c>
      <c r="N50" s="34">
        <f>IFERROR(__xludf.DUMMYFUNCTION("IF(Account!$F50&lt;&gt;"""", VALUE(REGEXREPLACE($I50, ""\,"", ""."")), """")"),936.44)</f>
        <v>936.44</v>
      </c>
      <c r="O50" s="35">
        <f>IF(Account!$F50&lt;&gt;"", DATEVALUE(MID($A50,4,3) &amp; LEFT($A50,3) &amp; RIGHT($A50,4)) + TIMEVALUE($B50), "")</f>
        <v>44125.53958</v>
      </c>
      <c r="P50" s="36">
        <f>IF(Account!$F50&lt;&gt;"", DATEVALUE(MID($C50,4,3) &amp; LEFT($C50,3) &amp; RIGHT($C50,4)), "")</f>
        <v>44125</v>
      </c>
      <c r="Q50" s="37" t="str">
        <f t="array" ref="Q50">IF($R50&lt;&gt;"",IFERROR(INDEX(ISIN!$B:$B,MATCH($R50,ISIN!$C:$C,0))),)</f>
        <v>Stocks</v>
      </c>
      <c r="R50" s="38" t="str">
        <f t="array" ref="R50">IF($E50&lt;&gt;"",IFERROR(INDEX(ISIN!$C:$C,MATCH($E50,ISIN!$A:$A,0)),IFERROR(INDEX($R51:$R1200,MATCH($K50,$K51:$K1200,0)))),IF(AND($Y50="change",$H50="EUR"),IF($O50=$O51,$R51,IF($O50=$O49,$R49)),IFERROR(INDEX($R51:$R1200,MATCH(SUBSTITUTE($I50,"-","",1),$K51:$K1200,0)))))</f>
        <v>Vanguard S&amp;P 500 UCITS</v>
      </c>
      <c r="S50" s="37" t="str">
        <f t="shared" si="1"/>
        <v>SELL</v>
      </c>
      <c r="T50" s="39">
        <f t="shared" si="2"/>
        <v>-20</v>
      </c>
      <c r="U50" s="40">
        <f t="shared" si="3"/>
        <v>55.085</v>
      </c>
      <c r="V50" s="34">
        <f t="shared" si="4"/>
        <v>1101.7</v>
      </c>
      <c r="W50" s="41" t="str">
        <f>IFERROR(__xludf.DUMMYFUNCTION(" IF(Account!$F50&lt;&gt;"""", SPLIT(Account!$F50, "" ""), """")"),"Vente")</f>
        <v>Vente</v>
      </c>
      <c r="X50" s="44">
        <f>IFERROR(__xludf.DUMMYFUNCTION("""COMPUTED_VALUE"""),17.0)</f>
        <v>17</v>
      </c>
      <c r="Y50" s="44" t="str">
        <f>IFERROR(__xludf.DUMMYFUNCTION("""COMPUTED_VALUE"""),"VANGUARD")</f>
        <v>VANGUARD</v>
      </c>
      <c r="Z50" s="44" t="str">
        <f>IFERROR(__xludf.DUMMYFUNCTION("""COMPUTED_VALUE"""),"S&amp;P500@55,085")</f>
        <v>S&amp;P500@55,085</v>
      </c>
      <c r="AA50" s="44" t="str">
        <f>IFERROR(__xludf.DUMMYFUNCTION("""COMPUTED_VALUE"""),"EUR")</f>
        <v>EUR</v>
      </c>
      <c r="AB50" s="44" t="str">
        <f>IFERROR(__xludf.DUMMYFUNCTION("""COMPUTED_VALUE"""),"(IE00B3XXRP09)")</f>
        <v>(IE00B3XXRP09)</v>
      </c>
      <c r="AC50" s="44"/>
      <c r="AD50" s="44"/>
      <c r="AE50" s="44"/>
      <c r="AF50" s="44"/>
      <c r="AG50" s="44"/>
      <c r="AH50" s="44"/>
      <c r="AI50" s="44"/>
      <c r="AJ50" s="44"/>
      <c r="AK50" s="44"/>
    </row>
    <row r="51">
      <c r="A51" s="20" t="s">
        <v>227</v>
      </c>
      <c r="B51" s="20" t="s">
        <v>249</v>
      </c>
      <c r="C51" s="20" t="s">
        <v>227</v>
      </c>
      <c r="D51" s="20" t="s">
        <v>93</v>
      </c>
      <c r="E51" s="20" t="s">
        <v>94</v>
      </c>
      <c r="F51" s="21" t="s">
        <v>250</v>
      </c>
      <c r="G51" s="20"/>
      <c r="H51" s="20" t="s">
        <v>76</v>
      </c>
      <c r="I51" s="20" t="s">
        <v>251</v>
      </c>
      <c r="J51" s="20" t="s">
        <v>76</v>
      </c>
      <c r="K51" s="20" t="s">
        <v>252</v>
      </c>
      <c r="L51" s="21" t="s">
        <v>253</v>
      </c>
      <c r="M51" s="33">
        <f>IFERROR(__xludf.DUMMYFUNCTION("IFS(W51=""Achat"",IFERROR(VALUE(X51),VALUE(REGEXREPLACE(T(X51),""[^0-9]"",""""))),W51=""Vente"",-IFERROR(VALUE(X51),VALUE(REGEXREPLACE(T(X51),""[^0-9]"",""""))),Y51=""Change"",0,Y51&lt;&gt;""Change"","""")"),-228.0)</f>
        <v>-228</v>
      </c>
      <c r="N51" s="34">
        <f>IFERROR(__xludf.DUMMYFUNCTION("IF(Account!$F51&lt;&gt;"""", VALUE(REGEXREPLACE($I51, ""\,"", ""."")), """")"),12562.8)</f>
        <v>12562.8</v>
      </c>
      <c r="O51" s="35">
        <f>IF(Account!$F51&lt;&gt;"", DATEVALUE(MID($A51,4,3) &amp; LEFT($A51,3) &amp; RIGHT($A51,4)) + TIMEVALUE($B51), "")</f>
        <v>44125.53472</v>
      </c>
      <c r="P51" s="36">
        <f>IF(Account!$F51&lt;&gt;"", DATEVALUE(MID($C51,4,3) &amp; LEFT($C51,3) &amp; RIGHT($C51,4)), "")</f>
        <v>44125</v>
      </c>
      <c r="Q51" s="37" t="str">
        <f t="array" ref="Q51">IF($R51&lt;&gt;"",IFERROR(INDEX(ISIN!$B:$B,MATCH($R51,ISIN!$C:$C,0))),)</f>
        <v>Stocks</v>
      </c>
      <c r="R51" s="38" t="str">
        <f t="array" ref="R51">IF($E51&lt;&gt;"",IFERROR(INDEX(ISIN!$C:$C,MATCH($E51,ISIN!$A:$A,0)),IFERROR(INDEX($R52:$R1200,MATCH($K51,$K52:$K1200,0)))),IF(AND($Y51="change",$H51="EUR"),IF($O51=$O52,$R52,IF($O51=$O50,$R50)),IFERROR(INDEX($R52:$R1200,MATCH(SUBSTITUTE($I51,"-","",1),$K52:$K1200,0)))))</f>
        <v>Vanguard S&amp;P 500 UCITS</v>
      </c>
      <c r="S51" s="37" t="str">
        <f t="shared" si="1"/>
        <v>SELL</v>
      </c>
      <c r="T51" s="39">
        <f t="shared" si="2"/>
        <v>-228</v>
      </c>
      <c r="U51" s="40">
        <f t="shared" si="3"/>
        <v>55.1</v>
      </c>
      <c r="V51" s="34">
        <f t="shared" si="4"/>
        <v>12562.8</v>
      </c>
      <c r="W51" s="41" t="str">
        <f>IFERROR(__xludf.DUMMYFUNCTION(" IF(Account!$F51&lt;&gt;"""", SPLIT(Account!$F51, "" ""), """")"),"Vente")</f>
        <v>Vente</v>
      </c>
      <c r="X51" s="44">
        <f>IFERROR(__xludf.DUMMYFUNCTION("""COMPUTED_VALUE"""),228.0)</f>
        <v>228</v>
      </c>
      <c r="Y51" s="44" t="str">
        <f>IFERROR(__xludf.DUMMYFUNCTION("""COMPUTED_VALUE"""),"VANGUARD")</f>
        <v>VANGUARD</v>
      </c>
      <c r="Z51" s="44" t="str">
        <f>IFERROR(__xludf.DUMMYFUNCTION("""COMPUTED_VALUE"""),"S&amp;P500@55,1")</f>
        <v>S&amp;P500@55,1</v>
      </c>
      <c r="AA51" s="44" t="str">
        <f>IFERROR(__xludf.DUMMYFUNCTION("""COMPUTED_VALUE"""),"EUR")</f>
        <v>EUR</v>
      </c>
      <c r="AB51" s="44" t="str">
        <f>IFERROR(__xludf.DUMMYFUNCTION("""COMPUTED_VALUE"""),"(IE00B3XXRP09)")</f>
        <v>(IE00B3XXRP09)</v>
      </c>
      <c r="AC51" s="44"/>
      <c r="AD51" s="44"/>
      <c r="AE51" s="44"/>
      <c r="AF51" s="44"/>
      <c r="AG51" s="44"/>
      <c r="AH51" s="44"/>
      <c r="AI51" s="44"/>
      <c r="AJ51" s="44"/>
      <c r="AK51" s="44"/>
    </row>
    <row r="52">
      <c r="A52" s="20" t="s">
        <v>227</v>
      </c>
      <c r="B52" s="20" t="s">
        <v>254</v>
      </c>
      <c r="C52" s="20" t="s">
        <v>227</v>
      </c>
      <c r="D52" s="20" t="s">
        <v>93</v>
      </c>
      <c r="E52" s="20" t="s">
        <v>94</v>
      </c>
      <c r="F52" s="21" t="s">
        <v>255</v>
      </c>
      <c r="G52" s="20"/>
      <c r="H52" s="20" t="s">
        <v>76</v>
      </c>
      <c r="I52" s="20" t="s">
        <v>256</v>
      </c>
      <c r="J52" s="20" t="s">
        <v>76</v>
      </c>
      <c r="K52" s="20" t="s">
        <v>257</v>
      </c>
      <c r="L52" s="21" t="s">
        <v>258</v>
      </c>
      <c r="M52" s="33">
        <f>IFERROR(__xludf.DUMMYFUNCTION("IFS(W52=""Achat"",IFERROR(VALUE(X52),VALUE(REGEXREPLACE(T(X52),""[^0-9]"",""""))),W52=""Vente"",-IFERROR(VALUE(X52),VALUE(REGEXREPLACE(T(X52),""[^0-9]"",""""))),Y52=""Change"",0,Y52&lt;&gt;""Change"","""")"),-228.0)</f>
        <v>-228</v>
      </c>
      <c r="N52" s="34">
        <f>IFERROR(__xludf.DUMMYFUNCTION("IF(Account!$F52&lt;&gt;"""", VALUE(REGEXREPLACE($I52, ""\,"", ""."")), """")"),12555.96)</f>
        <v>12555.96</v>
      </c>
      <c r="O52" s="35">
        <f>IF(Account!$F52&lt;&gt;"", DATEVALUE(MID($A52,4,3) &amp; LEFT($A52,3) &amp; RIGHT($A52,4)) + TIMEVALUE($B52), "")</f>
        <v>44125.53264</v>
      </c>
      <c r="P52" s="36">
        <f>IF(Account!$F52&lt;&gt;"", DATEVALUE(MID($C52,4,3) &amp; LEFT($C52,3) &amp; RIGHT($C52,4)), "")</f>
        <v>44125</v>
      </c>
      <c r="Q52" s="37" t="str">
        <f t="array" ref="Q52">IF($R52&lt;&gt;"",IFERROR(INDEX(ISIN!$B:$B,MATCH($R52,ISIN!$C:$C,0))),)</f>
        <v>Stocks</v>
      </c>
      <c r="R52" s="38" t="str">
        <f t="array" ref="R52">IF($E52&lt;&gt;"",IFERROR(INDEX(ISIN!$C:$C,MATCH($E52,ISIN!$A:$A,0)),IFERROR(INDEX($R53:$R1200,MATCH($K52,$K53:$K1200,0)))),IF(AND($Y52="change",$H52="EUR"),IF($O52=$O53,$R53,IF($O52=$O51,$R51)),IFERROR(INDEX($R53:$R1200,MATCH(SUBSTITUTE($I52,"-","",1),$K53:$K1200,0)))))</f>
        <v>Vanguard S&amp;P 500 UCITS</v>
      </c>
      <c r="S52" s="37" t="str">
        <f t="shared" si="1"/>
        <v>SELL</v>
      </c>
      <c r="T52" s="39">
        <f t="shared" si="2"/>
        <v>-228</v>
      </c>
      <c r="U52" s="40">
        <f t="shared" si="3"/>
        <v>55.07</v>
      </c>
      <c r="V52" s="34">
        <f t="shared" si="4"/>
        <v>12555.96</v>
      </c>
      <c r="W52" s="41" t="str">
        <f>IFERROR(__xludf.DUMMYFUNCTION(" IF(Account!$F52&lt;&gt;"""", SPLIT(Account!$F52, "" ""), """")"),"Vente")</f>
        <v>Vente</v>
      </c>
      <c r="X52" s="44">
        <f>IFERROR(__xludf.DUMMYFUNCTION("""COMPUTED_VALUE"""),228.0)</f>
        <v>228</v>
      </c>
      <c r="Y52" s="44" t="str">
        <f>IFERROR(__xludf.DUMMYFUNCTION("""COMPUTED_VALUE"""),"VANGUARD")</f>
        <v>VANGUARD</v>
      </c>
      <c r="Z52" s="44" t="str">
        <f>IFERROR(__xludf.DUMMYFUNCTION("""COMPUTED_VALUE"""),"S&amp;P500@55,07")</f>
        <v>S&amp;P500@55,07</v>
      </c>
      <c r="AA52" s="44" t="str">
        <f>IFERROR(__xludf.DUMMYFUNCTION("""COMPUTED_VALUE"""),"EUR")</f>
        <v>EUR</v>
      </c>
      <c r="AB52" s="44" t="str">
        <f>IFERROR(__xludf.DUMMYFUNCTION("""COMPUTED_VALUE"""),"(IE00B3XXRP09)")</f>
        <v>(IE00B3XXRP09)</v>
      </c>
      <c r="AC52" s="44"/>
      <c r="AD52" s="44"/>
      <c r="AE52" s="44"/>
      <c r="AF52" s="44"/>
      <c r="AG52" s="44"/>
      <c r="AH52" s="44"/>
      <c r="AI52" s="44"/>
      <c r="AJ52" s="44"/>
      <c r="AK52" s="44"/>
    </row>
    <row r="53">
      <c r="A53" s="20" t="s">
        <v>259</v>
      </c>
      <c r="B53" s="20" t="s">
        <v>260</v>
      </c>
      <c r="C53" s="20" t="s">
        <v>259</v>
      </c>
      <c r="D53" s="20" t="s">
        <v>73</v>
      </c>
      <c r="E53" s="20" t="s">
        <v>74</v>
      </c>
      <c r="F53" s="21" t="s">
        <v>75</v>
      </c>
      <c r="G53" s="20"/>
      <c r="H53" s="20" t="s">
        <v>76</v>
      </c>
      <c r="I53" s="20" t="s">
        <v>77</v>
      </c>
      <c r="J53" s="20" t="s">
        <v>76</v>
      </c>
      <c r="K53" s="20" t="s">
        <v>261</v>
      </c>
      <c r="L53" s="21" t="s">
        <v>262</v>
      </c>
      <c r="M53" s="33" t="str">
        <f>IFERROR(__xludf.DUMMYFUNCTION("IFS(W53=""Achat"",IFERROR(VALUE(X53),VALUE(REGEXREPLACE(T(X53),""[^0-9]"",""""))),W53=""Vente"",-IFERROR(VALUE(X53),VALUE(REGEXREPLACE(T(X53),""[^0-9]"",""""))),Y53=""Change"",0,Y53&lt;&gt;""Change"","""")"),"")</f>
        <v/>
      </c>
      <c r="N53" s="34">
        <f>IFERROR(__xludf.DUMMYFUNCTION("IF(Account!$F53&lt;&gt;"""", VALUE(REGEXREPLACE($I53, ""\,"", ""."")), """")"),-2.0)</f>
        <v>-2</v>
      </c>
      <c r="O53" s="35">
        <f>IF(Account!$F53&lt;&gt;"", DATEVALUE(MID($A53,4,3) &amp; LEFT($A53,3) &amp; RIGHT($A53,4)) + TIMEVALUE($B53), "")</f>
        <v>44124.52083</v>
      </c>
      <c r="P53" s="36">
        <f>IF(Account!$F53&lt;&gt;"", DATEVALUE(MID($C53,4,3) &amp; LEFT($C53,3) &amp; RIGHT($C53,4)), "")</f>
        <v>44124</v>
      </c>
      <c r="Q53" s="37" t="str">
        <f t="array" ref="Q53">IF($R53&lt;&gt;"",IFERROR(INDEX(ISIN!$B:$B,MATCH($R53,ISIN!$C:$C,0))),)</f>
        <v>Long term US bonds (20-25 year)</v>
      </c>
      <c r="R53" s="38" t="str">
        <f t="array" ref="R53">IF($E53&lt;&gt;"",IFERROR(INDEX(ISIN!$C:$C,MATCH($E53,ISIN!$A:$A,0)),IFERROR(INDEX($R54:$R1200,MATCH($K53,$K54:$K1200,0)))),IF(AND($Y53="change",$H53="EUR"),IF($O53=$O54,$R54,IF($O53=$O52,$R52)),IFERROR(INDEX($R54:$R1200,MATCH(SUBSTITUTE($I53,"-","",1),$K54:$K1200,0)))))</f>
        <v>iShares Treasury Bond 20+ UCITS</v>
      </c>
      <c r="S53" s="37" t="str">
        <f t="shared" si="1"/>
        <v>COST</v>
      </c>
      <c r="T53" s="39" t="str">
        <f t="shared" si="2"/>
        <v/>
      </c>
      <c r="U53" s="40" t="str">
        <f t="shared" si="3"/>
        <v/>
      </c>
      <c r="V53" s="34">
        <f t="shared" si="4"/>
        <v>-18.71</v>
      </c>
      <c r="W53" s="41" t="str">
        <f>IFERROR(__xludf.DUMMYFUNCTION(" IF(Account!$F53&lt;&gt;"""", SPLIT(Account!$F53, "" ""), """")"),"Frais")</f>
        <v>Frais</v>
      </c>
      <c r="X53" s="44" t="str">
        <f>IFERROR(__xludf.DUMMYFUNCTION("""COMPUTED_VALUE"""),"de")</f>
        <v>de</v>
      </c>
      <c r="Y53" s="44" t="str">
        <f>IFERROR(__xludf.DUMMYFUNCTION("""COMPUTED_VALUE"""),"courtage")</f>
        <v>courtage</v>
      </c>
      <c r="Z53" s="44"/>
      <c r="AA53" s="44"/>
      <c r="AB53" s="44"/>
      <c r="AC53" s="44"/>
      <c r="AD53" s="44"/>
      <c r="AE53" s="44"/>
      <c r="AF53" s="44"/>
      <c r="AG53" s="44"/>
      <c r="AH53" s="44"/>
      <c r="AI53" s="44"/>
      <c r="AJ53" s="44"/>
      <c r="AK53" s="44"/>
    </row>
    <row r="54">
      <c r="A54" s="20" t="s">
        <v>259</v>
      </c>
      <c r="B54" s="20" t="s">
        <v>260</v>
      </c>
      <c r="C54" s="20" t="s">
        <v>259</v>
      </c>
      <c r="D54" s="20" t="s">
        <v>73</v>
      </c>
      <c r="E54" s="20" t="s">
        <v>74</v>
      </c>
      <c r="F54" s="21" t="s">
        <v>75</v>
      </c>
      <c r="G54" s="20"/>
      <c r="H54" s="20" t="s">
        <v>76</v>
      </c>
      <c r="I54" s="20" t="s">
        <v>263</v>
      </c>
      <c r="J54" s="20" t="s">
        <v>76</v>
      </c>
      <c r="K54" s="20" t="s">
        <v>264</v>
      </c>
      <c r="L54" s="21" t="s">
        <v>262</v>
      </c>
      <c r="M54" s="33" t="str">
        <f>IFERROR(__xludf.DUMMYFUNCTION("IFS(W54=""Achat"",IFERROR(VALUE(X54),VALUE(REGEXREPLACE(T(X54),""[^0-9]"",""""))),W54=""Vente"",-IFERROR(VALUE(X54),VALUE(REGEXREPLACE(T(X54),""[^0-9]"",""""))),Y54=""Change"",0,Y54&lt;&gt;""Change"","""")"),"")</f>
        <v/>
      </c>
      <c r="N54" s="34">
        <f>IFERROR(__xludf.DUMMYFUNCTION("IF(Account!$F54&lt;&gt;"""", VALUE(REGEXREPLACE($I54, ""\,"", ""."")), """")"),-16.71)</f>
        <v>-16.71</v>
      </c>
      <c r="O54" s="35">
        <f>IF(Account!$F54&lt;&gt;"", DATEVALUE(MID($A54,4,3) &amp; LEFT($A54,3) &amp; RIGHT($A54,4)) + TIMEVALUE($B54), "")</f>
        <v>44124.52083</v>
      </c>
      <c r="P54" s="36">
        <f>IF(Account!$F54&lt;&gt;"", DATEVALUE(MID($C54,4,3) &amp; LEFT($C54,3) &amp; RIGHT($C54,4)), "")</f>
        <v>44124</v>
      </c>
      <c r="Q54" s="37" t="str">
        <f t="array" ref="Q54">IF($R54&lt;&gt;"",IFERROR(INDEX(ISIN!$B:$B,MATCH($R54,ISIN!$C:$C,0))),)</f>
        <v>Long term US bonds (20-25 year)</v>
      </c>
      <c r="R54" s="38" t="str">
        <f t="array" ref="R54">IF($E54&lt;&gt;"",IFERROR(INDEX(ISIN!$C:$C,MATCH($E54,ISIN!$A:$A,0)),IFERROR(INDEX($R55:$R1200,MATCH($K54,$K55:$K1200,0)))),IF(AND($Y54="change",$H54="EUR"),IF($O54=$O55,$R55,IF($O54=$O53,$R53)),IFERROR(INDEX($R55:$R1200,MATCH(SUBSTITUTE($I54,"-","",1),$K55:$K1200,0)))))</f>
        <v>iShares Treasury Bond 20+ UCITS</v>
      </c>
      <c r="S54" s="37" t="str">
        <f t="shared" si="1"/>
        <v>COST</v>
      </c>
      <c r="T54" s="39" t="str">
        <f t="shared" si="2"/>
        <v/>
      </c>
      <c r="U54" s="40" t="str">
        <f t="shared" si="3"/>
        <v/>
      </c>
      <c r="V54" s="34">
        <f t="shared" si="4"/>
        <v>-18.71</v>
      </c>
      <c r="W54" s="41" t="str">
        <f>IFERROR(__xludf.DUMMYFUNCTION(" IF(Account!$F54&lt;&gt;"""", SPLIT(Account!$F54, "" ""), """")"),"Frais")</f>
        <v>Frais</v>
      </c>
      <c r="X54" s="44" t="str">
        <f>IFERROR(__xludf.DUMMYFUNCTION("""COMPUTED_VALUE"""),"de")</f>
        <v>de</v>
      </c>
      <c r="Y54" s="44" t="str">
        <f>IFERROR(__xludf.DUMMYFUNCTION("""COMPUTED_VALUE"""),"courtage")</f>
        <v>courtage</v>
      </c>
      <c r="Z54" s="44"/>
      <c r="AA54" s="44"/>
      <c r="AB54" s="44"/>
      <c r="AC54" s="44"/>
      <c r="AD54" s="44"/>
      <c r="AE54" s="44"/>
      <c r="AF54" s="44"/>
      <c r="AG54" s="44"/>
      <c r="AH54" s="44"/>
      <c r="AI54" s="44"/>
      <c r="AJ54" s="44"/>
      <c r="AK54" s="44"/>
    </row>
    <row r="55">
      <c r="A55" s="20" t="s">
        <v>259</v>
      </c>
      <c r="B55" s="20" t="s">
        <v>260</v>
      </c>
      <c r="C55" s="20" t="s">
        <v>259</v>
      </c>
      <c r="D55" s="20" t="s">
        <v>73</v>
      </c>
      <c r="E55" s="20" t="s">
        <v>74</v>
      </c>
      <c r="F55" s="21" t="s">
        <v>265</v>
      </c>
      <c r="G55" s="20"/>
      <c r="H55" s="20" t="s">
        <v>76</v>
      </c>
      <c r="I55" s="20" t="s">
        <v>266</v>
      </c>
      <c r="J55" s="20" t="s">
        <v>76</v>
      </c>
      <c r="K55" s="20" t="s">
        <v>267</v>
      </c>
      <c r="L55" s="21" t="s">
        <v>262</v>
      </c>
      <c r="M55" s="33">
        <f>IFERROR(__xludf.DUMMYFUNCTION("IFS(W55=""Achat"",IFERROR(VALUE(X55),VALUE(REGEXREPLACE(T(X55),""[^0-9]"",""""))),W55=""Vente"",-IFERROR(VALUE(X55),VALUE(REGEXREPLACE(T(X55),""[^0-9]"",""""))),Y55=""Change"",0,Y55&lt;&gt;""Change"","""")"),16500.0)</f>
        <v>16500</v>
      </c>
      <c r="N55" s="34">
        <f>IFERROR(__xludf.DUMMYFUNCTION("IF(Account!$F55&lt;&gt;"""", VALUE(REGEXREPLACE($I55, ""\,"", ""."")), """")"),-83572.5)</f>
        <v>-83572.5</v>
      </c>
      <c r="O55" s="35">
        <f>IF(Account!$F55&lt;&gt;"", DATEVALUE(MID($A55,4,3) &amp; LEFT($A55,3) &amp; RIGHT($A55,4)) + TIMEVALUE($B55), "")</f>
        <v>44124.52083</v>
      </c>
      <c r="P55" s="36">
        <f>IF(Account!$F55&lt;&gt;"", DATEVALUE(MID($C55,4,3) &amp; LEFT($C55,3) &amp; RIGHT($C55,4)), "")</f>
        <v>44124</v>
      </c>
      <c r="Q55" s="37" t="str">
        <f t="array" ref="Q55">IF($R55&lt;&gt;"",IFERROR(INDEX(ISIN!$B:$B,MATCH($R55,ISIN!$C:$C,0))),)</f>
        <v>Long term US bonds (20-25 year)</v>
      </c>
      <c r="R55" s="38" t="str">
        <f t="array" ref="R55">IF($E55&lt;&gt;"",IFERROR(INDEX(ISIN!$C:$C,MATCH($E55,ISIN!$A:$A,0)),IFERROR(INDEX($R56:$R1200,MATCH($K55,$K56:$K1200,0)))),IF(AND($Y55="change",$H55="EUR"),IF($O55=$O56,$R56,IF($O55=$O54,$R54)),IFERROR(INDEX($R56:$R1200,MATCH(SUBSTITUTE($I55,"-","",1),$K56:$K1200,0)))))</f>
        <v>iShares Treasury Bond 20+ UCITS</v>
      </c>
      <c r="S55" s="37" t="str">
        <f t="shared" si="1"/>
        <v>BUY</v>
      </c>
      <c r="T55" s="39">
        <f t="shared" si="2"/>
        <v>16500</v>
      </c>
      <c r="U55" s="40">
        <f t="shared" si="3"/>
        <v>5.065</v>
      </c>
      <c r="V55" s="34">
        <f t="shared" si="4"/>
        <v>-83572.5</v>
      </c>
      <c r="W55" s="41" t="str">
        <f>IFERROR(__xludf.DUMMYFUNCTION(" IF(Account!$F55&lt;&gt;"""", SPLIT(Account!$F55, "" ""), """")"),"Achat")</f>
        <v>Achat</v>
      </c>
      <c r="X55" s="44" t="str">
        <f>IFERROR(__xludf.DUMMYFUNCTION("""COMPUTED_VALUE"""),"16 500")</f>
        <v>16 500</v>
      </c>
      <c r="Y55" s="44" t="str">
        <f>IFERROR(__xludf.DUMMYFUNCTION("""COMPUTED_VALUE"""),"iShares")</f>
        <v>iShares</v>
      </c>
      <c r="Z55" s="44" t="str">
        <f>IFERROR(__xludf.DUMMYFUNCTION("""COMPUTED_VALUE"""),"$")</f>
        <v>$</v>
      </c>
      <c r="AA55" s="44" t="str">
        <f>IFERROR(__xludf.DUMMYFUNCTION("""COMPUTED_VALUE"""),"Treasury")</f>
        <v>Treasury</v>
      </c>
      <c r="AB55" s="44" t="str">
        <f>IFERROR(__xludf.DUMMYFUNCTION("""COMPUTED_VALUE"""),"Bond")</f>
        <v>Bond</v>
      </c>
      <c r="AC55" s="44" t="str">
        <f>IFERROR(__xludf.DUMMYFUNCTION("""COMPUTED_VALUE"""),"20+yr")</f>
        <v>20+yr</v>
      </c>
      <c r="AD55" s="44" t="str">
        <f>IFERROR(__xludf.DUMMYFUNCTION("""COMPUTED_VALUE"""),"UCITS")</f>
        <v>UCITS</v>
      </c>
      <c r="AE55" s="44" t="str">
        <f>IFERROR(__xludf.DUMMYFUNCTION("""COMPUTED_VALUE"""),"ETF")</f>
        <v>ETF</v>
      </c>
      <c r="AF55" s="44" t="str">
        <f>IFERROR(__xludf.DUMMYFUNCTION("""COMPUTED_VALUE"""),"USD")</f>
        <v>USD</v>
      </c>
      <c r="AG55" s="44" t="str">
        <f>IFERROR(__xludf.DUMMYFUNCTION("""COMPUTED_VALUE"""),"(Dist)@5,065")</f>
        <v>(Dist)@5,065</v>
      </c>
      <c r="AH55" s="44" t="str">
        <f>IFERROR(__xludf.DUMMYFUNCTION("""COMPUTED_VALUE"""),"EUR")</f>
        <v>EUR</v>
      </c>
      <c r="AI55" s="44" t="str">
        <f>IFERROR(__xludf.DUMMYFUNCTION("""COMPUTED_VALUE"""),"(IE00BSKRJZ44)")</f>
        <v>(IE00BSKRJZ44)</v>
      </c>
      <c r="AJ55" s="44"/>
      <c r="AK55" s="44"/>
    </row>
    <row r="56">
      <c r="A56" s="20" t="s">
        <v>268</v>
      </c>
      <c r="B56" s="20" t="s">
        <v>269</v>
      </c>
      <c r="C56" s="20" t="s">
        <v>268</v>
      </c>
      <c r="D56" s="20" t="s">
        <v>86</v>
      </c>
      <c r="E56" s="20" t="s">
        <v>87</v>
      </c>
      <c r="F56" s="21" t="s">
        <v>270</v>
      </c>
      <c r="G56" s="20"/>
      <c r="H56" s="20" t="s">
        <v>76</v>
      </c>
      <c r="I56" s="20" t="s">
        <v>271</v>
      </c>
      <c r="J56" s="20" t="s">
        <v>76</v>
      </c>
      <c r="K56" s="20" t="s">
        <v>272</v>
      </c>
      <c r="L56" s="21" t="s">
        <v>273</v>
      </c>
      <c r="M56" s="33">
        <f>IFERROR(__xludf.DUMMYFUNCTION("IFS(W56=""Achat"",IFERROR(VALUE(X56),VALUE(REGEXREPLACE(T(X56),""[^0-9]"",""""))),W56=""Vente"",-IFERROR(VALUE(X56),VALUE(REGEXREPLACE(T(X56),""[^0-9]"",""""))),Y56=""Change"",0,Y56&lt;&gt;""Change"","""")"),7.0)</f>
        <v>7</v>
      </c>
      <c r="N56" s="34">
        <f>IFERROR(__xludf.DUMMYFUNCTION("IF(Account!$F56&lt;&gt;"""", VALUE(REGEXREPLACE($I56, ""\,"", ""."")), """")"),-1331.75)</f>
        <v>-1331.75</v>
      </c>
      <c r="O56" s="35">
        <f>IF(Account!$F56&lt;&gt;"", DATEVALUE(MID($A56,4,3) &amp; LEFT($A56,3) &amp; RIGHT($A56,4)) + TIMEVALUE($B56), "")</f>
        <v>44118.53542</v>
      </c>
      <c r="P56" s="36">
        <f>IF(Account!$F56&lt;&gt;"", DATEVALUE(MID($C56,4,3) &amp; LEFT($C56,3) &amp; RIGHT($C56,4)), "")</f>
        <v>44118</v>
      </c>
      <c r="Q56" s="37" t="str">
        <f t="array" ref="Q56">IF($R56&lt;&gt;"",IFERROR(INDEX(ISIN!$B:$B,MATCH($R56,ISIN!$C:$C,0))),)</f>
        <v>Intermediate US bonds (7-10 year)</v>
      </c>
      <c r="R56" s="38" t="str">
        <f t="array" ref="R56">IF($E56&lt;&gt;"",IFERROR(INDEX(ISIN!$C:$C,MATCH($E56,ISIN!$A:$A,0)),IFERROR(INDEX($R57:$R1200,MATCH($K56,$K57:$K1200,0)))),IF(AND($Y56="change",$H56="EUR"),IF($O56=$O57,$R57,IF($O56=$O55,$R55)),IFERROR(INDEX($R57:$R1200,MATCH(SUBSTITUTE($I56,"-","",1),$K57:$K1200,0)))))</f>
        <v>iShares Treasury Bond 7-10 UCITS</v>
      </c>
      <c r="S56" s="37" t="str">
        <f t="shared" si="1"/>
        <v>BUY</v>
      </c>
      <c r="T56" s="39">
        <f t="shared" si="2"/>
        <v>7</v>
      </c>
      <c r="U56" s="40">
        <f t="shared" si="3"/>
        <v>190.25</v>
      </c>
      <c r="V56" s="34">
        <f t="shared" si="4"/>
        <v>-1331.75</v>
      </c>
      <c r="W56" s="41" t="str">
        <f>IFERROR(__xludf.DUMMYFUNCTION(" IF(Account!$F56&lt;&gt;"""", SPLIT(Account!$F56, "" ""), """")"),"Achat")</f>
        <v>Achat</v>
      </c>
      <c r="X56" s="44">
        <f>IFERROR(__xludf.DUMMYFUNCTION("""COMPUTED_VALUE"""),7.0)</f>
        <v>7</v>
      </c>
      <c r="Y56" s="44" t="str">
        <f>IFERROR(__xludf.DUMMYFUNCTION("""COMPUTED_VALUE"""),"ISHARES")</f>
        <v>ISHARES</v>
      </c>
      <c r="Z56" s="44" t="str">
        <f>IFERROR(__xludf.DUMMYFUNCTION("""COMPUTED_VALUE"""),"US")</f>
        <v>US</v>
      </c>
      <c r="AA56" s="44" t="str">
        <f>IFERROR(__xludf.DUMMYFUNCTION("""COMPUTED_VALUE"""),"T")</f>
        <v>T</v>
      </c>
      <c r="AB56" s="44" t="str">
        <f>IFERROR(__xludf.DUMMYFUNCTION("""COMPUTED_VALUE"""),"7-10@190,25")</f>
        <v>7-10@190,25</v>
      </c>
      <c r="AC56" s="44" t="str">
        <f>IFERROR(__xludf.DUMMYFUNCTION("""COMPUTED_VALUE"""),"EUR")</f>
        <v>EUR</v>
      </c>
      <c r="AD56" s="44" t="str">
        <f>IFERROR(__xludf.DUMMYFUNCTION("""COMPUTED_VALUE"""),"(IE00B1FZS798)")</f>
        <v>(IE00B1FZS798)</v>
      </c>
      <c r="AE56" s="44"/>
      <c r="AF56" s="44"/>
      <c r="AG56" s="44"/>
      <c r="AH56" s="44"/>
      <c r="AI56" s="44"/>
      <c r="AJ56" s="44"/>
      <c r="AK56" s="44"/>
    </row>
    <row r="57">
      <c r="A57" s="20" t="s">
        <v>274</v>
      </c>
      <c r="B57" s="20" t="s">
        <v>275</v>
      </c>
      <c r="C57" s="20" t="s">
        <v>274</v>
      </c>
      <c r="D57" s="20" t="s">
        <v>86</v>
      </c>
      <c r="E57" s="20" t="s">
        <v>87</v>
      </c>
      <c r="F57" s="21" t="s">
        <v>276</v>
      </c>
      <c r="G57" s="20"/>
      <c r="H57" s="20" t="s">
        <v>76</v>
      </c>
      <c r="I57" s="20" t="s">
        <v>277</v>
      </c>
      <c r="J57" s="20" t="s">
        <v>76</v>
      </c>
      <c r="K57" s="20" t="s">
        <v>278</v>
      </c>
      <c r="L57" s="21" t="s">
        <v>279</v>
      </c>
      <c r="M57" s="33">
        <f>IFERROR(__xludf.DUMMYFUNCTION("IFS(W57=""Achat"",IFERROR(VALUE(X57),VALUE(REGEXREPLACE(T(X57),""[^0-9]"",""""))),W57=""Vente"",-IFERROR(VALUE(X57),VALUE(REGEXREPLACE(T(X57),""[^0-9]"",""""))),Y57=""Change"",0,Y57&lt;&gt;""Change"","""")"),12.0)</f>
        <v>12</v>
      </c>
      <c r="N57" s="34">
        <f>IFERROR(__xludf.DUMMYFUNCTION("IF(Account!$F57&lt;&gt;"""", VALUE(REGEXREPLACE($I57, ""\,"", ""."")), """")"),-2260.2)</f>
        <v>-2260.2</v>
      </c>
      <c r="O57" s="35">
        <f>IF(Account!$F57&lt;&gt;"", DATEVALUE(MID($A57,4,3) &amp; LEFT($A57,3) &amp; RIGHT($A57,4)) + TIMEVALUE($B57), "")</f>
        <v>44116.61667</v>
      </c>
      <c r="P57" s="36">
        <f>IF(Account!$F57&lt;&gt;"", DATEVALUE(MID($C57,4,3) &amp; LEFT($C57,3) &amp; RIGHT($C57,4)), "")</f>
        <v>44116</v>
      </c>
      <c r="Q57" s="37" t="str">
        <f t="array" ref="Q57">IF($R57&lt;&gt;"",IFERROR(INDEX(ISIN!$B:$B,MATCH($R57,ISIN!$C:$C,0))),)</f>
        <v>Intermediate US bonds (7-10 year)</v>
      </c>
      <c r="R57" s="38" t="str">
        <f t="array" ref="R57">IF($E57&lt;&gt;"",IFERROR(INDEX(ISIN!$C:$C,MATCH($E57,ISIN!$A:$A,0)),IFERROR(INDEX($R58:$R1200,MATCH($K57,$K58:$K1200,0)))),IF(AND($Y57="change",$H57="EUR"),IF($O57=$O58,$R58,IF($O57=$O56,$R56)),IFERROR(INDEX($R58:$R1200,MATCH(SUBSTITUTE($I57,"-","",1),$K58:$K1200,0)))))</f>
        <v>iShares Treasury Bond 7-10 UCITS</v>
      </c>
      <c r="S57" s="37" t="str">
        <f t="shared" si="1"/>
        <v>BUY</v>
      </c>
      <c r="T57" s="39">
        <f t="shared" si="2"/>
        <v>12</v>
      </c>
      <c r="U57" s="40">
        <f t="shared" si="3"/>
        <v>188.35</v>
      </c>
      <c r="V57" s="34">
        <f t="shared" si="4"/>
        <v>-2260.2</v>
      </c>
      <c r="W57" s="41" t="str">
        <f>IFERROR(__xludf.DUMMYFUNCTION(" IF(Account!$F57&lt;&gt;"""", SPLIT(Account!$F57, "" ""), """")"),"Achat")</f>
        <v>Achat</v>
      </c>
      <c r="X57" s="44">
        <f>IFERROR(__xludf.DUMMYFUNCTION("""COMPUTED_VALUE"""),12.0)</f>
        <v>12</v>
      </c>
      <c r="Y57" s="44" t="str">
        <f>IFERROR(__xludf.DUMMYFUNCTION("""COMPUTED_VALUE"""),"ISHARES")</f>
        <v>ISHARES</v>
      </c>
      <c r="Z57" s="44" t="str">
        <f>IFERROR(__xludf.DUMMYFUNCTION("""COMPUTED_VALUE"""),"US")</f>
        <v>US</v>
      </c>
      <c r="AA57" s="44" t="str">
        <f>IFERROR(__xludf.DUMMYFUNCTION("""COMPUTED_VALUE"""),"T")</f>
        <v>T</v>
      </c>
      <c r="AB57" s="44" t="str">
        <f>IFERROR(__xludf.DUMMYFUNCTION("""COMPUTED_VALUE"""),"7-10@188,35")</f>
        <v>7-10@188,35</v>
      </c>
      <c r="AC57" s="44" t="str">
        <f>IFERROR(__xludf.DUMMYFUNCTION("""COMPUTED_VALUE"""),"EUR")</f>
        <v>EUR</v>
      </c>
      <c r="AD57" s="44" t="str">
        <f>IFERROR(__xludf.DUMMYFUNCTION("""COMPUTED_VALUE"""),"(IE00B1FZS798)")</f>
        <v>(IE00B1FZS798)</v>
      </c>
      <c r="AE57" s="44"/>
      <c r="AF57" s="44"/>
      <c r="AG57" s="44"/>
      <c r="AH57" s="44"/>
      <c r="AI57" s="44"/>
      <c r="AJ57" s="44"/>
      <c r="AK57" s="44"/>
    </row>
    <row r="58">
      <c r="A58" s="20"/>
      <c r="B58" s="20"/>
      <c r="C58" s="20"/>
      <c r="D58" s="20"/>
      <c r="E58" s="20"/>
      <c r="F58" s="21"/>
      <c r="G58" s="20"/>
      <c r="H58" s="20"/>
      <c r="I58" s="20"/>
      <c r="J58" s="20"/>
      <c r="K58" s="20"/>
      <c r="L58" s="21"/>
      <c r="M58" s="33" t="str">
        <f>IFERROR(__xludf.DUMMYFUNCTION("IFS(W58=""Achat"",IFERROR(VALUE(X58),VALUE(REGEXREPLACE(T(X58),""[^0-9]"",""""))),W58=""Vente"",-IFERROR(VALUE(X58),VALUE(REGEXREPLACE(T(X58),""[^0-9]"",""""))),Y58=""Change"",0,Y58&lt;&gt;""Change"","""")"),"")</f>
        <v/>
      </c>
      <c r="N58" s="34" t="str">
        <f>IFERROR(__xludf.DUMMYFUNCTION("IF(Account!$F58&lt;&gt;"""", VALUE(REGEXREPLACE($I58, ""\,"", ""."")), """")"),"")</f>
        <v/>
      </c>
      <c r="O58" s="35" t="str">
        <f>IF(Account!$F58&lt;&gt;"", DATEVALUE(MID($A58,4,3) &amp; LEFT($A58,3) &amp; RIGHT($A58,4)) + TIMEVALUE($B58), "")</f>
        <v/>
      </c>
      <c r="P58" s="36" t="str">
        <f>IF(Account!$F58&lt;&gt;"", DATEVALUE(MID($C58,4,3) &amp; LEFT($C58,3) &amp; RIGHT($C58,4)), "")</f>
        <v/>
      </c>
      <c r="Q58" s="37" t="str">
        <f t="array" ref="Q58">IF($R58&lt;&gt;"",IFERROR(INDEX(ISIN!$B:$B,MATCH($R58,ISIN!$C:$C,0))),)</f>
        <v/>
      </c>
      <c r="R58" s="38" t="str">
        <f t="array" ref="R58">IF($E58&lt;&gt;"",IFERROR(INDEX(ISIN!$C:$C,MATCH($E58,ISIN!$A:$A,0)),IFERROR(INDEX($R59:$R1200,MATCH($K58,$K59:$K1200,0)))),IF(AND($Y58="change",$H58="EUR"),IF($O58=$O59,$R59,IF($O58=$O57,$R57)),IFERROR(INDEX($R59:$R1200,MATCH(SUBSTITUTE($I58,"-","",1),$K59:$K1200,0)))))</f>
        <v/>
      </c>
      <c r="S58" s="37" t="str">
        <f t="shared" si="1"/>
        <v/>
      </c>
      <c r="T58" s="39" t="str">
        <f t="shared" si="2"/>
        <v/>
      </c>
      <c r="U58" s="40" t="str">
        <f t="shared" si="3"/>
        <v/>
      </c>
      <c r="V58" s="34" t="str">
        <f t="shared" si="4"/>
        <v/>
      </c>
      <c r="W58" s="41" t="str">
        <f>IFERROR(__xludf.DUMMYFUNCTION(" IF(Account!$F58&lt;&gt;"""", SPLIT(Account!$F58, "" ""), """")"),"")</f>
        <v/>
      </c>
      <c r="X58" s="44"/>
      <c r="Y58" s="44"/>
      <c r="Z58" s="44"/>
      <c r="AA58" s="44"/>
      <c r="AB58" s="44"/>
      <c r="AC58" s="44"/>
      <c r="AD58" s="44"/>
      <c r="AE58" s="44"/>
      <c r="AF58" s="44"/>
      <c r="AG58" s="44"/>
      <c r="AH58" s="44"/>
      <c r="AI58" s="44"/>
      <c r="AJ58" s="44"/>
      <c r="AK58" s="44"/>
    </row>
    <row r="59">
      <c r="A59" s="20"/>
      <c r="B59" s="20"/>
      <c r="C59" s="20"/>
      <c r="D59" s="20"/>
      <c r="E59" s="20"/>
      <c r="F59" s="21"/>
      <c r="G59" s="20"/>
      <c r="H59" s="20"/>
      <c r="I59" s="20"/>
      <c r="J59" s="20"/>
      <c r="K59" s="20"/>
      <c r="L59" s="21"/>
      <c r="M59" s="33" t="str">
        <f>IFERROR(__xludf.DUMMYFUNCTION("IFS(W59=""Achat"",IFERROR(VALUE(X59),VALUE(REGEXREPLACE(T(X59),""[^0-9]"",""""))),W59=""Vente"",-IFERROR(VALUE(X59),VALUE(REGEXREPLACE(T(X59),""[^0-9]"",""""))),Y59=""Change"",0,Y59&lt;&gt;""Change"","""")"),"")</f>
        <v/>
      </c>
      <c r="N59" s="34" t="str">
        <f>IFERROR(__xludf.DUMMYFUNCTION("IF(Account!$F59&lt;&gt;"""", VALUE(REGEXREPLACE($I59, ""\,"", ""."")), """")"),"")</f>
        <v/>
      </c>
      <c r="O59" s="35" t="str">
        <f>IF(Account!$F59&lt;&gt;"", DATEVALUE(MID($A59,4,3) &amp; LEFT($A59,3) &amp; RIGHT($A59,4)) + TIMEVALUE($B59), "")</f>
        <v/>
      </c>
      <c r="P59" s="36" t="str">
        <f>IF(Account!$F59&lt;&gt;"", DATEVALUE(MID($C59,4,3) &amp; LEFT($C59,3) &amp; RIGHT($C59,4)), "")</f>
        <v/>
      </c>
      <c r="Q59" s="37" t="str">
        <f t="array" ref="Q59">IF($R59&lt;&gt;"",IFERROR(INDEX(ISIN!$B:$B,MATCH($R59,ISIN!$C:$C,0))),)</f>
        <v/>
      </c>
      <c r="R59" s="38" t="str">
        <f t="array" ref="R59">IF($E59&lt;&gt;"",IFERROR(INDEX(ISIN!$C:$C,MATCH($E59,ISIN!$A:$A,0)),IFERROR(INDEX($R60:$R1200,MATCH($K59,$K60:$K1200,0)))),IF(AND($Y59="change",$H59="EUR"),IF($O59=$O60,$R60,IF($O59=$O58,$R58)),IFERROR(INDEX($R60:$R1200,MATCH(SUBSTITUTE($I59,"-","",1),$K60:$K1200,0)))))</f>
        <v/>
      </c>
      <c r="S59" s="37" t="str">
        <f t="shared" si="1"/>
        <v/>
      </c>
      <c r="T59" s="39" t="str">
        <f t="shared" si="2"/>
        <v/>
      </c>
      <c r="U59" s="40" t="str">
        <f t="shared" si="3"/>
        <v/>
      </c>
      <c r="V59" s="34" t="str">
        <f t="shared" si="4"/>
        <v/>
      </c>
      <c r="W59" s="41" t="str">
        <f>IFERROR(__xludf.DUMMYFUNCTION(" IF(Account!$F59&lt;&gt;"""", SPLIT(Account!$F59, "" ""), """")"),"")</f>
        <v/>
      </c>
      <c r="X59" s="44"/>
      <c r="Y59" s="44"/>
      <c r="Z59" s="44"/>
      <c r="AA59" s="44"/>
      <c r="AB59" s="44"/>
      <c r="AC59" s="44"/>
      <c r="AD59" s="44"/>
      <c r="AE59" s="44"/>
      <c r="AF59" s="44"/>
      <c r="AG59" s="44"/>
      <c r="AH59" s="44"/>
      <c r="AI59" s="44"/>
      <c r="AJ59" s="44"/>
      <c r="AK59" s="44"/>
    </row>
    <row r="60">
      <c r="A60" s="20"/>
      <c r="B60" s="20"/>
      <c r="C60" s="20"/>
      <c r="D60" s="20"/>
      <c r="E60" s="20"/>
      <c r="F60" s="21"/>
      <c r="G60" s="20"/>
      <c r="H60" s="20"/>
      <c r="I60" s="20"/>
      <c r="J60" s="20"/>
      <c r="K60" s="20"/>
      <c r="L60" s="21"/>
      <c r="M60" s="33" t="str">
        <f>IFERROR(__xludf.DUMMYFUNCTION("IFS(W60=""Achat"",IFERROR(VALUE(X60),VALUE(REGEXREPLACE(T(X60),""[^0-9]"",""""))),W60=""Vente"",-IFERROR(VALUE(X60),VALUE(REGEXREPLACE(T(X60),""[^0-9]"",""""))),Y60=""Change"",0,Y60&lt;&gt;""Change"","""")"),"")</f>
        <v/>
      </c>
      <c r="N60" s="34" t="str">
        <f>IFERROR(__xludf.DUMMYFUNCTION("IF(Account!$F60&lt;&gt;"""", VALUE(REGEXREPLACE($I60, ""\,"", ""."")), """")"),"")</f>
        <v/>
      </c>
      <c r="O60" s="35" t="str">
        <f>IF(Account!$F60&lt;&gt;"", DATEVALUE(MID($A60,4,3) &amp; LEFT($A60,3) &amp; RIGHT($A60,4)) + TIMEVALUE($B60), "")</f>
        <v/>
      </c>
      <c r="P60" s="36" t="str">
        <f>IF(Account!$F60&lt;&gt;"", DATEVALUE(MID($C60,4,3) &amp; LEFT($C60,3) &amp; RIGHT($C60,4)), "")</f>
        <v/>
      </c>
      <c r="Q60" s="37" t="str">
        <f t="array" ref="Q60">IF($R60&lt;&gt;"",IFERROR(INDEX(ISIN!$B:$B,MATCH($R60,ISIN!$C:$C,0))),)</f>
        <v/>
      </c>
      <c r="R60" s="38" t="str">
        <f t="array" ref="R60">IF($E60&lt;&gt;"",IFERROR(INDEX(ISIN!$C:$C,MATCH($E60,ISIN!$A:$A,0)),IFERROR(INDEX($R61:$R1200,MATCH($K60,$K61:$K1200,0)))),IF(AND($Y60="change",$H60="EUR"),IF($O60=$O61,$R61,IF($O60=$O59,$R59)),IFERROR(INDEX($R61:$R1200,MATCH(SUBSTITUTE($I60,"-","",1),$K61:$K1200,0)))))</f>
        <v/>
      </c>
      <c r="S60" s="37" t="str">
        <f t="shared" si="1"/>
        <v/>
      </c>
      <c r="T60" s="39" t="str">
        <f t="shared" si="2"/>
        <v/>
      </c>
      <c r="U60" s="40" t="str">
        <f t="shared" si="3"/>
        <v/>
      </c>
      <c r="V60" s="34" t="str">
        <f t="shared" si="4"/>
        <v/>
      </c>
      <c r="W60" s="41" t="str">
        <f>IFERROR(__xludf.DUMMYFUNCTION(" IF(Account!$F60&lt;&gt;"""", SPLIT(Account!$F60, "" ""), """")"),"")</f>
        <v/>
      </c>
      <c r="X60" s="44"/>
      <c r="Y60" s="44"/>
      <c r="Z60" s="44"/>
      <c r="AA60" s="44"/>
      <c r="AB60" s="44"/>
      <c r="AC60" s="44"/>
      <c r="AD60" s="44"/>
      <c r="AE60" s="44"/>
      <c r="AF60" s="44"/>
      <c r="AG60" s="44"/>
      <c r="AH60" s="44"/>
      <c r="AI60" s="44"/>
      <c r="AJ60" s="44"/>
      <c r="AK60" s="44"/>
    </row>
    <row r="61">
      <c r="A61" s="20"/>
      <c r="B61" s="20"/>
      <c r="C61" s="20"/>
      <c r="D61" s="20"/>
      <c r="E61" s="20"/>
      <c r="F61" s="21"/>
      <c r="G61" s="20"/>
      <c r="H61" s="20"/>
      <c r="I61" s="20"/>
      <c r="J61" s="20"/>
      <c r="K61" s="20"/>
      <c r="L61" s="21"/>
      <c r="M61" s="33" t="str">
        <f>IFERROR(__xludf.DUMMYFUNCTION("IFS(W61=""Achat"",IFERROR(VALUE(X61),VALUE(REGEXREPLACE(T(X61),""[^0-9]"",""""))),W61=""Vente"",-IFERROR(VALUE(X61),VALUE(REGEXREPLACE(T(X61),""[^0-9]"",""""))),Y61=""Change"",0,Y61&lt;&gt;""Change"","""")"),"")</f>
        <v/>
      </c>
      <c r="N61" s="34" t="str">
        <f>IFERROR(__xludf.DUMMYFUNCTION("IF(Account!$F61&lt;&gt;"""", VALUE(REGEXREPLACE($I61, ""\,"", ""."")), """")"),"")</f>
        <v/>
      </c>
      <c r="O61" s="35" t="str">
        <f>IF(Account!$F61&lt;&gt;"", DATEVALUE(MID($A61,4,3) &amp; LEFT($A61,3) &amp; RIGHT($A61,4)) + TIMEVALUE($B61), "")</f>
        <v/>
      </c>
      <c r="P61" s="36" t="str">
        <f>IF(Account!$F61&lt;&gt;"", DATEVALUE(MID($C61,4,3) &amp; LEFT($C61,3) &amp; RIGHT($C61,4)), "")</f>
        <v/>
      </c>
      <c r="Q61" s="37" t="str">
        <f t="array" ref="Q61">IF($R61&lt;&gt;"",IFERROR(INDEX(ISIN!$B:$B,MATCH($R61,ISIN!$C:$C,0))),)</f>
        <v/>
      </c>
      <c r="R61" s="38" t="str">
        <f t="array" ref="R61">IF($E61&lt;&gt;"",IFERROR(INDEX(ISIN!$C:$C,MATCH($E61,ISIN!$A:$A,0)),IFERROR(INDEX($R62:$R1200,MATCH($K61,$K62:$K1200,0)))),IF(AND($Y61="change",$H61="EUR"),IF($O61=$O62,$R62,IF($O61=$O60,$R60)),IFERROR(INDEX($R62:$R1200,MATCH(SUBSTITUTE($I61,"-","",1),$K62:$K1200,0)))))</f>
        <v/>
      </c>
      <c r="S61" s="37" t="str">
        <f t="shared" si="1"/>
        <v/>
      </c>
      <c r="T61" s="39" t="str">
        <f t="shared" si="2"/>
        <v/>
      </c>
      <c r="U61" s="40" t="str">
        <f t="shared" si="3"/>
        <v/>
      </c>
      <c r="V61" s="34" t="str">
        <f t="shared" si="4"/>
        <v/>
      </c>
      <c r="W61" s="41" t="str">
        <f>IFERROR(__xludf.DUMMYFUNCTION(" IF(Account!$F61&lt;&gt;"""", SPLIT(Account!$F61, "" ""), """")"),"")</f>
        <v/>
      </c>
      <c r="X61" s="44"/>
      <c r="Y61" s="44"/>
      <c r="Z61" s="44"/>
      <c r="AA61" s="44"/>
      <c r="AB61" s="44"/>
      <c r="AC61" s="44"/>
      <c r="AD61" s="44"/>
      <c r="AE61" s="44"/>
      <c r="AF61" s="44"/>
      <c r="AG61" s="44"/>
      <c r="AH61" s="44"/>
      <c r="AI61" s="44"/>
      <c r="AJ61" s="44"/>
      <c r="AK61" s="44"/>
    </row>
    <row r="62">
      <c r="A62" s="20"/>
      <c r="B62" s="20"/>
      <c r="C62" s="20"/>
      <c r="D62" s="20"/>
      <c r="E62" s="20"/>
      <c r="F62" s="21"/>
      <c r="G62" s="20"/>
      <c r="H62" s="20"/>
      <c r="I62" s="20"/>
      <c r="J62" s="20"/>
      <c r="K62" s="20"/>
      <c r="L62" s="21"/>
      <c r="M62" s="33" t="str">
        <f>IFERROR(__xludf.DUMMYFUNCTION("IFS(W62=""Achat"",IFERROR(VALUE(X62),VALUE(REGEXREPLACE(T(X62),""[^0-9]"",""""))),W62=""Vente"",-IFERROR(VALUE(X62),VALUE(REGEXREPLACE(T(X62),""[^0-9]"",""""))),Y62=""Change"",0,Y62&lt;&gt;""Change"","""")"),"")</f>
        <v/>
      </c>
      <c r="N62" s="34" t="str">
        <f>IFERROR(__xludf.DUMMYFUNCTION("IF(Account!$F62&lt;&gt;"""", VALUE(REGEXREPLACE($I62, ""\,"", ""."")), """")"),"")</f>
        <v/>
      </c>
      <c r="O62" s="35" t="str">
        <f>IF(Account!$F62&lt;&gt;"", DATEVALUE(MID($A62,4,3) &amp; LEFT($A62,3) &amp; RIGHT($A62,4)) + TIMEVALUE($B62), "")</f>
        <v/>
      </c>
      <c r="P62" s="36" t="str">
        <f>IF(Account!$F62&lt;&gt;"", DATEVALUE(MID($C62,4,3) &amp; LEFT($C62,3) &amp; RIGHT($C62,4)), "")</f>
        <v/>
      </c>
      <c r="Q62" s="37" t="str">
        <f t="array" ref="Q62">IF($R62&lt;&gt;"",IFERROR(INDEX(ISIN!$B:$B,MATCH($R62,ISIN!$C:$C,0))),)</f>
        <v/>
      </c>
      <c r="R62" s="38" t="str">
        <f t="array" ref="R62">IF($E62&lt;&gt;"",IFERROR(INDEX(ISIN!$C:$C,MATCH($E62,ISIN!$A:$A,0)),IFERROR(INDEX($R63:$R1200,MATCH($K62,$K63:$K1200,0)))),IF(AND($Y62="change",$H62="EUR"),IF($O62=$O63,$R63,IF($O62=$O61,$R61)),IFERROR(INDEX($R63:$R1200,MATCH(SUBSTITUTE($I62,"-","",1),$K63:$K1200,0)))))</f>
        <v/>
      </c>
      <c r="S62" s="37" t="str">
        <f t="shared" si="1"/>
        <v/>
      </c>
      <c r="T62" s="39" t="str">
        <f t="shared" si="2"/>
        <v/>
      </c>
      <c r="U62" s="40" t="str">
        <f t="shared" si="3"/>
        <v/>
      </c>
      <c r="V62" s="34" t="str">
        <f t="shared" si="4"/>
        <v/>
      </c>
      <c r="W62" s="41" t="str">
        <f>IFERROR(__xludf.DUMMYFUNCTION(" IF(Account!$F62&lt;&gt;"""", SPLIT(Account!$F62, "" ""), """")"),"")</f>
        <v/>
      </c>
      <c r="X62" s="44"/>
      <c r="Y62" s="44"/>
      <c r="Z62" s="44"/>
      <c r="AA62" s="44"/>
      <c r="AB62" s="44"/>
      <c r="AC62" s="44"/>
      <c r="AD62" s="44"/>
      <c r="AE62" s="44"/>
      <c r="AF62" s="44"/>
      <c r="AG62" s="44"/>
      <c r="AH62" s="44"/>
      <c r="AI62" s="44"/>
      <c r="AJ62" s="44"/>
      <c r="AK62" s="44"/>
    </row>
    <row r="63">
      <c r="A63" s="20"/>
      <c r="B63" s="20"/>
      <c r="C63" s="20"/>
      <c r="D63" s="20"/>
      <c r="E63" s="20"/>
      <c r="F63" s="21"/>
      <c r="G63" s="20"/>
      <c r="H63" s="20"/>
      <c r="I63" s="20"/>
      <c r="J63" s="20"/>
      <c r="K63" s="20"/>
      <c r="L63" s="21"/>
      <c r="M63" s="33" t="str">
        <f>IFERROR(__xludf.DUMMYFUNCTION("IFS(W63=""Achat"",IFERROR(VALUE(X63),VALUE(REGEXREPLACE(T(X63),""[^0-9]"",""""))),W63=""Vente"",-IFERROR(VALUE(X63),VALUE(REGEXREPLACE(T(X63),""[^0-9]"",""""))),Y63=""Change"",0,Y63&lt;&gt;""Change"","""")"),"")</f>
        <v/>
      </c>
      <c r="N63" s="34" t="str">
        <f>IFERROR(__xludf.DUMMYFUNCTION("IF(Account!$F63&lt;&gt;"""", VALUE(REGEXREPLACE($I63, ""\,"", ""."")), """")"),"")</f>
        <v/>
      </c>
      <c r="O63" s="35" t="str">
        <f>IF(Account!$F63&lt;&gt;"", DATEVALUE(MID($A63,4,3) &amp; LEFT($A63,3) &amp; RIGHT($A63,4)) + TIMEVALUE($B63), "")</f>
        <v/>
      </c>
      <c r="P63" s="36" t="str">
        <f>IF(Account!$F63&lt;&gt;"", DATEVALUE(MID($C63,4,3) &amp; LEFT($C63,3) &amp; RIGHT($C63,4)), "")</f>
        <v/>
      </c>
      <c r="Q63" s="37" t="str">
        <f t="array" ref="Q63">IF($R63&lt;&gt;"",IFERROR(INDEX(ISIN!$B:$B,MATCH($R63,ISIN!$C:$C,0))),)</f>
        <v/>
      </c>
      <c r="R63" s="38" t="str">
        <f t="array" ref="R63">IF($E63&lt;&gt;"",IFERROR(INDEX(ISIN!$C:$C,MATCH($E63,ISIN!$A:$A,0)),IFERROR(INDEX($R64:$R1200,MATCH($K63,$K64:$K1200,0)))),IF(AND($Y63="change",$H63="EUR"),IF($O63=$O64,$R64,IF($O63=$O62,$R62)),IFERROR(INDEX($R64:$R1200,MATCH(SUBSTITUTE($I63,"-","",1),$K64:$K1200,0)))))</f>
        <v/>
      </c>
      <c r="S63" s="37" t="str">
        <f t="shared" si="1"/>
        <v/>
      </c>
      <c r="T63" s="39" t="str">
        <f t="shared" si="2"/>
        <v/>
      </c>
      <c r="U63" s="40" t="str">
        <f t="shared" si="3"/>
        <v/>
      </c>
      <c r="V63" s="34" t="str">
        <f t="shared" si="4"/>
        <v/>
      </c>
      <c r="W63" s="41" t="str">
        <f>IFERROR(__xludf.DUMMYFUNCTION(" IF(Account!$F63&lt;&gt;"""", SPLIT(Account!$F63, "" ""), """")"),"")</f>
        <v/>
      </c>
      <c r="X63" s="44"/>
      <c r="Y63" s="44"/>
      <c r="Z63" s="44"/>
      <c r="AA63" s="44"/>
      <c r="AB63" s="44"/>
      <c r="AC63" s="44"/>
      <c r="AD63" s="44"/>
      <c r="AE63" s="44"/>
      <c r="AF63" s="44"/>
      <c r="AG63" s="44"/>
      <c r="AH63" s="44"/>
      <c r="AI63" s="44"/>
      <c r="AJ63" s="44"/>
      <c r="AK63" s="44"/>
    </row>
    <row r="64">
      <c r="A64" s="20"/>
      <c r="B64" s="20"/>
      <c r="C64" s="20"/>
      <c r="D64" s="20"/>
      <c r="E64" s="20"/>
      <c r="F64" s="21"/>
      <c r="G64" s="20"/>
      <c r="H64" s="20"/>
      <c r="I64" s="20"/>
      <c r="J64" s="20"/>
      <c r="K64" s="20"/>
      <c r="L64" s="21"/>
      <c r="M64" s="33" t="str">
        <f>IFERROR(__xludf.DUMMYFUNCTION("IFS(W64=""Achat"",IFERROR(VALUE(X64),VALUE(REGEXREPLACE(T(X64),""[^0-9]"",""""))),W64=""Vente"",-IFERROR(VALUE(X64),VALUE(REGEXREPLACE(T(X64),""[^0-9]"",""""))),Y64=""Change"",0,Y64&lt;&gt;""Change"","""")"),"")</f>
        <v/>
      </c>
      <c r="N64" s="34" t="str">
        <f>IFERROR(__xludf.DUMMYFUNCTION("IF(Account!$F64&lt;&gt;"""", VALUE(REGEXREPLACE($I64, ""\,"", ""."")), """")"),"")</f>
        <v/>
      </c>
      <c r="O64" s="35" t="str">
        <f>IF(Account!$F64&lt;&gt;"", DATEVALUE(MID($A64,4,3) &amp; LEFT($A64,3) &amp; RIGHT($A64,4)) + TIMEVALUE($B64), "")</f>
        <v/>
      </c>
      <c r="P64" s="36" t="str">
        <f>IF(Account!$F64&lt;&gt;"", DATEVALUE(MID($C64,4,3) &amp; LEFT($C64,3) &amp; RIGHT($C64,4)), "")</f>
        <v/>
      </c>
      <c r="Q64" s="37" t="str">
        <f t="array" ref="Q64">IF($R64&lt;&gt;"",IFERROR(INDEX(ISIN!$B:$B,MATCH($R64,ISIN!$C:$C,0))),)</f>
        <v/>
      </c>
      <c r="R64" s="38" t="str">
        <f t="array" ref="R64">IF($E64&lt;&gt;"",IFERROR(INDEX(ISIN!$C:$C,MATCH($E64,ISIN!$A:$A,0)),IFERROR(INDEX($R65:$R1200,MATCH($K64,$K65:$K1200,0)))),IF(AND($Y64="change",$H64="EUR"),IF($O64=$O65,$R65,IF($O64=$O63,$R63)),IFERROR(INDEX($R65:$R1200,MATCH(SUBSTITUTE($I64,"-","",1),$K65:$K1200,0)))))</f>
        <v/>
      </c>
      <c r="S64" s="37" t="str">
        <f t="shared" si="1"/>
        <v/>
      </c>
      <c r="T64" s="39" t="str">
        <f t="shared" si="2"/>
        <v/>
      </c>
      <c r="U64" s="40" t="str">
        <f t="shared" si="3"/>
        <v/>
      </c>
      <c r="V64" s="34" t="str">
        <f t="shared" si="4"/>
        <v/>
      </c>
      <c r="W64" s="41" t="str">
        <f>IFERROR(__xludf.DUMMYFUNCTION(" IF(Account!$F64&lt;&gt;"""", SPLIT(Account!$F64, "" ""), """")"),"")</f>
        <v/>
      </c>
      <c r="X64" s="44"/>
      <c r="Y64" s="44"/>
      <c r="Z64" s="44"/>
      <c r="AA64" s="44"/>
      <c r="AB64" s="44"/>
      <c r="AC64" s="44"/>
      <c r="AD64" s="44"/>
      <c r="AE64" s="44"/>
      <c r="AF64" s="44"/>
      <c r="AG64" s="44"/>
      <c r="AH64" s="44"/>
      <c r="AI64" s="44"/>
      <c r="AJ64" s="44"/>
      <c r="AK64" s="44"/>
    </row>
    <row r="65">
      <c r="A65" s="20"/>
      <c r="B65" s="20"/>
      <c r="C65" s="20"/>
      <c r="D65" s="20"/>
      <c r="E65" s="20"/>
      <c r="F65" s="21"/>
      <c r="G65" s="20"/>
      <c r="H65" s="20"/>
      <c r="I65" s="20"/>
      <c r="J65" s="20"/>
      <c r="K65" s="20"/>
      <c r="L65" s="21"/>
      <c r="M65" s="33" t="str">
        <f>IFERROR(__xludf.DUMMYFUNCTION("IFS(W65=""Achat"",IFERROR(VALUE(X65),VALUE(REGEXREPLACE(T(X65),""[^0-9]"",""""))),W65=""Vente"",-IFERROR(VALUE(X65),VALUE(REGEXREPLACE(T(X65),""[^0-9]"",""""))),Y65=""Change"",0,Y65&lt;&gt;""Change"","""")"),"")</f>
        <v/>
      </c>
      <c r="N65" s="34" t="str">
        <f>IFERROR(__xludf.DUMMYFUNCTION("IF(Account!$F65&lt;&gt;"""", VALUE(REGEXREPLACE($I65, ""\,"", ""."")), """")"),"")</f>
        <v/>
      </c>
      <c r="O65" s="35" t="str">
        <f>IF(Account!$F65&lt;&gt;"", DATEVALUE(MID($A65,4,3) &amp; LEFT($A65,3) &amp; RIGHT($A65,4)) + TIMEVALUE($B65), "")</f>
        <v/>
      </c>
      <c r="P65" s="36" t="str">
        <f>IF(Account!$F65&lt;&gt;"", DATEVALUE(MID($C65,4,3) &amp; LEFT($C65,3) &amp; RIGHT($C65,4)), "")</f>
        <v/>
      </c>
      <c r="Q65" s="37" t="str">
        <f t="array" ref="Q65">IF($R65&lt;&gt;"",IFERROR(INDEX(ISIN!$B:$B,MATCH($R65,ISIN!$C:$C,0))),)</f>
        <v/>
      </c>
      <c r="R65" s="38" t="str">
        <f t="array" ref="R65">IF($E65&lt;&gt;"",IFERROR(INDEX(ISIN!$C:$C,MATCH($E65,ISIN!$A:$A,0)),IFERROR(INDEX($R66:$R1200,MATCH($K65,$K66:$K1200,0)))),IF(AND($Y65="change",$H65="EUR"),IF($O65=$O66,$R66,IF($O65=$O64,$R64)),IFERROR(INDEX($R66:$R1200,MATCH(SUBSTITUTE($I65,"-","",1),$K66:$K1200,0)))))</f>
        <v/>
      </c>
      <c r="S65" s="37" t="str">
        <f t="shared" si="1"/>
        <v/>
      </c>
      <c r="T65" s="39" t="str">
        <f t="shared" si="2"/>
        <v/>
      </c>
      <c r="U65" s="40" t="str">
        <f t="shared" si="3"/>
        <v/>
      </c>
      <c r="V65" s="34" t="str">
        <f t="shared" si="4"/>
        <v/>
      </c>
      <c r="W65" s="41" t="str">
        <f>IFERROR(__xludf.DUMMYFUNCTION(" IF(Account!$F65&lt;&gt;"""", SPLIT(Account!$F65, "" ""), """")"),"")</f>
        <v/>
      </c>
      <c r="X65" s="44"/>
      <c r="Y65" s="44"/>
      <c r="Z65" s="44"/>
      <c r="AA65" s="44"/>
      <c r="AB65" s="44"/>
      <c r="AC65" s="44"/>
      <c r="AD65" s="44"/>
      <c r="AE65" s="44"/>
      <c r="AF65" s="44"/>
      <c r="AG65" s="44"/>
      <c r="AH65" s="44"/>
      <c r="AI65" s="44"/>
      <c r="AJ65" s="44"/>
      <c r="AK65" s="44"/>
    </row>
    <row r="66">
      <c r="A66" s="20"/>
      <c r="B66" s="20"/>
      <c r="C66" s="20"/>
      <c r="D66" s="20"/>
      <c r="E66" s="20"/>
      <c r="F66" s="21"/>
      <c r="G66" s="20"/>
      <c r="H66" s="20"/>
      <c r="I66" s="20"/>
      <c r="J66" s="20"/>
      <c r="K66" s="20"/>
      <c r="L66" s="21"/>
      <c r="M66" s="33" t="str">
        <f>IFERROR(__xludf.DUMMYFUNCTION("IFS(W66=""Achat"",IFERROR(VALUE(X66),VALUE(REGEXREPLACE(T(X66),""[^0-9]"",""""))),W66=""Vente"",-IFERROR(VALUE(X66),VALUE(REGEXREPLACE(T(X66),""[^0-9]"",""""))),Y66=""Change"",0,Y66&lt;&gt;""Change"","""")"),"")</f>
        <v/>
      </c>
      <c r="N66" s="34" t="str">
        <f>IFERROR(__xludf.DUMMYFUNCTION("IF(Account!$F66&lt;&gt;"""", VALUE(REGEXREPLACE($I66, ""\,"", ""."")), """")"),"")</f>
        <v/>
      </c>
      <c r="O66" s="35" t="str">
        <f>IF(Account!$F66&lt;&gt;"", DATEVALUE(MID($A66,4,3) &amp; LEFT($A66,3) &amp; RIGHT($A66,4)) + TIMEVALUE($B66), "")</f>
        <v/>
      </c>
      <c r="P66" s="36" t="str">
        <f>IF(Account!$F66&lt;&gt;"", DATEVALUE(MID($C66,4,3) &amp; LEFT($C66,3) &amp; RIGHT($C66,4)), "")</f>
        <v/>
      </c>
      <c r="Q66" s="37" t="str">
        <f t="array" ref="Q66">IF($R66&lt;&gt;"",IFERROR(INDEX(ISIN!$B:$B,MATCH($R66,ISIN!$C:$C,0))),)</f>
        <v/>
      </c>
      <c r="R66" s="38" t="str">
        <f t="array" ref="R66">IF($E66&lt;&gt;"",IFERROR(INDEX(ISIN!$C:$C,MATCH($E66,ISIN!$A:$A,0)),IFERROR(INDEX($R67:$R1200,MATCH($K66,$K67:$K1200,0)))),IF(AND($Y66="change",$H66="EUR"),IF($O66=$O67,$R67,IF($O66=$O65,$R65)),IFERROR(INDEX($R67:$R1200,MATCH(SUBSTITUTE($I66,"-","",1),$K67:$K1200,0)))))</f>
        <v/>
      </c>
      <c r="S66" s="37" t="str">
        <f t="shared" si="1"/>
        <v/>
      </c>
      <c r="T66" s="39" t="str">
        <f t="shared" si="2"/>
        <v/>
      </c>
      <c r="U66" s="40" t="str">
        <f t="shared" si="3"/>
        <v/>
      </c>
      <c r="V66" s="34" t="str">
        <f t="shared" si="4"/>
        <v/>
      </c>
      <c r="W66" s="41" t="str">
        <f>IFERROR(__xludf.DUMMYFUNCTION(" IF(Account!$F66&lt;&gt;"""", SPLIT(Account!$F66, "" ""), """")"),"")</f>
        <v/>
      </c>
      <c r="X66" s="44"/>
      <c r="Y66" s="44"/>
      <c r="Z66" s="44"/>
      <c r="AA66" s="44"/>
      <c r="AB66" s="44"/>
      <c r="AC66" s="44"/>
      <c r="AD66" s="44"/>
      <c r="AE66" s="44"/>
      <c r="AF66" s="44"/>
      <c r="AG66" s="44"/>
      <c r="AH66" s="44"/>
      <c r="AI66" s="44"/>
      <c r="AJ66" s="44"/>
      <c r="AK66" s="44"/>
    </row>
    <row r="67">
      <c r="A67" s="20"/>
      <c r="B67" s="20"/>
      <c r="C67" s="20"/>
      <c r="D67" s="20"/>
      <c r="E67" s="20"/>
      <c r="F67" s="21"/>
      <c r="G67" s="20"/>
      <c r="H67" s="20"/>
      <c r="I67" s="20"/>
      <c r="J67" s="20"/>
      <c r="K67" s="20"/>
      <c r="L67" s="21"/>
      <c r="M67" s="33" t="str">
        <f>IFERROR(__xludf.DUMMYFUNCTION("IFS(W67=""Achat"",IFERROR(VALUE(X67),VALUE(REGEXREPLACE(T(X67),""[^0-9]"",""""))),W67=""Vente"",-IFERROR(VALUE(X67),VALUE(REGEXREPLACE(T(X67),""[^0-9]"",""""))),Y67=""Change"",0,Y67&lt;&gt;""Change"","""")"),"")</f>
        <v/>
      </c>
      <c r="N67" s="34" t="str">
        <f>IFERROR(__xludf.DUMMYFUNCTION("IF(Account!$F67&lt;&gt;"""", VALUE(REGEXREPLACE($I67, ""\,"", ""."")), """")"),"")</f>
        <v/>
      </c>
      <c r="O67" s="35" t="str">
        <f>IF(Account!$F67&lt;&gt;"", DATEVALUE(MID($A67,4,3) &amp; LEFT($A67,3) &amp; RIGHT($A67,4)) + TIMEVALUE($B67), "")</f>
        <v/>
      </c>
      <c r="P67" s="36" t="str">
        <f>IF(Account!$F67&lt;&gt;"", DATEVALUE(MID($C67,4,3) &amp; LEFT($C67,3) &amp; RIGHT($C67,4)), "")</f>
        <v/>
      </c>
      <c r="Q67" s="37" t="str">
        <f t="array" ref="Q67">IF($R67&lt;&gt;"",IFERROR(INDEX(ISIN!$B:$B,MATCH($R67,ISIN!$C:$C,0))),)</f>
        <v/>
      </c>
      <c r="R67" s="38" t="str">
        <f t="array" ref="R67">IF($E67&lt;&gt;"",IFERROR(INDEX(ISIN!$C:$C,MATCH($E67,ISIN!$A:$A,0)),IFERROR(INDEX($R68:$R1200,MATCH($K67,$K68:$K1200,0)))),IF(AND($Y67="change",$H67="EUR"),IF($O67=$O68,$R68,IF($O67=$O66,$R66)),IFERROR(INDEX($R68:$R1200,MATCH(SUBSTITUTE($I67,"-","",1),$K68:$K1200,0)))))</f>
        <v/>
      </c>
      <c r="S67" s="37" t="str">
        <f t="shared" si="1"/>
        <v/>
      </c>
      <c r="T67" s="39" t="str">
        <f t="shared" si="2"/>
        <v/>
      </c>
      <c r="U67" s="40" t="str">
        <f t="shared" si="3"/>
        <v/>
      </c>
      <c r="V67" s="34" t="str">
        <f t="shared" si="4"/>
        <v/>
      </c>
      <c r="W67" s="41" t="str">
        <f>IFERROR(__xludf.DUMMYFUNCTION(" IF(Account!$F67&lt;&gt;"""", SPLIT(Account!$F67, "" ""), """")"),"")</f>
        <v/>
      </c>
      <c r="X67" s="44"/>
      <c r="Y67" s="44"/>
      <c r="Z67" s="44"/>
      <c r="AA67" s="44"/>
      <c r="AB67" s="44"/>
      <c r="AC67" s="44"/>
      <c r="AD67" s="44"/>
      <c r="AE67" s="44"/>
      <c r="AF67" s="44"/>
      <c r="AG67" s="44"/>
      <c r="AH67" s="44"/>
      <c r="AI67" s="44"/>
      <c r="AJ67" s="44"/>
      <c r="AK67" s="44"/>
    </row>
    <row r="68">
      <c r="A68" s="20"/>
      <c r="B68" s="20"/>
      <c r="C68" s="20"/>
      <c r="D68" s="20"/>
      <c r="E68" s="20"/>
      <c r="F68" s="21"/>
      <c r="G68" s="20"/>
      <c r="H68" s="20"/>
      <c r="I68" s="20"/>
      <c r="J68" s="20"/>
      <c r="K68" s="20"/>
      <c r="L68" s="21"/>
      <c r="M68" s="33" t="str">
        <f>IFERROR(__xludf.DUMMYFUNCTION("IFS(W68=""Achat"",IFERROR(VALUE(X68),VALUE(REGEXREPLACE(T(X68),""[^0-9]"",""""))),W68=""Vente"",-IFERROR(VALUE(X68),VALUE(REGEXREPLACE(T(X68),""[^0-9]"",""""))),Y68=""Change"",0,Y68&lt;&gt;""Change"","""")"),"")</f>
        <v/>
      </c>
      <c r="N68" s="34" t="str">
        <f>IFERROR(__xludf.DUMMYFUNCTION("IF(Account!$F68&lt;&gt;"""", VALUE(REGEXREPLACE($I68, ""\,"", ""."")), """")"),"")</f>
        <v/>
      </c>
      <c r="O68" s="35" t="str">
        <f>IF(Account!$F68&lt;&gt;"", DATEVALUE(MID($A68,4,3) &amp; LEFT($A68,3) &amp; RIGHT($A68,4)) + TIMEVALUE($B68), "")</f>
        <v/>
      </c>
      <c r="P68" s="36" t="str">
        <f>IF(Account!$F68&lt;&gt;"", DATEVALUE(MID($C68,4,3) &amp; LEFT($C68,3) &amp; RIGHT($C68,4)), "")</f>
        <v/>
      </c>
      <c r="Q68" s="37" t="str">
        <f t="array" ref="Q68">IF($R68&lt;&gt;"",IFERROR(INDEX(ISIN!$B:$B,MATCH($R68,ISIN!$C:$C,0))),)</f>
        <v/>
      </c>
      <c r="R68" s="38" t="str">
        <f t="array" ref="R68">IF($E68&lt;&gt;"",IFERROR(INDEX(ISIN!$C:$C,MATCH($E68,ISIN!$A:$A,0)),IFERROR(INDEX($R69:$R1200,MATCH($K68,$K69:$K1200,0)))),IF(AND($Y68="change",$H68="EUR"),IF($O68=$O69,$R69,IF($O68=$O67,$R67)),IFERROR(INDEX($R69:$R1200,MATCH(SUBSTITUTE($I68,"-","",1),$K69:$K1200,0)))))</f>
        <v/>
      </c>
      <c r="S68" s="37" t="str">
        <f t="shared" si="1"/>
        <v/>
      </c>
      <c r="T68" s="39" t="str">
        <f t="shared" si="2"/>
        <v/>
      </c>
      <c r="U68" s="40" t="str">
        <f t="shared" si="3"/>
        <v/>
      </c>
      <c r="V68" s="34" t="str">
        <f t="shared" si="4"/>
        <v/>
      </c>
      <c r="W68" s="41" t="str">
        <f>IFERROR(__xludf.DUMMYFUNCTION(" IF(Account!$F68&lt;&gt;"""", SPLIT(Account!$F68, "" ""), """")"),"")</f>
        <v/>
      </c>
      <c r="X68" s="44"/>
      <c r="Y68" s="44"/>
      <c r="Z68" s="44"/>
      <c r="AA68" s="44"/>
      <c r="AB68" s="44"/>
      <c r="AC68" s="44"/>
      <c r="AD68" s="44"/>
      <c r="AE68" s="44"/>
      <c r="AF68" s="44"/>
      <c r="AG68" s="44"/>
      <c r="AH68" s="44"/>
      <c r="AI68" s="44"/>
      <c r="AJ68" s="44"/>
      <c r="AK68" s="44"/>
    </row>
    <row r="69">
      <c r="A69" s="20"/>
      <c r="B69" s="20"/>
      <c r="C69" s="20"/>
      <c r="D69" s="20"/>
      <c r="E69" s="20"/>
      <c r="F69" s="21"/>
      <c r="G69" s="20"/>
      <c r="H69" s="20"/>
      <c r="I69" s="20"/>
      <c r="J69" s="20"/>
      <c r="K69" s="20"/>
      <c r="L69" s="21"/>
      <c r="M69" s="33" t="str">
        <f>IFERROR(__xludf.DUMMYFUNCTION("IFS(W69=""Achat"",IFERROR(VALUE(X69),VALUE(REGEXREPLACE(T(X69),""[^0-9]"",""""))),W69=""Vente"",-IFERROR(VALUE(X69),VALUE(REGEXREPLACE(T(X69),""[^0-9]"",""""))),Y69=""Change"",0,Y69&lt;&gt;""Change"","""")"),"")</f>
        <v/>
      </c>
      <c r="N69" s="34" t="str">
        <f>IFERROR(__xludf.DUMMYFUNCTION("IF(Account!$F69&lt;&gt;"""", VALUE(REGEXREPLACE($I69, ""\,"", ""."")), """")"),"")</f>
        <v/>
      </c>
      <c r="O69" s="35" t="str">
        <f>IF(Account!$F69&lt;&gt;"", DATEVALUE(MID($A69,4,3) &amp; LEFT($A69,3) &amp; RIGHT($A69,4)) + TIMEVALUE($B69), "")</f>
        <v/>
      </c>
      <c r="P69" s="36" t="str">
        <f>IF(Account!$F69&lt;&gt;"", DATEVALUE(MID($C69,4,3) &amp; LEFT($C69,3) &amp; RIGHT($C69,4)), "")</f>
        <v/>
      </c>
      <c r="Q69" s="37" t="str">
        <f t="array" ref="Q69">IF($R69&lt;&gt;"",IFERROR(INDEX(ISIN!$B:$B,MATCH($R69,ISIN!$C:$C,0))),)</f>
        <v/>
      </c>
      <c r="R69" s="38" t="str">
        <f t="array" ref="R69">IF($E69&lt;&gt;"",IFERROR(INDEX(ISIN!$C:$C,MATCH($E69,ISIN!$A:$A,0)),IFERROR(INDEX($R70:$R1200,MATCH($K69,$K70:$K1200,0)))),IF(AND($Y69="change",$H69="EUR"),IF($O69=$O70,$R70,IF($O69=$O68,$R68)),IFERROR(INDEX($R70:$R1200,MATCH(SUBSTITUTE($I69,"-","",1),$K70:$K1200,0)))))</f>
        <v/>
      </c>
      <c r="S69" s="37" t="str">
        <f t="shared" si="1"/>
        <v/>
      </c>
      <c r="T69" s="39" t="str">
        <f t="shared" si="2"/>
        <v/>
      </c>
      <c r="U69" s="40" t="str">
        <f t="shared" si="3"/>
        <v/>
      </c>
      <c r="V69" s="34" t="str">
        <f t="shared" si="4"/>
        <v/>
      </c>
      <c r="W69" s="41" t="str">
        <f>IFERROR(__xludf.DUMMYFUNCTION(" IF(Account!$F69&lt;&gt;"""", SPLIT(Account!$F69, "" ""), """")"),"")</f>
        <v/>
      </c>
      <c r="X69" s="44"/>
      <c r="Y69" s="44"/>
      <c r="Z69" s="44"/>
      <c r="AA69" s="44"/>
      <c r="AB69" s="44"/>
      <c r="AC69" s="44"/>
      <c r="AD69" s="44"/>
      <c r="AE69" s="44"/>
      <c r="AF69" s="44"/>
      <c r="AG69" s="44"/>
      <c r="AH69" s="44"/>
      <c r="AI69" s="44"/>
      <c r="AJ69" s="44"/>
      <c r="AK69" s="44"/>
    </row>
    <row r="70">
      <c r="A70" s="20"/>
      <c r="B70" s="20"/>
      <c r="C70" s="20"/>
      <c r="D70" s="20"/>
      <c r="E70" s="20"/>
      <c r="F70" s="21"/>
      <c r="G70" s="20"/>
      <c r="H70" s="20"/>
      <c r="I70" s="20"/>
      <c r="J70" s="20"/>
      <c r="K70" s="20"/>
      <c r="L70" s="21"/>
      <c r="M70" s="33" t="str">
        <f>IFERROR(__xludf.DUMMYFUNCTION("IFS(W70=""Achat"",IFERROR(VALUE(X70),VALUE(REGEXREPLACE(T(X70),""[^0-9]"",""""))),W70=""Vente"",-IFERROR(VALUE(X70),VALUE(REGEXREPLACE(T(X70),""[^0-9]"",""""))),Y70=""Change"",0,Y70&lt;&gt;""Change"","""")"),"")</f>
        <v/>
      </c>
      <c r="N70" s="34" t="str">
        <f>IFERROR(__xludf.DUMMYFUNCTION("IF(Account!$F70&lt;&gt;"""", VALUE(REGEXREPLACE($I70, ""\,"", ""."")), """")"),"")</f>
        <v/>
      </c>
      <c r="O70" s="35" t="str">
        <f>IF(Account!$F70&lt;&gt;"", DATEVALUE(MID($A70,4,3) &amp; LEFT($A70,3) &amp; RIGHT($A70,4)) + TIMEVALUE($B70), "")</f>
        <v/>
      </c>
      <c r="P70" s="36" t="str">
        <f>IF(Account!$F70&lt;&gt;"", DATEVALUE(MID($C70,4,3) &amp; LEFT($C70,3) &amp; RIGHT($C70,4)), "")</f>
        <v/>
      </c>
      <c r="Q70" s="37" t="str">
        <f t="array" ref="Q70">IF($R70&lt;&gt;"",IFERROR(INDEX(ISIN!$B:$B,MATCH($R70,ISIN!$C:$C,0))),)</f>
        <v/>
      </c>
      <c r="R70" s="38" t="str">
        <f t="array" ref="R70">IF($E70&lt;&gt;"",IFERROR(INDEX(ISIN!$C:$C,MATCH($E70,ISIN!$A:$A,0)),IFERROR(INDEX($R71:$R1200,MATCH($K70,$K71:$K1200,0)))),IF(AND($Y70="change",$H70="EUR"),IF($O70=$O71,$R71,IF($O70=$O69,$R69)),IFERROR(INDEX($R71:$R1200,MATCH(SUBSTITUTE($I70,"-","",1),$K71:$K1200,0)))))</f>
        <v/>
      </c>
      <c r="S70" s="37" t="str">
        <f t="shared" si="1"/>
        <v/>
      </c>
      <c r="T70" s="39" t="str">
        <f t="shared" si="2"/>
        <v/>
      </c>
      <c r="U70" s="40" t="str">
        <f t="shared" si="3"/>
        <v/>
      </c>
      <c r="V70" s="34" t="str">
        <f t="shared" si="4"/>
        <v/>
      </c>
      <c r="W70" s="41" t="str">
        <f>IFERROR(__xludf.DUMMYFUNCTION(" IF(Account!$F70&lt;&gt;"""", SPLIT(Account!$F70, "" ""), """")"),"")</f>
        <v/>
      </c>
      <c r="X70" s="44"/>
      <c r="Y70" s="44"/>
      <c r="Z70" s="44"/>
      <c r="AA70" s="44"/>
      <c r="AB70" s="44"/>
      <c r="AC70" s="44"/>
      <c r="AD70" s="44"/>
      <c r="AE70" s="44"/>
      <c r="AF70" s="44"/>
      <c r="AG70" s="44"/>
      <c r="AH70" s="44"/>
      <c r="AI70" s="44"/>
      <c r="AJ70" s="44"/>
      <c r="AK70" s="44"/>
    </row>
    <row r="71">
      <c r="A71" s="20"/>
      <c r="B71" s="20"/>
      <c r="C71" s="20"/>
      <c r="D71" s="20"/>
      <c r="E71" s="20"/>
      <c r="F71" s="21"/>
      <c r="G71" s="20"/>
      <c r="H71" s="20"/>
      <c r="I71" s="20"/>
      <c r="J71" s="20"/>
      <c r="K71" s="20"/>
      <c r="L71" s="21"/>
      <c r="M71" s="33" t="str">
        <f>IFERROR(__xludf.DUMMYFUNCTION("IFS(W71=""Achat"",IFERROR(VALUE(X71),VALUE(REGEXREPLACE(T(X71),""[^0-9]"",""""))),W71=""Vente"",-IFERROR(VALUE(X71),VALUE(REGEXREPLACE(T(X71),""[^0-9]"",""""))),Y71=""Change"",0,Y71&lt;&gt;""Change"","""")"),"")</f>
        <v/>
      </c>
      <c r="N71" s="34" t="str">
        <f>IFERROR(__xludf.DUMMYFUNCTION("IF(Account!$F71&lt;&gt;"""", VALUE(REGEXREPLACE($I71, ""\,"", ""."")), """")"),"")</f>
        <v/>
      </c>
      <c r="O71" s="35" t="str">
        <f>IF(Account!$F71&lt;&gt;"", DATEVALUE(MID($A71,4,3) &amp; LEFT($A71,3) &amp; RIGHT($A71,4)) + TIMEVALUE($B71), "")</f>
        <v/>
      </c>
      <c r="P71" s="36" t="str">
        <f>IF(Account!$F71&lt;&gt;"", DATEVALUE(MID($C71,4,3) &amp; LEFT($C71,3) &amp; RIGHT($C71,4)), "")</f>
        <v/>
      </c>
      <c r="Q71" s="37" t="str">
        <f t="array" ref="Q71">IF($R71&lt;&gt;"",IFERROR(INDEX(ISIN!$B:$B,MATCH($R71,ISIN!$C:$C,0))),)</f>
        <v/>
      </c>
      <c r="R71" s="38" t="str">
        <f t="array" ref="R71">IF($E71&lt;&gt;"",IFERROR(INDEX(ISIN!$C:$C,MATCH($E71,ISIN!$A:$A,0)),IFERROR(INDEX($R72:$R1200,MATCH($K71,$K72:$K1200,0)))),IF(AND($Y71="change",$H71="EUR"),IF($O71=$O72,$R72,IF($O71=$O70,$R70)),IFERROR(INDEX($R72:$R1200,MATCH(SUBSTITUTE($I71,"-","",1),$K72:$K1200,0)))))</f>
        <v/>
      </c>
      <c r="S71" s="37" t="str">
        <f t="shared" si="1"/>
        <v/>
      </c>
      <c r="T71" s="39" t="str">
        <f t="shared" si="2"/>
        <v/>
      </c>
      <c r="U71" s="40" t="str">
        <f t="shared" si="3"/>
        <v/>
      </c>
      <c r="V71" s="34" t="str">
        <f t="shared" si="4"/>
        <v/>
      </c>
      <c r="W71" s="41" t="str">
        <f>IFERROR(__xludf.DUMMYFUNCTION(" IF(Account!$F71&lt;&gt;"""", SPLIT(Account!$F71, "" ""), """")"),"")</f>
        <v/>
      </c>
      <c r="X71" s="44"/>
      <c r="Y71" s="44"/>
      <c r="Z71" s="44"/>
      <c r="AA71" s="44"/>
      <c r="AB71" s="44"/>
      <c r="AC71" s="44"/>
      <c r="AD71" s="44"/>
      <c r="AE71" s="44"/>
      <c r="AF71" s="44"/>
      <c r="AG71" s="44"/>
      <c r="AH71" s="44"/>
      <c r="AI71" s="44"/>
      <c r="AJ71" s="44"/>
      <c r="AK71" s="44"/>
    </row>
    <row r="72">
      <c r="A72" s="20"/>
      <c r="B72" s="20"/>
      <c r="C72" s="20"/>
      <c r="D72" s="20"/>
      <c r="E72" s="20"/>
      <c r="F72" s="21"/>
      <c r="G72" s="20"/>
      <c r="H72" s="20"/>
      <c r="I72" s="20"/>
      <c r="J72" s="20"/>
      <c r="K72" s="20"/>
      <c r="L72" s="21"/>
      <c r="M72" s="33" t="str">
        <f>IFERROR(__xludf.DUMMYFUNCTION("IFS(W72=""Achat"",IFERROR(VALUE(X72),VALUE(REGEXREPLACE(T(X72),""[^0-9]"",""""))),W72=""Vente"",-IFERROR(VALUE(X72),VALUE(REGEXREPLACE(T(X72),""[^0-9]"",""""))),Y72=""Change"",0,Y72&lt;&gt;""Change"","""")"),"")</f>
        <v/>
      </c>
      <c r="N72" s="34" t="str">
        <f>IFERROR(__xludf.DUMMYFUNCTION("IF(Account!$F72&lt;&gt;"""", VALUE(REGEXREPLACE($I72, ""\,"", ""."")), """")"),"")</f>
        <v/>
      </c>
      <c r="O72" s="35" t="str">
        <f>IF(Account!$F72&lt;&gt;"", DATEVALUE(MID($A72,4,3) &amp; LEFT($A72,3) &amp; RIGHT($A72,4)) + TIMEVALUE($B72), "")</f>
        <v/>
      </c>
      <c r="P72" s="36" t="str">
        <f>IF(Account!$F72&lt;&gt;"", DATEVALUE(MID($C72,4,3) &amp; LEFT($C72,3) &amp; RIGHT($C72,4)), "")</f>
        <v/>
      </c>
      <c r="Q72" s="37" t="str">
        <f t="array" ref="Q72">IF($R72&lt;&gt;"",IFERROR(INDEX(ISIN!$B:$B,MATCH($R72,ISIN!$C:$C,0))),)</f>
        <v/>
      </c>
      <c r="R72" s="38" t="str">
        <f t="array" ref="R72">IF($E72&lt;&gt;"",IFERROR(INDEX(ISIN!$C:$C,MATCH($E72,ISIN!$A:$A,0)),IFERROR(INDEX($R73:$R1200,MATCH($K72,$K73:$K1200,0)))),IF(AND($Y72="change",$H72="EUR"),IF($O72=$O73,$R73,IF($O72=$O71,$R71)),IFERROR(INDEX($R73:$R1200,MATCH(SUBSTITUTE($I72,"-","",1),$K73:$K1200,0)))))</f>
        <v/>
      </c>
      <c r="S72" s="37" t="str">
        <f t="shared" si="1"/>
        <v/>
      </c>
      <c r="T72" s="39" t="str">
        <f t="shared" si="2"/>
        <v/>
      </c>
      <c r="U72" s="40" t="str">
        <f t="shared" si="3"/>
        <v/>
      </c>
      <c r="V72" s="34" t="str">
        <f t="shared" si="4"/>
        <v/>
      </c>
      <c r="W72" s="41" t="str">
        <f>IFERROR(__xludf.DUMMYFUNCTION(" IF(Account!$F72&lt;&gt;"""", SPLIT(Account!$F72, "" ""), """")"),"")</f>
        <v/>
      </c>
      <c r="X72" s="44"/>
      <c r="Y72" s="44"/>
      <c r="Z72" s="44"/>
      <c r="AA72" s="44"/>
      <c r="AB72" s="44"/>
      <c r="AC72" s="44"/>
      <c r="AD72" s="44"/>
      <c r="AE72" s="44"/>
      <c r="AF72" s="44"/>
      <c r="AG72" s="44"/>
      <c r="AH72" s="44"/>
      <c r="AI72" s="44"/>
      <c r="AJ72" s="44"/>
      <c r="AK72" s="44"/>
    </row>
    <row r="73">
      <c r="A73" s="20"/>
      <c r="B73" s="20"/>
      <c r="C73" s="20"/>
      <c r="D73" s="20"/>
      <c r="E73" s="20"/>
      <c r="F73" s="21"/>
      <c r="G73" s="20"/>
      <c r="H73" s="20"/>
      <c r="I73" s="20"/>
      <c r="J73" s="20"/>
      <c r="K73" s="20"/>
      <c r="L73" s="21"/>
      <c r="M73" s="33" t="str">
        <f>IFERROR(__xludf.DUMMYFUNCTION("IFS(W73=""Achat"",IFERROR(VALUE(X73),VALUE(REGEXREPLACE(T(X73),""[^0-9]"",""""))),W73=""Vente"",-IFERROR(VALUE(X73),VALUE(REGEXREPLACE(T(X73),""[^0-9]"",""""))),Y73=""Change"",0,Y73&lt;&gt;""Change"","""")"),"")</f>
        <v/>
      </c>
      <c r="N73" s="34" t="str">
        <f>IFERROR(__xludf.DUMMYFUNCTION("IF(Account!$F73&lt;&gt;"""", VALUE(REGEXREPLACE($I73, ""\,"", ""."")), """")"),"")</f>
        <v/>
      </c>
      <c r="O73" s="35" t="str">
        <f>IF(Account!$F73&lt;&gt;"", DATEVALUE(MID($A73,4,3) &amp; LEFT($A73,3) &amp; RIGHT($A73,4)) + TIMEVALUE($B73), "")</f>
        <v/>
      </c>
      <c r="P73" s="36" t="str">
        <f>IF(Account!$F73&lt;&gt;"", DATEVALUE(MID($C73,4,3) &amp; LEFT($C73,3) &amp; RIGHT($C73,4)), "")</f>
        <v/>
      </c>
      <c r="Q73" s="37" t="str">
        <f t="array" ref="Q73">IF($R73&lt;&gt;"",IFERROR(INDEX(ISIN!$B:$B,MATCH($R73,ISIN!$C:$C,0))),)</f>
        <v/>
      </c>
      <c r="R73" s="38" t="str">
        <f t="array" ref="R73">IF($E73&lt;&gt;"",IFERROR(INDEX(ISIN!$C:$C,MATCH($E73,ISIN!$A:$A,0)),IFERROR(INDEX($R74:$R1200,MATCH($K73,$K74:$K1200,0)))),IF(AND($Y73="change",$H73="EUR"),IF($O73=$O74,$R74,IF($O73=$O72,$R72)),IFERROR(INDEX($R74:$R1200,MATCH(SUBSTITUTE($I73,"-","",1),$K74:$K1200,0)))))</f>
        <v/>
      </c>
      <c r="S73" s="37" t="str">
        <f t="shared" si="1"/>
        <v/>
      </c>
      <c r="T73" s="39" t="str">
        <f t="shared" si="2"/>
        <v/>
      </c>
      <c r="U73" s="40" t="str">
        <f t="shared" si="3"/>
        <v/>
      </c>
      <c r="V73" s="34" t="str">
        <f t="shared" si="4"/>
        <v/>
      </c>
      <c r="W73" s="41" t="str">
        <f>IFERROR(__xludf.DUMMYFUNCTION(" IF(Account!$F73&lt;&gt;"""", SPLIT(Account!$F73, "" ""), """")"),"")</f>
        <v/>
      </c>
      <c r="X73" s="44"/>
      <c r="Y73" s="44"/>
      <c r="Z73" s="44"/>
      <c r="AA73" s="44"/>
      <c r="AB73" s="44"/>
      <c r="AC73" s="44"/>
      <c r="AD73" s="44"/>
      <c r="AE73" s="44"/>
      <c r="AF73" s="44"/>
      <c r="AG73" s="44"/>
      <c r="AH73" s="44"/>
      <c r="AI73" s="44"/>
      <c r="AJ73" s="44"/>
      <c r="AK73" s="44"/>
    </row>
    <row r="74">
      <c r="A74" s="20"/>
      <c r="B74" s="20"/>
      <c r="C74" s="20"/>
      <c r="D74" s="20"/>
      <c r="E74" s="20"/>
      <c r="F74" s="21"/>
      <c r="G74" s="20"/>
      <c r="H74" s="20"/>
      <c r="I74" s="20"/>
      <c r="J74" s="20"/>
      <c r="K74" s="20"/>
      <c r="L74" s="21"/>
      <c r="M74" s="33" t="str">
        <f>IFERROR(__xludf.DUMMYFUNCTION("IFS(W74=""Achat"",IFERROR(VALUE(X74),VALUE(REGEXREPLACE(T(X74),""[^0-9]"",""""))),W74=""Vente"",-IFERROR(VALUE(X74),VALUE(REGEXREPLACE(T(X74),""[^0-9]"",""""))),Y74=""Change"",0,Y74&lt;&gt;""Change"","""")"),"")</f>
        <v/>
      </c>
      <c r="N74" s="34" t="str">
        <f>IFERROR(__xludf.DUMMYFUNCTION("IF(Account!$F74&lt;&gt;"""", VALUE(REGEXREPLACE($I74, ""\,"", ""."")), """")"),"")</f>
        <v/>
      </c>
      <c r="O74" s="35" t="str">
        <f>IF(Account!$F74&lt;&gt;"", DATEVALUE(MID($A74,4,3) &amp; LEFT($A74,3) &amp; RIGHT($A74,4)) + TIMEVALUE($B74), "")</f>
        <v/>
      </c>
      <c r="P74" s="36" t="str">
        <f>IF(Account!$F74&lt;&gt;"", DATEVALUE(MID($C74,4,3) &amp; LEFT($C74,3) &amp; RIGHT($C74,4)), "")</f>
        <v/>
      </c>
      <c r="Q74" s="37" t="str">
        <f t="array" ref="Q74">IF($R74&lt;&gt;"",IFERROR(INDEX(ISIN!$B:$B,MATCH($R74,ISIN!$C:$C,0))),)</f>
        <v/>
      </c>
      <c r="R74" s="38" t="str">
        <f t="array" ref="R74">IF($E74&lt;&gt;"",IFERROR(INDEX(ISIN!$C:$C,MATCH($E74,ISIN!$A:$A,0)),IFERROR(INDEX($R75:$R1200,MATCH($K74,$K75:$K1200,0)))),IF(AND($Y74="change",$H74="EUR"),IF($O74=$O75,$R75,IF($O74=$O73,$R73)),IFERROR(INDEX($R75:$R1200,MATCH(SUBSTITUTE($I74,"-","",1),$K75:$K1200,0)))))</f>
        <v/>
      </c>
      <c r="S74" s="37" t="str">
        <f t="shared" si="1"/>
        <v/>
      </c>
      <c r="T74" s="39" t="str">
        <f t="shared" si="2"/>
        <v/>
      </c>
      <c r="U74" s="40" t="str">
        <f t="shared" si="3"/>
        <v/>
      </c>
      <c r="V74" s="34" t="str">
        <f t="shared" si="4"/>
        <v/>
      </c>
      <c r="W74" s="41" t="str">
        <f>IFERROR(__xludf.DUMMYFUNCTION(" IF(Account!$F74&lt;&gt;"""", SPLIT(Account!$F74, "" ""), """")"),"")</f>
        <v/>
      </c>
      <c r="X74" s="44"/>
      <c r="Y74" s="44"/>
      <c r="Z74" s="44"/>
      <c r="AA74" s="44"/>
      <c r="AB74" s="44"/>
      <c r="AC74" s="44"/>
      <c r="AD74" s="44"/>
      <c r="AE74" s="44"/>
      <c r="AF74" s="44"/>
      <c r="AG74" s="44"/>
      <c r="AH74" s="44"/>
      <c r="AI74" s="44"/>
      <c r="AJ74" s="44"/>
      <c r="AK74" s="44"/>
    </row>
    <row r="75">
      <c r="A75" s="20"/>
      <c r="B75" s="20"/>
      <c r="C75" s="20"/>
      <c r="D75" s="20"/>
      <c r="E75" s="20"/>
      <c r="F75" s="21"/>
      <c r="G75" s="20"/>
      <c r="H75" s="20"/>
      <c r="I75" s="20"/>
      <c r="J75" s="20"/>
      <c r="K75" s="20"/>
      <c r="L75" s="21"/>
      <c r="M75" s="33" t="str">
        <f>IFERROR(__xludf.DUMMYFUNCTION("IFS(W75=""Achat"",IFERROR(VALUE(X75),VALUE(REGEXREPLACE(T(X75),""[^0-9]"",""""))),W75=""Vente"",-IFERROR(VALUE(X75),VALUE(REGEXREPLACE(T(X75),""[^0-9]"",""""))),Y75=""Change"",0,Y75&lt;&gt;""Change"","""")"),"")</f>
        <v/>
      </c>
      <c r="N75" s="34" t="str">
        <f>IFERROR(__xludf.DUMMYFUNCTION("IF(Account!$F75&lt;&gt;"""", VALUE(REGEXREPLACE($I75, ""\,"", ""."")), """")"),"")</f>
        <v/>
      </c>
      <c r="O75" s="35" t="str">
        <f>IF(Account!$F75&lt;&gt;"", DATEVALUE(MID($A75,4,3) &amp; LEFT($A75,3) &amp; RIGHT($A75,4)) + TIMEVALUE($B75), "")</f>
        <v/>
      </c>
      <c r="P75" s="36" t="str">
        <f>IF(Account!$F75&lt;&gt;"", DATEVALUE(MID($C75,4,3) &amp; LEFT($C75,3) &amp; RIGHT($C75,4)), "")</f>
        <v/>
      </c>
      <c r="Q75" s="37" t="str">
        <f t="array" ref="Q75">IF($R75&lt;&gt;"",IFERROR(INDEX(ISIN!$B:$B,MATCH($R75,ISIN!$C:$C,0))),)</f>
        <v/>
      </c>
      <c r="R75" s="38" t="str">
        <f t="array" ref="R75">IF($E75&lt;&gt;"",IFERROR(INDEX(ISIN!$C:$C,MATCH($E75,ISIN!$A:$A,0)),IFERROR(INDEX($R76:$R1200,MATCH($K75,$K76:$K1200,0)))),IF(AND($Y75="change",$H75="EUR"),IF($O75=$O76,$R76,IF($O75=$O74,$R74)),IFERROR(INDEX($R76:$R1200,MATCH(SUBSTITUTE($I75,"-","",1),$K76:$K1200,0)))))</f>
        <v/>
      </c>
      <c r="S75" s="37" t="str">
        <f t="shared" si="1"/>
        <v/>
      </c>
      <c r="T75" s="39" t="str">
        <f t="shared" si="2"/>
        <v/>
      </c>
      <c r="U75" s="40" t="str">
        <f t="shared" si="3"/>
        <v/>
      </c>
      <c r="V75" s="34" t="str">
        <f t="shared" si="4"/>
        <v/>
      </c>
      <c r="W75" s="41" t="str">
        <f>IFERROR(__xludf.DUMMYFUNCTION(" IF(Account!$F75&lt;&gt;"""", SPLIT(Account!$F75, "" ""), """")"),"")</f>
        <v/>
      </c>
      <c r="X75" s="44"/>
      <c r="Y75" s="44"/>
      <c r="Z75" s="44"/>
      <c r="AA75" s="44"/>
      <c r="AB75" s="44"/>
      <c r="AC75" s="44"/>
      <c r="AD75" s="44"/>
      <c r="AE75" s="44"/>
      <c r="AF75" s="44"/>
      <c r="AG75" s="44"/>
      <c r="AH75" s="44"/>
      <c r="AI75" s="44"/>
      <c r="AJ75" s="44"/>
      <c r="AK75" s="44"/>
    </row>
    <row r="76">
      <c r="A76" s="20"/>
      <c r="B76" s="20"/>
      <c r="C76" s="20"/>
      <c r="D76" s="20"/>
      <c r="E76" s="20"/>
      <c r="F76" s="21"/>
      <c r="G76" s="20"/>
      <c r="H76" s="20"/>
      <c r="I76" s="20"/>
      <c r="J76" s="20"/>
      <c r="K76" s="20"/>
      <c r="L76" s="21"/>
      <c r="M76" s="33" t="str">
        <f>IFERROR(__xludf.DUMMYFUNCTION("IFS(W76=""Achat"",IFERROR(VALUE(X76),VALUE(REGEXREPLACE(T(X76),""[^0-9]"",""""))),W76=""Vente"",-IFERROR(VALUE(X76),VALUE(REGEXREPLACE(T(X76),""[^0-9]"",""""))),Y76=""Change"",0,Y76&lt;&gt;""Change"","""")"),"")</f>
        <v/>
      </c>
      <c r="N76" s="34" t="str">
        <f>IFERROR(__xludf.DUMMYFUNCTION("IF(Account!$F76&lt;&gt;"""", VALUE(REGEXREPLACE($I76, ""\,"", ""."")), """")"),"")</f>
        <v/>
      </c>
      <c r="O76" s="35" t="str">
        <f>IF(Account!$F76&lt;&gt;"", DATEVALUE(MID($A76,4,3) &amp; LEFT($A76,3) &amp; RIGHT($A76,4)) + TIMEVALUE($B76), "")</f>
        <v/>
      </c>
      <c r="P76" s="36" t="str">
        <f>IF(Account!$F76&lt;&gt;"", DATEVALUE(MID($C76,4,3) &amp; LEFT($C76,3) &amp; RIGHT($C76,4)), "")</f>
        <v/>
      </c>
      <c r="Q76" s="37" t="str">
        <f t="array" ref="Q76">IF($R76&lt;&gt;"",IFERROR(INDEX(ISIN!$B:$B,MATCH($R76,ISIN!$C:$C,0))),)</f>
        <v/>
      </c>
      <c r="R76" s="38" t="str">
        <f t="array" ref="R76">IF($E76&lt;&gt;"",IFERROR(INDEX(ISIN!$C:$C,MATCH($E76,ISIN!$A:$A,0)),IFERROR(INDEX($R77:$R1200,MATCH($K76,$K77:$K1200,0)))),IF(AND($Y76="change",$H76="EUR"),IF($O76=$O77,$R77,IF($O76=$O75,$R75)),IFERROR(INDEX($R77:$R1200,MATCH(SUBSTITUTE($I76,"-","",1),$K77:$K1200,0)))))</f>
        <v/>
      </c>
      <c r="S76" s="37" t="str">
        <f t="shared" si="1"/>
        <v/>
      </c>
      <c r="T76" s="39" t="str">
        <f t="shared" si="2"/>
        <v/>
      </c>
      <c r="U76" s="40" t="str">
        <f t="shared" si="3"/>
        <v/>
      </c>
      <c r="V76" s="34" t="str">
        <f t="shared" si="4"/>
        <v/>
      </c>
      <c r="W76" s="41" t="str">
        <f>IFERROR(__xludf.DUMMYFUNCTION(" IF(Account!$F76&lt;&gt;"""", SPLIT(Account!$F76, "" ""), """")"),"")</f>
        <v/>
      </c>
      <c r="X76" s="44"/>
      <c r="Y76" s="44"/>
      <c r="Z76" s="44"/>
      <c r="AA76" s="44"/>
      <c r="AB76" s="44"/>
      <c r="AC76" s="44"/>
      <c r="AD76" s="44"/>
      <c r="AE76" s="44"/>
      <c r="AF76" s="44"/>
      <c r="AG76" s="44"/>
      <c r="AH76" s="44"/>
      <c r="AI76" s="44"/>
      <c r="AJ76" s="44"/>
      <c r="AK76" s="44"/>
    </row>
    <row r="77">
      <c r="A77" s="20"/>
      <c r="B77" s="20"/>
      <c r="C77" s="20"/>
      <c r="D77" s="20"/>
      <c r="E77" s="20"/>
      <c r="F77" s="21"/>
      <c r="G77" s="20"/>
      <c r="H77" s="20"/>
      <c r="I77" s="20"/>
      <c r="J77" s="20"/>
      <c r="K77" s="20"/>
      <c r="L77" s="21"/>
      <c r="M77" s="33" t="str">
        <f>IFERROR(__xludf.DUMMYFUNCTION("IFS(W77=""Achat"",IFERROR(VALUE(X77),VALUE(REGEXREPLACE(T(X77),""[^0-9]"",""""))),W77=""Vente"",-IFERROR(VALUE(X77),VALUE(REGEXREPLACE(T(X77),""[^0-9]"",""""))),Y77=""Change"",0,Y77&lt;&gt;""Change"","""")"),"")</f>
        <v/>
      </c>
      <c r="N77" s="34" t="str">
        <f>IFERROR(__xludf.DUMMYFUNCTION("IF(Account!$F77&lt;&gt;"""", VALUE(REGEXREPLACE($I77, ""\,"", ""."")), """")"),"")</f>
        <v/>
      </c>
      <c r="O77" s="35" t="str">
        <f>IF(Account!$F77&lt;&gt;"", DATEVALUE(MID($A77,4,3) &amp; LEFT($A77,3) &amp; RIGHT($A77,4)) + TIMEVALUE($B77), "")</f>
        <v/>
      </c>
      <c r="P77" s="36" t="str">
        <f>IF(Account!$F77&lt;&gt;"", DATEVALUE(MID($C77,4,3) &amp; LEFT($C77,3) &amp; RIGHT($C77,4)), "")</f>
        <v/>
      </c>
      <c r="Q77" s="37" t="str">
        <f t="array" ref="Q77">IF($R77&lt;&gt;"",IFERROR(INDEX(ISIN!$B:$B,MATCH($R77,ISIN!$C:$C,0))),)</f>
        <v/>
      </c>
      <c r="R77" s="38" t="str">
        <f t="array" ref="R77">IF($E77&lt;&gt;"",IFERROR(INDEX(ISIN!$C:$C,MATCH($E77,ISIN!$A:$A,0)),IFERROR(INDEX($R78:$R1200,MATCH($K77,$K78:$K1200,0)))),IF(AND($Y77="change",$H77="EUR"),IF($O77=$O78,$R78,IF($O77=$O76,$R76)),IFERROR(INDEX($R78:$R1200,MATCH(SUBSTITUTE($I77,"-","",1),$K78:$K1200,0)))))</f>
        <v/>
      </c>
      <c r="S77" s="37" t="str">
        <f t="shared" si="1"/>
        <v/>
      </c>
      <c r="T77" s="39" t="str">
        <f t="shared" si="2"/>
        <v/>
      </c>
      <c r="U77" s="40" t="str">
        <f t="shared" si="3"/>
        <v/>
      </c>
      <c r="V77" s="34" t="str">
        <f t="shared" si="4"/>
        <v/>
      </c>
      <c r="W77" s="41" t="str">
        <f>IFERROR(__xludf.DUMMYFUNCTION(" IF(Account!$F77&lt;&gt;"""", SPLIT(Account!$F77, "" ""), """")"),"")</f>
        <v/>
      </c>
      <c r="X77" s="44"/>
      <c r="Y77" s="44"/>
      <c r="Z77" s="44"/>
      <c r="AA77" s="44"/>
      <c r="AB77" s="44"/>
      <c r="AC77" s="44"/>
      <c r="AD77" s="44"/>
      <c r="AE77" s="44"/>
      <c r="AF77" s="44"/>
      <c r="AG77" s="44"/>
      <c r="AH77" s="44"/>
      <c r="AI77" s="44"/>
      <c r="AJ77" s="44"/>
      <c r="AK77" s="44"/>
    </row>
    <row r="78">
      <c r="A78" s="20"/>
      <c r="B78" s="20"/>
      <c r="C78" s="20"/>
      <c r="D78" s="20"/>
      <c r="E78" s="20"/>
      <c r="F78" s="21"/>
      <c r="G78" s="20"/>
      <c r="H78" s="20"/>
      <c r="I78" s="20"/>
      <c r="J78" s="20"/>
      <c r="K78" s="20"/>
      <c r="L78" s="21"/>
      <c r="M78" s="33" t="str">
        <f>IFERROR(__xludf.DUMMYFUNCTION("IFS(W78=""Achat"",IFERROR(VALUE(X78),VALUE(REGEXREPLACE(T(X78),""[^0-9]"",""""))),W78=""Vente"",-IFERROR(VALUE(X78),VALUE(REGEXREPLACE(T(X78),""[^0-9]"",""""))),Y78=""Change"",0,Y78&lt;&gt;""Change"","""")"),"")</f>
        <v/>
      </c>
      <c r="N78" s="34" t="str">
        <f>IFERROR(__xludf.DUMMYFUNCTION("IF(Account!$F78&lt;&gt;"""", VALUE(REGEXREPLACE($I78, ""\,"", ""."")), """")"),"")</f>
        <v/>
      </c>
      <c r="O78" s="35" t="str">
        <f>IF(Account!$F78&lt;&gt;"", DATEVALUE(MID($A78,4,3) &amp; LEFT($A78,3) &amp; RIGHT($A78,4)) + TIMEVALUE($B78), "")</f>
        <v/>
      </c>
      <c r="P78" s="36" t="str">
        <f>IF(Account!$F78&lt;&gt;"", DATEVALUE(MID($C78,4,3) &amp; LEFT($C78,3) &amp; RIGHT($C78,4)), "")</f>
        <v/>
      </c>
      <c r="Q78" s="37" t="str">
        <f t="array" ref="Q78">IF($R78&lt;&gt;"",IFERROR(INDEX(ISIN!$B:$B,MATCH($R78,ISIN!$C:$C,0))),)</f>
        <v/>
      </c>
      <c r="R78" s="38" t="str">
        <f t="array" ref="R78">IF($E78&lt;&gt;"",IFERROR(INDEX(ISIN!$C:$C,MATCH($E78,ISIN!$A:$A,0)),IFERROR(INDEX($R79:$R1200,MATCH($K78,$K79:$K1200,0)))),IF(AND($Y78="change",$H78="EUR"),IF($O78=$O79,$R79,IF($O78=$O77,$R77)),IFERROR(INDEX($R79:$R1200,MATCH(SUBSTITUTE($I78,"-","",1),$K79:$K1200,0)))))</f>
        <v/>
      </c>
      <c r="S78" s="37" t="str">
        <f t="shared" si="1"/>
        <v/>
      </c>
      <c r="T78" s="39" t="str">
        <f t="shared" si="2"/>
        <v/>
      </c>
      <c r="U78" s="40" t="str">
        <f t="shared" si="3"/>
        <v/>
      </c>
      <c r="V78" s="34" t="str">
        <f t="shared" si="4"/>
        <v/>
      </c>
      <c r="W78" s="41" t="str">
        <f>IFERROR(__xludf.DUMMYFUNCTION(" IF(Account!$F78&lt;&gt;"""", SPLIT(Account!$F78, "" ""), """")"),"")</f>
        <v/>
      </c>
      <c r="X78" s="44"/>
      <c r="Y78" s="44"/>
      <c r="Z78" s="44"/>
      <c r="AA78" s="44"/>
      <c r="AB78" s="44"/>
      <c r="AC78" s="44"/>
      <c r="AD78" s="44"/>
      <c r="AE78" s="44"/>
      <c r="AF78" s="44"/>
      <c r="AG78" s="44"/>
      <c r="AH78" s="44"/>
      <c r="AI78" s="44"/>
      <c r="AJ78" s="44"/>
      <c r="AK78" s="44"/>
    </row>
    <row r="79">
      <c r="A79" s="20"/>
      <c r="B79" s="20"/>
      <c r="C79" s="20"/>
      <c r="D79" s="20"/>
      <c r="E79" s="20"/>
      <c r="F79" s="21"/>
      <c r="G79" s="20"/>
      <c r="H79" s="20"/>
      <c r="I79" s="20"/>
      <c r="J79" s="20"/>
      <c r="K79" s="20"/>
      <c r="L79" s="21"/>
      <c r="M79" s="33" t="str">
        <f>IFERROR(__xludf.DUMMYFUNCTION("IFS(W79=""Achat"",IFERROR(VALUE(X79),VALUE(REGEXREPLACE(T(X79),""[^0-9]"",""""))),W79=""Vente"",-IFERROR(VALUE(X79),VALUE(REGEXREPLACE(T(X79),""[^0-9]"",""""))),Y79=""Change"",0,Y79&lt;&gt;""Change"","""")"),"")</f>
        <v/>
      </c>
      <c r="N79" s="34" t="str">
        <f>IFERROR(__xludf.DUMMYFUNCTION("IF(Account!$F79&lt;&gt;"""", VALUE(REGEXREPLACE($I79, ""\,"", ""."")), """")"),"")</f>
        <v/>
      </c>
      <c r="O79" s="35" t="str">
        <f>IF(Account!$F79&lt;&gt;"", DATEVALUE(MID($A79,4,3) &amp; LEFT($A79,3) &amp; RIGHT($A79,4)) + TIMEVALUE($B79), "")</f>
        <v/>
      </c>
      <c r="P79" s="36" t="str">
        <f>IF(Account!$F79&lt;&gt;"", DATEVALUE(MID($C79,4,3) &amp; LEFT($C79,3) &amp; RIGHT($C79,4)), "")</f>
        <v/>
      </c>
      <c r="Q79" s="37" t="str">
        <f t="array" ref="Q79">IF($R79&lt;&gt;"",IFERROR(INDEX(ISIN!$B:$B,MATCH($R79,ISIN!$C:$C,0))),)</f>
        <v/>
      </c>
      <c r="R79" s="38" t="str">
        <f t="array" ref="R79">IF($E79&lt;&gt;"",IFERROR(INDEX(ISIN!$C:$C,MATCH($E79,ISIN!$A:$A,0)),IFERROR(INDEX($R80:$R1200,MATCH($K79,$K80:$K1200,0)))),IF(AND($Y79="change",$H79="EUR"),IF($O79=$O80,$R80,IF($O79=$O78,$R78)),IFERROR(INDEX($R80:$R1200,MATCH(SUBSTITUTE($I79,"-","",1),$K80:$K1200,0)))))</f>
        <v/>
      </c>
      <c r="S79" s="37" t="str">
        <f t="shared" si="1"/>
        <v/>
      </c>
      <c r="T79" s="39" t="str">
        <f t="shared" si="2"/>
        <v/>
      </c>
      <c r="U79" s="40" t="str">
        <f t="shared" si="3"/>
        <v/>
      </c>
      <c r="V79" s="34" t="str">
        <f t="shared" si="4"/>
        <v/>
      </c>
      <c r="W79" s="41" t="str">
        <f>IFERROR(__xludf.DUMMYFUNCTION(" IF(Account!$F79&lt;&gt;"""", SPLIT(Account!$F79, "" ""), """")"),"")</f>
        <v/>
      </c>
      <c r="X79" s="44"/>
      <c r="Y79" s="44"/>
      <c r="Z79" s="44"/>
      <c r="AA79" s="44"/>
      <c r="AB79" s="44"/>
      <c r="AC79" s="44"/>
      <c r="AD79" s="44"/>
      <c r="AE79" s="44"/>
      <c r="AF79" s="44"/>
      <c r="AG79" s="44"/>
      <c r="AH79" s="44"/>
      <c r="AI79" s="44"/>
      <c r="AJ79" s="44"/>
      <c r="AK79" s="44"/>
    </row>
    <row r="80">
      <c r="A80" s="20"/>
      <c r="B80" s="20"/>
      <c r="C80" s="20"/>
      <c r="D80" s="20"/>
      <c r="E80" s="20"/>
      <c r="F80" s="21"/>
      <c r="G80" s="20"/>
      <c r="H80" s="20"/>
      <c r="I80" s="20"/>
      <c r="J80" s="20"/>
      <c r="K80" s="20"/>
      <c r="L80" s="21"/>
      <c r="M80" s="33" t="str">
        <f>IFERROR(__xludf.DUMMYFUNCTION("IFS(W80=""Achat"",IFERROR(VALUE(X80),VALUE(REGEXREPLACE(T(X80),""[^0-9]"",""""))),W80=""Vente"",-IFERROR(VALUE(X80),VALUE(REGEXREPLACE(T(X80),""[^0-9]"",""""))),Y80=""Change"",0,Y80&lt;&gt;""Change"","""")"),"")</f>
        <v/>
      </c>
      <c r="N80" s="34" t="str">
        <f>IFERROR(__xludf.DUMMYFUNCTION("IF(Account!$F80&lt;&gt;"""", VALUE(REGEXREPLACE($I80, ""\,"", ""."")), """")"),"")</f>
        <v/>
      </c>
      <c r="O80" s="35" t="str">
        <f>IF(Account!$F80&lt;&gt;"", DATEVALUE(MID($A80,4,3) &amp; LEFT($A80,3) &amp; RIGHT($A80,4)) + TIMEVALUE($B80), "")</f>
        <v/>
      </c>
      <c r="P80" s="36" t="str">
        <f>IF(Account!$F80&lt;&gt;"", DATEVALUE(MID($C80,4,3) &amp; LEFT($C80,3) &amp; RIGHT($C80,4)), "")</f>
        <v/>
      </c>
      <c r="Q80" s="37" t="str">
        <f t="array" ref="Q80">IF($R80&lt;&gt;"",IFERROR(INDEX(ISIN!$B:$B,MATCH($R80,ISIN!$C:$C,0))),)</f>
        <v/>
      </c>
      <c r="R80" s="38" t="str">
        <f t="array" ref="R80">IF($E80&lt;&gt;"",IFERROR(INDEX(ISIN!$C:$C,MATCH($E80,ISIN!$A:$A,0)),IFERROR(INDEX($R81:$R1200,MATCH($K80,$K81:$K1200,0)))),IF(AND($Y80="change",$H80="EUR"),IF($O80=$O81,$R81,IF($O80=$O79,$R79)),IFERROR(INDEX($R81:$R1200,MATCH(SUBSTITUTE($I80,"-","",1),$K81:$K1200,0)))))</f>
        <v/>
      </c>
      <c r="S80" s="37" t="str">
        <f t="shared" si="1"/>
        <v/>
      </c>
      <c r="T80" s="39" t="str">
        <f t="shared" si="2"/>
        <v/>
      </c>
      <c r="U80" s="40" t="str">
        <f t="shared" si="3"/>
        <v/>
      </c>
      <c r="V80" s="34" t="str">
        <f t="shared" si="4"/>
        <v/>
      </c>
      <c r="W80" s="41" t="str">
        <f>IFERROR(__xludf.DUMMYFUNCTION(" IF(Account!$F80&lt;&gt;"""", SPLIT(Account!$F80, "" ""), """")"),"")</f>
        <v/>
      </c>
      <c r="X80" s="44"/>
      <c r="Y80" s="44"/>
      <c r="Z80" s="44"/>
      <c r="AA80" s="44"/>
      <c r="AB80" s="44"/>
      <c r="AC80" s="44"/>
      <c r="AD80" s="44"/>
      <c r="AE80" s="44"/>
      <c r="AF80" s="44"/>
      <c r="AG80" s="44"/>
      <c r="AH80" s="44"/>
      <c r="AI80" s="44"/>
      <c r="AJ80" s="44"/>
      <c r="AK80" s="44"/>
    </row>
    <row r="81">
      <c r="A81" s="20"/>
      <c r="B81" s="20"/>
      <c r="C81" s="20"/>
      <c r="D81" s="20"/>
      <c r="E81" s="20"/>
      <c r="F81" s="21"/>
      <c r="G81" s="20"/>
      <c r="H81" s="20"/>
      <c r="I81" s="20"/>
      <c r="J81" s="20"/>
      <c r="K81" s="20"/>
      <c r="L81" s="21"/>
      <c r="M81" s="33" t="str">
        <f>IFERROR(__xludf.DUMMYFUNCTION("IFS(W81=""Achat"",IFERROR(VALUE(X81),VALUE(REGEXREPLACE(T(X81),""[^0-9]"",""""))),W81=""Vente"",-IFERROR(VALUE(X81),VALUE(REGEXREPLACE(T(X81),""[^0-9]"",""""))),Y81=""Change"",0,Y81&lt;&gt;""Change"","""")"),"")</f>
        <v/>
      </c>
      <c r="N81" s="34" t="str">
        <f>IFERROR(__xludf.DUMMYFUNCTION("IF(Account!$F81&lt;&gt;"""", VALUE(REGEXREPLACE($I81, ""\,"", ""."")), """")"),"")</f>
        <v/>
      </c>
      <c r="O81" s="35" t="str">
        <f>IF(Account!$F81&lt;&gt;"", DATEVALUE(MID($A81,4,3) &amp; LEFT($A81,3) &amp; RIGHT($A81,4)) + TIMEVALUE($B81), "")</f>
        <v/>
      </c>
      <c r="P81" s="36" t="str">
        <f>IF(Account!$F81&lt;&gt;"", DATEVALUE(MID($C81,4,3) &amp; LEFT($C81,3) &amp; RIGHT($C81,4)), "")</f>
        <v/>
      </c>
      <c r="Q81" s="37" t="str">
        <f t="array" ref="Q81">IF($R81&lt;&gt;"",IFERROR(INDEX(ISIN!$B:$B,MATCH($R81,ISIN!$C:$C,0))),)</f>
        <v/>
      </c>
      <c r="R81" s="38" t="str">
        <f t="array" ref="R81">IF($E81&lt;&gt;"",IFERROR(INDEX(ISIN!$C:$C,MATCH($E81,ISIN!$A:$A,0)),IFERROR(INDEX($R82:$R1200,MATCH($K81,$K82:$K1200,0)))),IF(AND($Y81="change",$H81="EUR"),IF($O81=$O82,$R82,IF($O81=$O80,$R80)),IFERROR(INDEX($R82:$R1200,MATCH(SUBSTITUTE($I81,"-","",1),$K82:$K1200,0)))))</f>
        <v/>
      </c>
      <c r="S81" s="37" t="str">
        <f t="shared" si="1"/>
        <v/>
      </c>
      <c r="T81" s="39" t="str">
        <f t="shared" si="2"/>
        <v/>
      </c>
      <c r="U81" s="40" t="str">
        <f t="shared" si="3"/>
        <v/>
      </c>
      <c r="V81" s="34" t="str">
        <f t="shared" si="4"/>
        <v/>
      </c>
      <c r="W81" s="41" t="str">
        <f>IFERROR(__xludf.DUMMYFUNCTION(" IF(Account!$F81&lt;&gt;"""", SPLIT(Account!$F81, "" ""), """")"),"")</f>
        <v/>
      </c>
      <c r="X81" s="44"/>
      <c r="Y81" s="44"/>
      <c r="Z81" s="44"/>
      <c r="AA81" s="44"/>
      <c r="AB81" s="44"/>
      <c r="AC81" s="44"/>
      <c r="AD81" s="44"/>
      <c r="AE81" s="44"/>
      <c r="AF81" s="44"/>
      <c r="AG81" s="44"/>
      <c r="AH81" s="44"/>
      <c r="AI81" s="44"/>
      <c r="AJ81" s="44"/>
      <c r="AK81" s="44"/>
    </row>
    <row r="82">
      <c r="A82" s="20"/>
      <c r="B82" s="20"/>
      <c r="C82" s="20"/>
      <c r="D82" s="20"/>
      <c r="E82" s="20"/>
      <c r="F82" s="21"/>
      <c r="G82" s="20"/>
      <c r="H82" s="20"/>
      <c r="I82" s="20"/>
      <c r="J82" s="20"/>
      <c r="K82" s="20"/>
      <c r="L82" s="21"/>
      <c r="M82" s="33" t="str">
        <f>IFERROR(__xludf.DUMMYFUNCTION("IFS(W82=""Achat"",IFERROR(VALUE(X82),VALUE(REGEXREPLACE(T(X82),""[^0-9]"",""""))),W82=""Vente"",-IFERROR(VALUE(X82),VALUE(REGEXREPLACE(T(X82),""[^0-9]"",""""))),Y82=""Change"",0,Y82&lt;&gt;""Change"","""")"),"")</f>
        <v/>
      </c>
      <c r="N82" s="34" t="str">
        <f>IFERROR(__xludf.DUMMYFUNCTION("IF(Account!$F82&lt;&gt;"""", VALUE(REGEXREPLACE($I82, ""\,"", ""."")), """")"),"")</f>
        <v/>
      </c>
      <c r="O82" s="35" t="str">
        <f>IF(Account!$F82&lt;&gt;"", DATEVALUE(MID($A82,4,3) &amp; LEFT($A82,3) &amp; RIGHT($A82,4)) + TIMEVALUE($B82), "")</f>
        <v/>
      </c>
      <c r="P82" s="36" t="str">
        <f>IF(Account!$F82&lt;&gt;"", DATEVALUE(MID($C82,4,3) &amp; LEFT($C82,3) &amp; RIGHT($C82,4)), "")</f>
        <v/>
      </c>
      <c r="Q82" s="37" t="str">
        <f t="array" ref="Q82">IF($R82&lt;&gt;"",IFERROR(INDEX(ISIN!$B:$B,MATCH($R82,ISIN!$C:$C,0))),)</f>
        <v/>
      </c>
      <c r="R82" s="38" t="str">
        <f t="array" ref="R82">IF($E82&lt;&gt;"",IFERROR(INDEX(ISIN!$C:$C,MATCH($E82,ISIN!$A:$A,0)),IFERROR(INDEX($R83:$R1200,MATCH($K82,$K83:$K1200,0)))),IF(AND($Y82="change",$H82="EUR"),IF($O82=$O83,$R83,IF($O82=$O81,$R81)),IFERROR(INDEX($R83:$R1200,MATCH(SUBSTITUTE($I82,"-","",1),$K83:$K1200,0)))))</f>
        <v/>
      </c>
      <c r="S82" s="37" t="str">
        <f t="shared" si="1"/>
        <v/>
      </c>
      <c r="T82" s="39" t="str">
        <f t="shared" si="2"/>
        <v/>
      </c>
      <c r="U82" s="40" t="str">
        <f t="shared" si="3"/>
        <v/>
      </c>
      <c r="V82" s="34" t="str">
        <f t="shared" si="4"/>
        <v/>
      </c>
      <c r="W82" s="41" t="str">
        <f>IFERROR(__xludf.DUMMYFUNCTION(" IF(Account!$F82&lt;&gt;"""", SPLIT(Account!$F82, "" ""), """")"),"")</f>
        <v/>
      </c>
      <c r="X82" s="44"/>
      <c r="Y82" s="44"/>
      <c r="Z82" s="44"/>
      <c r="AA82" s="44"/>
      <c r="AB82" s="44"/>
      <c r="AC82" s="44"/>
      <c r="AD82" s="44"/>
      <c r="AE82" s="44"/>
      <c r="AF82" s="44"/>
      <c r="AG82" s="44"/>
      <c r="AH82" s="44"/>
      <c r="AI82" s="44"/>
      <c r="AJ82" s="44"/>
      <c r="AK82" s="44"/>
    </row>
    <row r="83">
      <c r="A83" s="20"/>
      <c r="B83" s="20"/>
      <c r="C83" s="20"/>
      <c r="D83" s="20"/>
      <c r="E83" s="20"/>
      <c r="F83" s="21"/>
      <c r="G83" s="20"/>
      <c r="H83" s="20"/>
      <c r="I83" s="20"/>
      <c r="J83" s="20"/>
      <c r="K83" s="20"/>
      <c r="L83" s="21"/>
      <c r="M83" s="33" t="str">
        <f>IFERROR(__xludf.DUMMYFUNCTION("IFS(W83=""Achat"",IFERROR(VALUE(X83),VALUE(REGEXREPLACE(T(X83),""[^0-9]"",""""))),W83=""Vente"",-IFERROR(VALUE(X83),VALUE(REGEXREPLACE(T(X83),""[^0-9]"",""""))),Y83=""Change"",0,Y83&lt;&gt;""Change"","""")"),"")</f>
        <v/>
      </c>
      <c r="N83" s="34" t="str">
        <f>IFERROR(__xludf.DUMMYFUNCTION("IF(Account!$F83&lt;&gt;"""", VALUE(REGEXREPLACE($I83, ""\,"", ""."")), """")"),"")</f>
        <v/>
      </c>
      <c r="O83" s="35" t="str">
        <f>IF(Account!$F83&lt;&gt;"", DATEVALUE(MID($A83,4,3) &amp; LEFT($A83,3) &amp; RIGHT($A83,4)) + TIMEVALUE($B83), "")</f>
        <v/>
      </c>
      <c r="P83" s="36" t="str">
        <f>IF(Account!$F83&lt;&gt;"", DATEVALUE(MID($C83,4,3) &amp; LEFT($C83,3) &amp; RIGHT($C83,4)), "")</f>
        <v/>
      </c>
      <c r="Q83" s="37" t="str">
        <f t="array" ref="Q83">IF($R83&lt;&gt;"",IFERROR(INDEX(ISIN!$B:$B,MATCH($R83,ISIN!$C:$C,0))),)</f>
        <v/>
      </c>
      <c r="R83" s="38" t="str">
        <f t="array" ref="R83">IF($E83&lt;&gt;"",IFERROR(INDEX(ISIN!$C:$C,MATCH($E83,ISIN!$A:$A,0)),IFERROR(INDEX($R84:$R1200,MATCH($K83,$K84:$K1200,0)))),IF(AND($Y83="change",$H83="EUR"),IF($O83=$O84,$R84,IF($O83=$O82,$R82)),IFERROR(INDEX($R84:$R1200,MATCH(SUBSTITUTE($I83,"-","",1),$K84:$K1200,0)))))</f>
        <v/>
      </c>
      <c r="S83" s="37" t="str">
        <f t="shared" si="1"/>
        <v/>
      </c>
      <c r="T83" s="39" t="str">
        <f t="shared" si="2"/>
        <v/>
      </c>
      <c r="U83" s="40" t="str">
        <f t="shared" si="3"/>
        <v/>
      </c>
      <c r="V83" s="34" t="str">
        <f t="shared" si="4"/>
        <v/>
      </c>
      <c r="W83" s="41" t="str">
        <f>IFERROR(__xludf.DUMMYFUNCTION(" IF(Account!$F83&lt;&gt;"""", SPLIT(Account!$F83, "" ""), """")"),"")</f>
        <v/>
      </c>
      <c r="X83" s="44"/>
      <c r="Y83" s="44"/>
      <c r="Z83" s="44"/>
      <c r="AA83" s="44"/>
      <c r="AB83" s="44"/>
      <c r="AC83" s="44"/>
      <c r="AD83" s="44"/>
      <c r="AE83" s="44"/>
      <c r="AF83" s="44"/>
      <c r="AG83" s="44"/>
      <c r="AH83" s="44"/>
      <c r="AI83" s="44"/>
      <c r="AJ83" s="44"/>
      <c r="AK83" s="44"/>
    </row>
    <row r="84">
      <c r="A84" s="20"/>
      <c r="B84" s="20"/>
      <c r="C84" s="20"/>
      <c r="D84" s="20"/>
      <c r="E84" s="20"/>
      <c r="F84" s="21"/>
      <c r="G84" s="20"/>
      <c r="H84" s="20"/>
      <c r="I84" s="20"/>
      <c r="J84" s="20"/>
      <c r="K84" s="20"/>
      <c r="L84" s="21"/>
      <c r="M84" s="33" t="str">
        <f>IFERROR(__xludf.DUMMYFUNCTION("IFS(W84=""Achat"",IFERROR(VALUE(X84),VALUE(REGEXREPLACE(T(X84),""[^0-9]"",""""))),W84=""Vente"",-IFERROR(VALUE(X84),VALUE(REGEXREPLACE(T(X84),""[^0-9]"",""""))),Y84=""Change"",0,Y84&lt;&gt;""Change"","""")"),"")</f>
        <v/>
      </c>
      <c r="N84" s="34" t="str">
        <f>IFERROR(__xludf.DUMMYFUNCTION("IF(Account!$F84&lt;&gt;"""", VALUE(REGEXREPLACE($I84, ""\,"", ""."")), """")"),"")</f>
        <v/>
      </c>
      <c r="O84" s="35" t="str">
        <f>IF(Account!$F84&lt;&gt;"", DATEVALUE(MID($A84,4,3) &amp; LEFT($A84,3) &amp; RIGHT($A84,4)) + TIMEVALUE($B84), "")</f>
        <v/>
      </c>
      <c r="P84" s="36" t="str">
        <f>IF(Account!$F84&lt;&gt;"", DATEVALUE(MID($C84,4,3) &amp; LEFT($C84,3) &amp; RIGHT($C84,4)), "")</f>
        <v/>
      </c>
      <c r="Q84" s="37" t="str">
        <f t="array" ref="Q84">IF($R84&lt;&gt;"",IFERROR(INDEX(ISIN!$B:$B,MATCH($R84,ISIN!$C:$C,0))),)</f>
        <v/>
      </c>
      <c r="R84" s="38" t="str">
        <f t="array" ref="R84">IF($E84&lt;&gt;"",IFERROR(INDEX(ISIN!$C:$C,MATCH($E84,ISIN!$A:$A,0)),IFERROR(INDEX($R85:$R1200,MATCH($K84,$K85:$K1200,0)))),IF(AND($Y84="change",$H84="EUR"),IF($O84=$O85,$R85,IF($O84=$O83,$R83)),IFERROR(INDEX($R85:$R1200,MATCH(SUBSTITUTE($I84,"-","",1),$K85:$K1200,0)))))</f>
        <v/>
      </c>
      <c r="S84" s="37" t="str">
        <f t="shared" si="1"/>
        <v/>
      </c>
      <c r="T84" s="39" t="str">
        <f t="shared" si="2"/>
        <v/>
      </c>
      <c r="U84" s="40" t="str">
        <f t="shared" si="3"/>
        <v/>
      </c>
      <c r="V84" s="34" t="str">
        <f t="shared" si="4"/>
        <v/>
      </c>
      <c r="W84" s="41" t="str">
        <f>IFERROR(__xludf.DUMMYFUNCTION(" IF(Account!$F84&lt;&gt;"""", SPLIT(Account!$F84, "" ""), """")"),"")</f>
        <v/>
      </c>
      <c r="X84" s="44"/>
      <c r="Y84" s="44"/>
      <c r="Z84" s="44"/>
      <c r="AA84" s="44"/>
      <c r="AB84" s="44"/>
      <c r="AC84" s="44"/>
      <c r="AD84" s="44"/>
      <c r="AE84" s="44"/>
      <c r="AF84" s="44"/>
      <c r="AG84" s="44"/>
      <c r="AH84" s="44"/>
      <c r="AI84" s="44"/>
      <c r="AJ84" s="44"/>
      <c r="AK84" s="44"/>
    </row>
    <row r="85">
      <c r="A85" s="20"/>
      <c r="B85" s="20"/>
      <c r="C85" s="20"/>
      <c r="D85" s="20"/>
      <c r="E85" s="20"/>
      <c r="F85" s="21"/>
      <c r="G85" s="20"/>
      <c r="H85" s="20"/>
      <c r="I85" s="20"/>
      <c r="J85" s="20"/>
      <c r="K85" s="20"/>
      <c r="L85" s="21"/>
      <c r="M85" s="33" t="str">
        <f>IFERROR(__xludf.DUMMYFUNCTION("IFS(W85=""Achat"",IFERROR(VALUE(X85),VALUE(REGEXREPLACE(T(X85),""[^0-9]"",""""))),W85=""Vente"",-IFERROR(VALUE(X85),VALUE(REGEXREPLACE(T(X85),""[^0-9]"",""""))),Y85=""Change"",0,Y85&lt;&gt;""Change"","""")"),"")</f>
        <v/>
      </c>
      <c r="N85" s="34" t="str">
        <f>IFERROR(__xludf.DUMMYFUNCTION("IF(Account!$F85&lt;&gt;"""", VALUE(REGEXREPLACE($I85, ""\,"", ""."")), """")"),"")</f>
        <v/>
      </c>
      <c r="O85" s="35" t="str">
        <f>IF(Account!$F85&lt;&gt;"", DATEVALUE(MID($A85,4,3) &amp; LEFT($A85,3) &amp; RIGHT($A85,4)) + TIMEVALUE($B85), "")</f>
        <v/>
      </c>
      <c r="P85" s="36" t="str">
        <f>IF(Account!$F85&lt;&gt;"", DATEVALUE(MID($C85,4,3) &amp; LEFT($C85,3) &amp; RIGHT($C85,4)), "")</f>
        <v/>
      </c>
      <c r="Q85" s="37" t="str">
        <f t="array" ref="Q85">IF($R85&lt;&gt;"",IFERROR(INDEX(ISIN!$B:$B,MATCH($R85,ISIN!$C:$C,0))),)</f>
        <v/>
      </c>
      <c r="R85" s="38" t="str">
        <f t="array" ref="R85">IF($E85&lt;&gt;"",IFERROR(INDEX(ISIN!$C:$C,MATCH($E85,ISIN!$A:$A,0)),IFERROR(INDEX($R86:$R1200,MATCH($K85,$K86:$K1200,0)))),IF(AND($Y85="change",$H85="EUR"),IF($O85=$O86,$R86,IF($O85=$O84,$R84)),IFERROR(INDEX($R86:$R1200,MATCH(SUBSTITUTE($I85,"-","",1),$K86:$K1200,0)))))</f>
        <v/>
      </c>
      <c r="S85" s="37" t="str">
        <f t="shared" si="1"/>
        <v/>
      </c>
      <c r="T85" s="39" t="str">
        <f t="shared" si="2"/>
        <v/>
      </c>
      <c r="U85" s="40" t="str">
        <f t="shared" si="3"/>
        <v/>
      </c>
      <c r="V85" s="34" t="str">
        <f t="shared" si="4"/>
        <v/>
      </c>
      <c r="W85" s="41" t="str">
        <f>IFERROR(__xludf.DUMMYFUNCTION(" IF(Account!$F85&lt;&gt;"""", SPLIT(Account!$F85, "" ""), """")"),"")</f>
        <v/>
      </c>
      <c r="X85" s="44"/>
      <c r="Y85" s="44"/>
      <c r="Z85" s="44"/>
      <c r="AA85" s="44"/>
      <c r="AB85" s="44"/>
      <c r="AC85" s="44"/>
      <c r="AD85" s="44"/>
      <c r="AE85" s="44"/>
      <c r="AF85" s="44"/>
      <c r="AG85" s="44"/>
      <c r="AH85" s="44"/>
      <c r="AI85" s="44"/>
      <c r="AJ85" s="44"/>
      <c r="AK85" s="44"/>
    </row>
    <row r="86">
      <c r="A86" s="20"/>
      <c r="B86" s="20"/>
      <c r="C86" s="20"/>
      <c r="D86" s="20"/>
      <c r="E86" s="20"/>
      <c r="F86" s="21"/>
      <c r="G86" s="20"/>
      <c r="H86" s="20"/>
      <c r="I86" s="20"/>
      <c r="J86" s="20"/>
      <c r="K86" s="20"/>
      <c r="L86" s="21"/>
      <c r="M86" s="33" t="str">
        <f>IFERROR(__xludf.DUMMYFUNCTION("IFS(W86=""Achat"",IFERROR(VALUE(X86),VALUE(REGEXREPLACE(T(X86),""[^0-9]"",""""))),W86=""Vente"",-IFERROR(VALUE(X86),VALUE(REGEXREPLACE(T(X86),""[^0-9]"",""""))),Y86=""Change"",0,Y86&lt;&gt;""Change"","""")"),"")</f>
        <v/>
      </c>
      <c r="N86" s="34" t="str">
        <f>IFERROR(__xludf.DUMMYFUNCTION("IF(Account!$F86&lt;&gt;"""", VALUE(REGEXREPLACE($I86, ""\,"", ""."")), """")"),"")</f>
        <v/>
      </c>
      <c r="O86" s="35" t="str">
        <f>IF(Account!$F86&lt;&gt;"", DATEVALUE(MID($A86,4,3) &amp; LEFT($A86,3) &amp; RIGHT($A86,4)) + TIMEVALUE($B86), "")</f>
        <v/>
      </c>
      <c r="P86" s="36" t="str">
        <f>IF(Account!$F86&lt;&gt;"", DATEVALUE(MID($C86,4,3) &amp; LEFT($C86,3) &amp; RIGHT($C86,4)), "")</f>
        <v/>
      </c>
      <c r="Q86" s="37" t="str">
        <f t="array" ref="Q86">IF($R86&lt;&gt;"",IFERROR(INDEX(ISIN!$B:$B,MATCH($R86,ISIN!$C:$C,0))),)</f>
        <v/>
      </c>
      <c r="R86" s="38" t="str">
        <f t="array" ref="R86">IF($E86&lt;&gt;"",IFERROR(INDEX(ISIN!$C:$C,MATCH($E86,ISIN!$A:$A,0)),IFERROR(INDEX($R87:$R1200,MATCH($K86,$K87:$K1200,0)))),IF(AND($Y86="change",$H86="EUR"),IF($O86=$O87,$R87,IF($O86=$O85,$R85)),IFERROR(INDEX($R87:$R1200,MATCH(SUBSTITUTE($I86,"-","",1),$K87:$K1200,0)))))</f>
        <v/>
      </c>
      <c r="S86" s="37" t="str">
        <f t="shared" si="1"/>
        <v/>
      </c>
      <c r="T86" s="39" t="str">
        <f t="shared" si="2"/>
        <v/>
      </c>
      <c r="U86" s="40" t="str">
        <f t="shared" si="3"/>
        <v/>
      </c>
      <c r="V86" s="34" t="str">
        <f t="shared" si="4"/>
        <v/>
      </c>
      <c r="W86" s="41" t="str">
        <f>IFERROR(__xludf.DUMMYFUNCTION(" IF(Account!$F86&lt;&gt;"""", SPLIT(Account!$F86, "" ""), """")"),"")</f>
        <v/>
      </c>
      <c r="X86" s="44"/>
      <c r="Y86" s="44"/>
      <c r="Z86" s="44"/>
      <c r="AA86" s="44"/>
      <c r="AB86" s="44"/>
      <c r="AC86" s="44"/>
      <c r="AD86" s="44"/>
      <c r="AE86" s="44"/>
      <c r="AF86" s="44"/>
      <c r="AG86" s="44"/>
      <c r="AH86" s="44"/>
      <c r="AI86" s="44"/>
      <c r="AJ86" s="44"/>
      <c r="AK86" s="44"/>
    </row>
    <row r="87">
      <c r="A87" s="20"/>
      <c r="B87" s="20"/>
      <c r="C87" s="20"/>
      <c r="D87" s="20"/>
      <c r="E87" s="20"/>
      <c r="F87" s="21"/>
      <c r="G87" s="20"/>
      <c r="H87" s="20"/>
      <c r="I87" s="20"/>
      <c r="J87" s="20"/>
      <c r="K87" s="20"/>
      <c r="L87" s="21"/>
      <c r="M87" s="33" t="str">
        <f>IFERROR(__xludf.DUMMYFUNCTION("IFS(W87=""Achat"",IFERROR(VALUE(X87),VALUE(REGEXREPLACE(T(X87),""[^0-9]"",""""))),W87=""Vente"",-IFERROR(VALUE(X87),VALUE(REGEXREPLACE(T(X87),""[^0-9]"",""""))),Y87=""Change"",0,Y87&lt;&gt;""Change"","""")"),"")</f>
        <v/>
      </c>
      <c r="N87" s="34" t="str">
        <f>IFERROR(__xludf.DUMMYFUNCTION("IF(Account!$F87&lt;&gt;"""", VALUE(REGEXREPLACE($I87, ""\,"", ""."")), """")"),"")</f>
        <v/>
      </c>
      <c r="O87" s="35" t="str">
        <f>IF(Account!$F87&lt;&gt;"", DATEVALUE(MID($A87,4,3) &amp; LEFT($A87,3) &amp; RIGHT($A87,4)) + TIMEVALUE($B87), "")</f>
        <v/>
      </c>
      <c r="P87" s="36" t="str">
        <f>IF(Account!$F87&lt;&gt;"", DATEVALUE(MID($C87,4,3) &amp; LEFT($C87,3) &amp; RIGHT($C87,4)), "")</f>
        <v/>
      </c>
      <c r="Q87" s="37" t="str">
        <f t="array" ref="Q87">IF($R87&lt;&gt;"",IFERROR(INDEX(ISIN!$B:$B,MATCH($R87,ISIN!$C:$C,0))),)</f>
        <v/>
      </c>
      <c r="R87" s="38" t="str">
        <f t="array" ref="R87">IF($E87&lt;&gt;"",IFERROR(INDEX(ISIN!$C:$C,MATCH($E87,ISIN!$A:$A,0)),IFERROR(INDEX($R88:$R1200,MATCH($K87,$K88:$K1200,0)))),IF(AND($Y87="change",$H87="EUR"),IF($O87=$O88,$R88,IF($O87=$O86,$R86)),IFERROR(INDEX($R88:$R1200,MATCH(SUBSTITUTE($I87,"-","",1),$K88:$K1200,0)))))</f>
        <v/>
      </c>
      <c r="S87" s="37" t="str">
        <f t="shared" si="1"/>
        <v/>
      </c>
      <c r="T87" s="39" t="str">
        <f t="shared" si="2"/>
        <v/>
      </c>
      <c r="U87" s="40" t="str">
        <f t="shared" si="3"/>
        <v/>
      </c>
      <c r="V87" s="34" t="str">
        <f t="shared" si="4"/>
        <v/>
      </c>
      <c r="W87" s="41" t="str">
        <f>IFERROR(__xludf.DUMMYFUNCTION(" IF(Account!$F87&lt;&gt;"""", SPLIT(Account!$F87, "" ""), """")"),"")</f>
        <v/>
      </c>
      <c r="X87" s="44"/>
      <c r="Y87" s="44"/>
      <c r="Z87" s="44"/>
      <c r="AA87" s="44"/>
      <c r="AB87" s="44"/>
      <c r="AC87" s="44"/>
      <c r="AD87" s="44"/>
      <c r="AE87" s="44"/>
      <c r="AF87" s="44"/>
      <c r="AG87" s="44"/>
      <c r="AH87" s="44"/>
      <c r="AI87" s="44"/>
      <c r="AJ87" s="44"/>
      <c r="AK87" s="44"/>
    </row>
    <row r="88">
      <c r="A88" s="20"/>
      <c r="B88" s="20"/>
      <c r="C88" s="20"/>
      <c r="D88" s="20"/>
      <c r="E88" s="20"/>
      <c r="F88" s="21"/>
      <c r="G88" s="20"/>
      <c r="H88" s="20"/>
      <c r="I88" s="20"/>
      <c r="J88" s="20"/>
      <c r="K88" s="20"/>
      <c r="L88" s="21"/>
      <c r="M88" s="33" t="str">
        <f>IFERROR(__xludf.DUMMYFUNCTION("IFS(W88=""Achat"",IFERROR(VALUE(X88),VALUE(REGEXREPLACE(T(X88),""[^0-9]"",""""))),W88=""Vente"",-IFERROR(VALUE(X88),VALUE(REGEXREPLACE(T(X88),""[^0-9]"",""""))),Y88=""Change"",0,Y88&lt;&gt;""Change"","""")"),"")</f>
        <v/>
      </c>
      <c r="N88" s="34" t="str">
        <f>IFERROR(__xludf.DUMMYFUNCTION("IF(Account!$F88&lt;&gt;"""", VALUE(REGEXREPLACE($I88, ""\,"", ""."")), """")"),"")</f>
        <v/>
      </c>
      <c r="O88" s="35" t="str">
        <f>IF(Account!$F88&lt;&gt;"", DATEVALUE(MID($A88,4,3) &amp; LEFT($A88,3) &amp; RIGHT($A88,4)) + TIMEVALUE($B88), "")</f>
        <v/>
      </c>
      <c r="P88" s="36" t="str">
        <f>IF(Account!$F88&lt;&gt;"", DATEVALUE(MID($C88,4,3) &amp; LEFT($C88,3) &amp; RIGHT($C88,4)), "")</f>
        <v/>
      </c>
      <c r="Q88" s="37" t="str">
        <f t="array" ref="Q88">IF($R88&lt;&gt;"",IFERROR(INDEX(ISIN!$B:$B,MATCH($R88,ISIN!$C:$C,0))),)</f>
        <v/>
      </c>
      <c r="R88" s="38" t="str">
        <f t="array" ref="R88">IF($E88&lt;&gt;"",IFERROR(INDEX(ISIN!$C:$C,MATCH($E88,ISIN!$A:$A,0)),IFERROR(INDEX($R89:$R1200,MATCH($K88,$K89:$K1200,0)))),IF(AND($Y88="change",$H88="EUR"),IF($O88=$O89,$R89,IF($O88=$O87,$R87)),IFERROR(INDEX($R89:$R1200,MATCH(SUBSTITUTE($I88,"-","",1),$K89:$K1200,0)))))</f>
        <v/>
      </c>
      <c r="S88" s="37" t="str">
        <f t="shared" si="1"/>
        <v/>
      </c>
      <c r="T88" s="39" t="str">
        <f t="shared" si="2"/>
        <v/>
      </c>
      <c r="U88" s="40" t="str">
        <f t="shared" si="3"/>
        <v/>
      </c>
      <c r="V88" s="34" t="str">
        <f t="shared" si="4"/>
        <v/>
      </c>
      <c r="W88" s="41" t="str">
        <f>IFERROR(__xludf.DUMMYFUNCTION(" IF(Account!$F88&lt;&gt;"""", SPLIT(Account!$F88, "" ""), """")"),"")</f>
        <v/>
      </c>
      <c r="X88" s="44"/>
      <c r="Y88" s="44"/>
      <c r="Z88" s="44"/>
      <c r="AA88" s="44"/>
      <c r="AB88" s="44"/>
      <c r="AC88" s="44"/>
      <c r="AD88" s="44"/>
      <c r="AE88" s="44"/>
      <c r="AF88" s="44"/>
      <c r="AG88" s="44"/>
      <c r="AH88" s="44"/>
      <c r="AI88" s="44"/>
      <c r="AJ88" s="44"/>
      <c r="AK88" s="44"/>
    </row>
    <row r="89">
      <c r="A89" s="20"/>
      <c r="B89" s="20"/>
      <c r="C89" s="20"/>
      <c r="D89" s="20"/>
      <c r="E89" s="20"/>
      <c r="F89" s="21"/>
      <c r="G89" s="20"/>
      <c r="H89" s="20"/>
      <c r="I89" s="20"/>
      <c r="J89" s="20"/>
      <c r="K89" s="20"/>
      <c r="L89" s="21"/>
      <c r="M89" s="33" t="str">
        <f>IFERROR(__xludf.DUMMYFUNCTION("IFS(W89=""Achat"",IFERROR(VALUE(X89),VALUE(REGEXREPLACE(T(X89),""[^0-9]"",""""))),W89=""Vente"",-IFERROR(VALUE(X89),VALUE(REGEXREPLACE(T(X89),""[^0-9]"",""""))),Y89=""Change"",0,Y89&lt;&gt;""Change"","""")"),"")</f>
        <v/>
      </c>
      <c r="N89" s="34" t="str">
        <f>IFERROR(__xludf.DUMMYFUNCTION("IF(Account!$F89&lt;&gt;"""", VALUE(REGEXREPLACE($I89, ""\,"", ""."")), """")"),"")</f>
        <v/>
      </c>
      <c r="O89" s="35" t="str">
        <f>IF(Account!$F89&lt;&gt;"", DATEVALUE(MID($A89,4,3) &amp; LEFT($A89,3) &amp; RIGHT($A89,4)) + TIMEVALUE($B89), "")</f>
        <v/>
      </c>
      <c r="P89" s="36" t="str">
        <f>IF(Account!$F89&lt;&gt;"", DATEVALUE(MID($C89,4,3) &amp; LEFT($C89,3) &amp; RIGHT($C89,4)), "")</f>
        <v/>
      </c>
      <c r="Q89" s="37" t="str">
        <f t="array" ref="Q89">IF($R89&lt;&gt;"",IFERROR(INDEX(ISIN!$B:$B,MATCH($R89,ISIN!$C:$C,0))),)</f>
        <v/>
      </c>
      <c r="R89" s="38" t="str">
        <f t="array" ref="R89">IF($E89&lt;&gt;"",IFERROR(INDEX(ISIN!$C:$C,MATCH($E89,ISIN!$A:$A,0)),IFERROR(INDEX($R90:$R1200,MATCH($K89,$K90:$K1200,0)))),IF(AND($Y89="change",$H89="EUR"),IF($O89=$O90,$R90,IF($O89=$O88,$R88)),IFERROR(INDEX($R90:$R1200,MATCH(SUBSTITUTE($I89,"-","",1),$K90:$K1200,0)))))</f>
        <v/>
      </c>
      <c r="S89" s="37" t="str">
        <f t="shared" si="1"/>
        <v/>
      </c>
      <c r="T89" s="39" t="str">
        <f t="shared" si="2"/>
        <v/>
      </c>
      <c r="U89" s="40" t="str">
        <f t="shared" si="3"/>
        <v/>
      </c>
      <c r="V89" s="34" t="str">
        <f t="shared" si="4"/>
        <v/>
      </c>
      <c r="W89" s="41" t="str">
        <f>IFERROR(__xludf.DUMMYFUNCTION(" IF(Account!$F89&lt;&gt;"""", SPLIT(Account!$F89, "" ""), """")"),"")</f>
        <v/>
      </c>
      <c r="X89" s="44"/>
      <c r="Y89" s="44"/>
      <c r="Z89" s="44"/>
      <c r="AA89" s="44"/>
      <c r="AB89" s="44"/>
      <c r="AC89" s="44"/>
      <c r="AD89" s="44"/>
      <c r="AE89" s="44"/>
      <c r="AF89" s="44"/>
      <c r="AG89" s="44"/>
      <c r="AH89" s="44"/>
      <c r="AI89" s="44"/>
      <c r="AJ89" s="44"/>
      <c r="AK89" s="44"/>
    </row>
    <row r="90">
      <c r="A90" s="20"/>
      <c r="B90" s="20"/>
      <c r="C90" s="20"/>
      <c r="D90" s="20"/>
      <c r="E90" s="20"/>
      <c r="F90" s="21"/>
      <c r="G90" s="20"/>
      <c r="H90" s="20"/>
      <c r="I90" s="20"/>
      <c r="J90" s="20"/>
      <c r="K90" s="20"/>
      <c r="L90" s="21"/>
      <c r="M90" s="33" t="str">
        <f>IFERROR(__xludf.DUMMYFUNCTION("IFS(W90=""Achat"",IFERROR(VALUE(X90),VALUE(REGEXREPLACE(T(X90),""[^0-9]"",""""))),W90=""Vente"",-IFERROR(VALUE(X90),VALUE(REGEXREPLACE(T(X90),""[^0-9]"",""""))),Y90=""Change"",0,Y90&lt;&gt;""Change"","""")"),"")</f>
        <v/>
      </c>
      <c r="N90" s="34" t="str">
        <f>IFERROR(__xludf.DUMMYFUNCTION("IF(Account!$F90&lt;&gt;"""", VALUE(REGEXREPLACE($I90, ""\,"", ""."")), """")"),"")</f>
        <v/>
      </c>
      <c r="O90" s="35" t="str">
        <f>IF(Account!$F90&lt;&gt;"", DATEVALUE(MID($A90,4,3) &amp; LEFT($A90,3) &amp; RIGHT($A90,4)) + TIMEVALUE($B90), "")</f>
        <v/>
      </c>
      <c r="P90" s="36" t="str">
        <f>IF(Account!$F90&lt;&gt;"", DATEVALUE(MID($C90,4,3) &amp; LEFT($C90,3) &amp; RIGHT($C90,4)), "")</f>
        <v/>
      </c>
      <c r="Q90" s="37" t="str">
        <f t="array" ref="Q90">IF($R90&lt;&gt;"",IFERROR(INDEX(ISIN!$B:$B,MATCH($R90,ISIN!$C:$C,0))),)</f>
        <v/>
      </c>
      <c r="R90" s="38" t="str">
        <f t="array" ref="R90">IF($E90&lt;&gt;"",IFERROR(INDEX(ISIN!$C:$C,MATCH($E90,ISIN!$A:$A,0)),IFERROR(INDEX($R91:$R1200,MATCH($K90,$K91:$K1200,0)))),IF(AND($Y90="change",$H90="EUR"),IF($O90=$O91,$R91,IF($O90=$O89,$R89)),IFERROR(INDEX($R91:$R1200,MATCH(SUBSTITUTE($I90,"-","",1),$K91:$K1200,0)))))</f>
        <v/>
      </c>
      <c r="S90" s="37" t="str">
        <f t="shared" si="1"/>
        <v/>
      </c>
      <c r="T90" s="39" t="str">
        <f t="shared" si="2"/>
        <v/>
      </c>
      <c r="U90" s="40" t="str">
        <f t="shared" si="3"/>
        <v/>
      </c>
      <c r="V90" s="34" t="str">
        <f t="shared" si="4"/>
        <v/>
      </c>
      <c r="W90" s="41" t="str">
        <f>IFERROR(__xludf.DUMMYFUNCTION(" IF(Account!$F90&lt;&gt;"""", SPLIT(Account!$F90, "" ""), """")"),"")</f>
        <v/>
      </c>
      <c r="X90" s="44"/>
      <c r="Y90" s="44"/>
      <c r="Z90" s="44"/>
      <c r="AA90" s="44"/>
      <c r="AB90" s="44"/>
      <c r="AC90" s="44"/>
      <c r="AD90" s="44"/>
      <c r="AE90" s="44"/>
      <c r="AF90" s="44"/>
      <c r="AG90" s="44"/>
      <c r="AH90" s="44"/>
      <c r="AI90" s="44"/>
      <c r="AJ90" s="44"/>
      <c r="AK90" s="44"/>
    </row>
    <row r="91">
      <c r="A91" s="20"/>
      <c r="B91" s="20"/>
      <c r="C91" s="20"/>
      <c r="D91" s="20"/>
      <c r="E91" s="20"/>
      <c r="F91" s="21"/>
      <c r="G91" s="20"/>
      <c r="H91" s="20"/>
      <c r="I91" s="20"/>
      <c r="J91" s="20"/>
      <c r="K91" s="20"/>
      <c r="L91" s="21"/>
      <c r="M91" s="33" t="str">
        <f>IFERROR(__xludf.DUMMYFUNCTION("IFS(W91=""Achat"",IFERROR(VALUE(X91),VALUE(REGEXREPLACE(T(X91),""[^0-9]"",""""))),W91=""Vente"",-IFERROR(VALUE(X91),VALUE(REGEXREPLACE(T(X91),""[^0-9]"",""""))),Y91=""Change"",0,Y91&lt;&gt;""Change"","""")"),"")</f>
        <v/>
      </c>
      <c r="N91" s="34" t="str">
        <f>IFERROR(__xludf.DUMMYFUNCTION("IF(Account!$F91&lt;&gt;"""", VALUE(REGEXREPLACE($I91, ""\,"", ""."")), """")"),"")</f>
        <v/>
      </c>
      <c r="O91" s="35" t="str">
        <f>IF(Account!$F91&lt;&gt;"", DATEVALUE(MID($A91,4,3) &amp; LEFT($A91,3) &amp; RIGHT($A91,4)) + TIMEVALUE($B91), "")</f>
        <v/>
      </c>
      <c r="P91" s="36" t="str">
        <f>IF(Account!$F91&lt;&gt;"", DATEVALUE(MID($C91,4,3) &amp; LEFT($C91,3) &amp; RIGHT($C91,4)), "")</f>
        <v/>
      </c>
      <c r="Q91" s="37" t="str">
        <f t="array" ref="Q91">IF($R91&lt;&gt;"",IFERROR(INDEX(ISIN!$B:$B,MATCH($R91,ISIN!$C:$C,0))),)</f>
        <v/>
      </c>
      <c r="R91" s="38" t="str">
        <f t="array" ref="R91">IF($E91&lt;&gt;"",IFERROR(INDEX(ISIN!$C:$C,MATCH($E91,ISIN!$A:$A,0)),IFERROR(INDEX($R92:$R1200,MATCH($K91,$K92:$K1200,0)))),IF(AND($Y91="change",$H91="EUR"),IF($O91=$O92,$R92,IF($O91=$O90,$R90)),IFERROR(INDEX($R92:$R1200,MATCH(SUBSTITUTE($I91,"-","",1),$K92:$K1200,0)))))</f>
        <v/>
      </c>
      <c r="S91" s="37" t="str">
        <f t="shared" si="1"/>
        <v/>
      </c>
      <c r="T91" s="39" t="str">
        <f t="shared" si="2"/>
        <v/>
      </c>
      <c r="U91" s="40" t="str">
        <f t="shared" si="3"/>
        <v/>
      </c>
      <c r="V91" s="34" t="str">
        <f t="shared" si="4"/>
        <v/>
      </c>
      <c r="W91" s="41" t="str">
        <f>IFERROR(__xludf.DUMMYFUNCTION(" IF(Account!$F91&lt;&gt;"""", SPLIT(Account!$F91, "" ""), """")"),"")</f>
        <v/>
      </c>
      <c r="X91" s="44"/>
      <c r="Y91" s="44"/>
      <c r="Z91" s="44"/>
      <c r="AA91" s="44"/>
      <c r="AB91" s="44"/>
      <c r="AC91" s="44"/>
      <c r="AD91" s="44"/>
      <c r="AE91" s="44"/>
      <c r="AF91" s="44"/>
      <c r="AG91" s="44"/>
      <c r="AH91" s="44"/>
      <c r="AI91" s="44"/>
      <c r="AJ91" s="44"/>
      <c r="AK91" s="44"/>
    </row>
    <row r="92">
      <c r="A92" s="20"/>
      <c r="B92" s="20"/>
      <c r="C92" s="20"/>
      <c r="D92" s="20"/>
      <c r="E92" s="20"/>
      <c r="F92" s="21"/>
      <c r="G92" s="20"/>
      <c r="H92" s="20"/>
      <c r="I92" s="20"/>
      <c r="J92" s="20"/>
      <c r="K92" s="20"/>
      <c r="L92" s="21"/>
      <c r="M92" s="33" t="str">
        <f>IFERROR(__xludf.DUMMYFUNCTION("IFS(W92=""Achat"",IFERROR(VALUE(X92),VALUE(REGEXREPLACE(T(X92),""[^0-9]"",""""))),W92=""Vente"",-IFERROR(VALUE(X92),VALUE(REGEXREPLACE(T(X92),""[^0-9]"",""""))),Y92=""Change"",0,Y92&lt;&gt;""Change"","""")"),"")</f>
        <v/>
      </c>
      <c r="N92" s="34" t="str">
        <f>IFERROR(__xludf.DUMMYFUNCTION("IF(Account!$F92&lt;&gt;"""", VALUE(REGEXREPLACE($I92, ""\,"", ""."")), """")"),"")</f>
        <v/>
      </c>
      <c r="O92" s="35" t="str">
        <f>IF(Account!$F92&lt;&gt;"", DATEVALUE(MID($A92,4,3) &amp; LEFT($A92,3) &amp; RIGHT($A92,4)) + TIMEVALUE($B92), "")</f>
        <v/>
      </c>
      <c r="P92" s="36" t="str">
        <f>IF(Account!$F92&lt;&gt;"", DATEVALUE(MID($C92,4,3) &amp; LEFT($C92,3) &amp; RIGHT($C92,4)), "")</f>
        <v/>
      </c>
      <c r="Q92" s="37" t="str">
        <f t="array" ref="Q92">IF($R92&lt;&gt;"",IFERROR(INDEX(ISIN!$B:$B,MATCH($R92,ISIN!$C:$C,0))),)</f>
        <v/>
      </c>
      <c r="R92" s="38" t="str">
        <f t="array" ref="R92">IF($E92&lt;&gt;"",IFERROR(INDEX(ISIN!$C:$C,MATCH($E92,ISIN!$A:$A,0)),IFERROR(INDEX($R93:$R1200,MATCH($K92,$K93:$K1200,0)))),IF(AND($Y92="change",$H92="EUR"),IF($O92=$O93,$R93,IF($O92=$O91,$R91)),IFERROR(INDEX($R93:$R1200,MATCH(SUBSTITUTE($I92,"-","",1),$K93:$K1200,0)))))</f>
        <v/>
      </c>
      <c r="S92" s="37" t="str">
        <f t="shared" si="1"/>
        <v/>
      </c>
      <c r="T92" s="39" t="str">
        <f t="shared" si="2"/>
        <v/>
      </c>
      <c r="U92" s="40" t="str">
        <f t="shared" si="3"/>
        <v/>
      </c>
      <c r="V92" s="34" t="str">
        <f t="shared" si="4"/>
        <v/>
      </c>
      <c r="W92" s="41" t="str">
        <f>IFERROR(__xludf.DUMMYFUNCTION(" IF(Account!$F92&lt;&gt;"""", SPLIT(Account!$F92, "" ""), """")"),"")</f>
        <v/>
      </c>
      <c r="X92" s="44"/>
      <c r="Y92" s="44"/>
      <c r="Z92" s="44"/>
      <c r="AA92" s="44"/>
      <c r="AB92" s="44"/>
      <c r="AC92" s="44"/>
      <c r="AD92" s="44"/>
      <c r="AE92" s="44"/>
      <c r="AF92" s="44"/>
      <c r="AG92" s="44"/>
      <c r="AH92" s="44"/>
      <c r="AI92" s="44"/>
      <c r="AJ92" s="44"/>
      <c r="AK92" s="44"/>
    </row>
    <row r="93">
      <c r="A93" s="20"/>
      <c r="B93" s="20"/>
      <c r="C93" s="20"/>
      <c r="D93" s="20"/>
      <c r="E93" s="20"/>
      <c r="F93" s="21"/>
      <c r="G93" s="20"/>
      <c r="H93" s="20"/>
      <c r="I93" s="20"/>
      <c r="J93" s="20"/>
      <c r="K93" s="20"/>
      <c r="L93" s="21"/>
      <c r="M93" s="33" t="str">
        <f>IFERROR(__xludf.DUMMYFUNCTION("IFS(W93=""Achat"",IFERROR(VALUE(X93),VALUE(REGEXREPLACE(T(X93),""[^0-9]"",""""))),W93=""Vente"",-IFERROR(VALUE(X93),VALUE(REGEXREPLACE(T(X93),""[^0-9]"",""""))),Y93=""Change"",0,Y93&lt;&gt;""Change"","""")"),"")</f>
        <v/>
      </c>
      <c r="N93" s="34" t="str">
        <f>IFERROR(__xludf.DUMMYFUNCTION("IF(Account!$F93&lt;&gt;"""", VALUE(REGEXREPLACE($I93, ""\,"", ""."")), """")"),"")</f>
        <v/>
      </c>
      <c r="O93" s="35" t="str">
        <f>IF(Account!$F93&lt;&gt;"", DATEVALUE(MID($A93,4,3) &amp; LEFT($A93,3) &amp; RIGHT($A93,4)) + TIMEVALUE($B93), "")</f>
        <v/>
      </c>
      <c r="P93" s="36" t="str">
        <f>IF(Account!$F93&lt;&gt;"", DATEVALUE(MID($C93,4,3) &amp; LEFT($C93,3) &amp; RIGHT($C93,4)), "")</f>
        <v/>
      </c>
      <c r="Q93" s="37" t="str">
        <f t="array" ref="Q93">IF($R93&lt;&gt;"",IFERROR(INDEX(ISIN!$B:$B,MATCH($R93,ISIN!$C:$C,0))),)</f>
        <v/>
      </c>
      <c r="R93" s="38" t="str">
        <f t="array" ref="R93">IF($E93&lt;&gt;"",IFERROR(INDEX(ISIN!$C:$C,MATCH($E93,ISIN!$A:$A,0)),IFERROR(INDEX($R94:$R1200,MATCH($K93,$K94:$K1200,0)))),IF(AND($Y93="change",$H93="EUR"),IF($O93=$O94,$R94,IF($O93=$O92,$R92)),IFERROR(INDEX($R94:$R1200,MATCH(SUBSTITUTE($I93,"-","",1),$K94:$K1200,0)))))</f>
        <v/>
      </c>
      <c r="S93" s="37" t="str">
        <f t="shared" si="1"/>
        <v/>
      </c>
      <c r="T93" s="39" t="str">
        <f t="shared" si="2"/>
        <v/>
      </c>
      <c r="U93" s="40" t="str">
        <f t="shared" si="3"/>
        <v/>
      </c>
      <c r="V93" s="34" t="str">
        <f t="shared" si="4"/>
        <v/>
      </c>
      <c r="W93" s="41" t="str">
        <f>IFERROR(__xludf.DUMMYFUNCTION(" IF(Account!$F93&lt;&gt;"""", SPLIT(Account!$F93, "" ""), """")"),"")</f>
        <v/>
      </c>
      <c r="X93" s="44"/>
      <c r="Y93" s="44"/>
      <c r="Z93" s="44"/>
      <c r="AA93" s="44"/>
      <c r="AB93" s="44"/>
      <c r="AC93" s="44"/>
      <c r="AD93" s="44"/>
      <c r="AE93" s="44"/>
      <c r="AF93" s="44"/>
      <c r="AG93" s="44"/>
      <c r="AH93" s="44"/>
      <c r="AI93" s="44"/>
      <c r="AJ93" s="44"/>
      <c r="AK93" s="44"/>
    </row>
    <row r="94">
      <c r="A94" s="20"/>
      <c r="B94" s="20"/>
      <c r="C94" s="20"/>
      <c r="D94" s="20"/>
      <c r="E94" s="20"/>
      <c r="F94" s="21"/>
      <c r="G94" s="20"/>
      <c r="H94" s="20"/>
      <c r="I94" s="20"/>
      <c r="J94" s="20"/>
      <c r="K94" s="20"/>
      <c r="L94" s="21"/>
      <c r="M94" s="33" t="str">
        <f>IFERROR(__xludf.DUMMYFUNCTION("IFS(W94=""Achat"",IFERROR(VALUE(X94),VALUE(REGEXREPLACE(T(X94),""[^0-9]"",""""))),W94=""Vente"",-IFERROR(VALUE(X94),VALUE(REGEXREPLACE(T(X94),""[^0-9]"",""""))),Y94=""Change"",0,Y94&lt;&gt;""Change"","""")"),"")</f>
        <v/>
      </c>
      <c r="N94" s="34" t="str">
        <f>IFERROR(__xludf.DUMMYFUNCTION("IF(Account!$F94&lt;&gt;"""", VALUE(REGEXREPLACE($I94, ""\,"", ""."")), """")"),"")</f>
        <v/>
      </c>
      <c r="O94" s="35" t="str">
        <f>IF(Account!$F94&lt;&gt;"", DATEVALUE(MID($A94,4,3) &amp; LEFT($A94,3) &amp; RIGHT($A94,4)) + TIMEVALUE($B94), "")</f>
        <v/>
      </c>
      <c r="P94" s="36" t="str">
        <f>IF(Account!$F94&lt;&gt;"", DATEVALUE(MID($C94,4,3) &amp; LEFT($C94,3) &amp; RIGHT($C94,4)), "")</f>
        <v/>
      </c>
      <c r="Q94" s="37" t="str">
        <f t="array" ref="Q94">IF($R94&lt;&gt;"",IFERROR(INDEX(ISIN!$B:$B,MATCH($R94,ISIN!$C:$C,0))),)</f>
        <v/>
      </c>
      <c r="R94" s="38" t="str">
        <f t="array" ref="R94">IF($E94&lt;&gt;"",IFERROR(INDEX(ISIN!$C:$C,MATCH($E94,ISIN!$A:$A,0)),IFERROR(INDEX($R95:$R1200,MATCH($K94,$K95:$K1200,0)))),IF(AND($Y94="change",$H94="EUR"),IF($O94=$O95,$R95,IF($O94=$O93,$R93)),IFERROR(INDEX($R95:$R1200,MATCH(SUBSTITUTE($I94,"-","",1),$K95:$K1200,0)))))</f>
        <v/>
      </c>
      <c r="S94" s="37" t="str">
        <f t="shared" si="1"/>
        <v/>
      </c>
      <c r="T94" s="39" t="str">
        <f t="shared" si="2"/>
        <v/>
      </c>
      <c r="U94" s="40" t="str">
        <f t="shared" si="3"/>
        <v/>
      </c>
      <c r="V94" s="34" t="str">
        <f t="shared" si="4"/>
        <v/>
      </c>
      <c r="W94" s="41" t="str">
        <f>IFERROR(__xludf.DUMMYFUNCTION(" IF(Account!$F94&lt;&gt;"""", SPLIT(Account!$F94, "" ""), """")"),"")</f>
        <v/>
      </c>
      <c r="X94" s="44"/>
      <c r="Y94" s="44"/>
      <c r="Z94" s="44"/>
      <c r="AA94" s="44"/>
      <c r="AB94" s="44"/>
      <c r="AC94" s="44"/>
      <c r="AD94" s="44"/>
      <c r="AE94" s="44"/>
      <c r="AF94" s="44"/>
      <c r="AG94" s="44"/>
      <c r="AH94" s="44"/>
      <c r="AI94" s="44"/>
      <c r="AJ94" s="44"/>
      <c r="AK94" s="44"/>
    </row>
    <row r="95">
      <c r="A95" s="20"/>
      <c r="B95" s="20"/>
      <c r="C95" s="20"/>
      <c r="D95" s="20"/>
      <c r="E95" s="20"/>
      <c r="F95" s="21"/>
      <c r="G95" s="20"/>
      <c r="H95" s="20"/>
      <c r="I95" s="20"/>
      <c r="J95" s="20"/>
      <c r="K95" s="20"/>
      <c r="L95" s="21"/>
      <c r="M95" s="33" t="str">
        <f>IFERROR(__xludf.DUMMYFUNCTION("IFS(W95=""Achat"",IFERROR(VALUE(X95),VALUE(REGEXREPLACE(T(X95),""[^0-9]"",""""))),W95=""Vente"",-IFERROR(VALUE(X95),VALUE(REGEXREPLACE(T(X95),""[^0-9]"",""""))),Y95=""Change"",0,Y95&lt;&gt;""Change"","""")"),"")</f>
        <v/>
      </c>
      <c r="N95" s="34" t="str">
        <f>IFERROR(__xludf.DUMMYFUNCTION("IF(Account!$F95&lt;&gt;"""", VALUE(REGEXREPLACE($I95, ""\,"", ""."")), """")"),"")</f>
        <v/>
      </c>
      <c r="O95" s="35" t="str">
        <f>IF(Account!$F95&lt;&gt;"", DATEVALUE(MID($A95,4,3) &amp; LEFT($A95,3) &amp; RIGHT($A95,4)) + TIMEVALUE($B95), "")</f>
        <v/>
      </c>
      <c r="P95" s="36" t="str">
        <f>IF(Account!$F95&lt;&gt;"", DATEVALUE(MID($C95,4,3) &amp; LEFT($C95,3) &amp; RIGHT($C95,4)), "")</f>
        <v/>
      </c>
      <c r="Q95" s="37" t="str">
        <f t="array" ref="Q95">IF($R95&lt;&gt;"",IFERROR(INDEX(ISIN!$B:$B,MATCH($R95,ISIN!$C:$C,0))),)</f>
        <v/>
      </c>
      <c r="R95" s="38" t="str">
        <f t="array" ref="R95">IF($E95&lt;&gt;"",IFERROR(INDEX(ISIN!$C:$C,MATCH($E95,ISIN!$A:$A,0)),IFERROR(INDEX($R96:$R1200,MATCH($K95,$K96:$K1200,0)))),IF(AND($Y95="change",$H95="EUR"),IF($O95=$O96,$R96,IF($O95=$O94,$R94)),IFERROR(INDEX($R96:$R1200,MATCH(SUBSTITUTE($I95,"-","",1),$K96:$K1200,0)))))</f>
        <v/>
      </c>
      <c r="S95" s="37" t="str">
        <f t="shared" si="1"/>
        <v/>
      </c>
      <c r="T95" s="39" t="str">
        <f t="shared" si="2"/>
        <v/>
      </c>
      <c r="U95" s="40" t="str">
        <f t="shared" si="3"/>
        <v/>
      </c>
      <c r="V95" s="34" t="str">
        <f t="shared" si="4"/>
        <v/>
      </c>
      <c r="W95" s="41" t="str">
        <f>IFERROR(__xludf.DUMMYFUNCTION(" IF(Account!$F95&lt;&gt;"""", SPLIT(Account!$F95, "" ""), """")"),"")</f>
        <v/>
      </c>
      <c r="X95" s="44"/>
      <c r="Y95" s="44"/>
      <c r="Z95" s="44"/>
      <c r="AA95" s="44"/>
      <c r="AB95" s="44"/>
      <c r="AC95" s="44"/>
      <c r="AD95" s="44"/>
      <c r="AE95" s="44"/>
      <c r="AF95" s="44"/>
      <c r="AG95" s="44"/>
      <c r="AH95" s="44"/>
      <c r="AI95" s="44"/>
      <c r="AJ95" s="44"/>
      <c r="AK95" s="44"/>
    </row>
    <row r="96">
      <c r="A96" s="20"/>
      <c r="B96" s="20"/>
      <c r="C96" s="20"/>
      <c r="D96" s="20"/>
      <c r="E96" s="20"/>
      <c r="F96" s="21"/>
      <c r="G96" s="20"/>
      <c r="H96" s="20"/>
      <c r="I96" s="20"/>
      <c r="J96" s="20"/>
      <c r="K96" s="20"/>
      <c r="L96" s="21"/>
      <c r="M96" s="33" t="str">
        <f>IFERROR(__xludf.DUMMYFUNCTION("IFS(W96=""Achat"",IFERROR(VALUE(X96),VALUE(REGEXREPLACE(T(X96),""[^0-9]"",""""))),W96=""Vente"",-IFERROR(VALUE(X96),VALUE(REGEXREPLACE(T(X96),""[^0-9]"",""""))),Y96=""Change"",0,Y96&lt;&gt;""Change"","""")"),"")</f>
        <v/>
      </c>
      <c r="N96" s="34" t="str">
        <f>IFERROR(__xludf.DUMMYFUNCTION("IF(Account!$F96&lt;&gt;"""", VALUE(REGEXREPLACE($I96, ""\,"", ""."")), """")"),"")</f>
        <v/>
      </c>
      <c r="O96" s="35" t="str">
        <f>IF(Account!$F96&lt;&gt;"", DATEVALUE(MID($A96,4,3) &amp; LEFT($A96,3) &amp; RIGHT($A96,4)) + TIMEVALUE($B96), "")</f>
        <v/>
      </c>
      <c r="P96" s="36" t="str">
        <f>IF(Account!$F96&lt;&gt;"", DATEVALUE(MID($C96,4,3) &amp; LEFT($C96,3) &amp; RIGHT($C96,4)), "")</f>
        <v/>
      </c>
      <c r="Q96" s="37" t="str">
        <f t="array" ref="Q96">IF($R96&lt;&gt;"",IFERROR(INDEX(ISIN!$B:$B,MATCH($R96,ISIN!$C:$C,0))),)</f>
        <v/>
      </c>
      <c r="R96" s="38" t="str">
        <f t="array" ref="R96">IF($E96&lt;&gt;"",IFERROR(INDEX(ISIN!$C:$C,MATCH($E96,ISIN!$A:$A,0)),IFERROR(INDEX($R97:$R1200,MATCH($K96,$K97:$K1200,0)))),IF(AND($Y96="change",$H96="EUR"),IF($O96=$O97,$R97,IF($O96=$O95,$R95)),IFERROR(INDEX($R97:$R1200,MATCH(SUBSTITUTE($I96,"-","",1),$K97:$K1200,0)))))</f>
        <v/>
      </c>
      <c r="S96" s="37" t="str">
        <f t="shared" si="1"/>
        <v/>
      </c>
      <c r="T96" s="39" t="str">
        <f t="shared" si="2"/>
        <v/>
      </c>
      <c r="U96" s="40" t="str">
        <f t="shared" si="3"/>
        <v/>
      </c>
      <c r="V96" s="34" t="str">
        <f t="shared" si="4"/>
        <v/>
      </c>
      <c r="W96" s="41" t="str">
        <f>IFERROR(__xludf.DUMMYFUNCTION(" IF(Account!$F96&lt;&gt;"""", SPLIT(Account!$F96, "" ""), """")"),"")</f>
        <v/>
      </c>
      <c r="X96" s="44"/>
      <c r="Y96" s="44"/>
      <c r="Z96" s="44"/>
      <c r="AA96" s="44"/>
      <c r="AB96" s="44"/>
      <c r="AC96" s="44"/>
      <c r="AD96" s="44"/>
      <c r="AE96" s="44"/>
      <c r="AF96" s="44"/>
      <c r="AG96" s="44"/>
      <c r="AH96" s="44"/>
      <c r="AI96" s="44"/>
      <c r="AJ96" s="44"/>
      <c r="AK96" s="44"/>
    </row>
    <row r="97">
      <c r="A97" s="20"/>
      <c r="B97" s="20"/>
      <c r="C97" s="20"/>
      <c r="D97" s="20"/>
      <c r="E97" s="20"/>
      <c r="F97" s="21"/>
      <c r="G97" s="20"/>
      <c r="H97" s="20"/>
      <c r="I97" s="20"/>
      <c r="J97" s="20"/>
      <c r="K97" s="20"/>
      <c r="L97" s="21"/>
      <c r="M97" s="33" t="str">
        <f>IFERROR(__xludf.DUMMYFUNCTION("IFS(W97=""Achat"",IFERROR(VALUE(X97),VALUE(REGEXREPLACE(T(X97),""[^0-9]"",""""))),W97=""Vente"",-IFERROR(VALUE(X97),VALUE(REGEXREPLACE(T(X97),""[^0-9]"",""""))),Y97=""Change"",0,Y97&lt;&gt;""Change"","""")"),"")</f>
        <v/>
      </c>
      <c r="N97" s="34" t="str">
        <f>IFERROR(__xludf.DUMMYFUNCTION("IF(Account!$F97&lt;&gt;"""", VALUE(REGEXREPLACE($I97, ""\,"", ""."")), """")"),"")</f>
        <v/>
      </c>
      <c r="O97" s="35" t="str">
        <f>IF(Account!$F97&lt;&gt;"", DATEVALUE(MID($A97,4,3) &amp; LEFT($A97,3) &amp; RIGHT($A97,4)) + TIMEVALUE($B97), "")</f>
        <v/>
      </c>
      <c r="P97" s="36" t="str">
        <f>IF(Account!$F97&lt;&gt;"", DATEVALUE(MID($C97,4,3) &amp; LEFT($C97,3) &amp; RIGHT($C97,4)), "")</f>
        <v/>
      </c>
      <c r="Q97" s="37" t="str">
        <f t="array" ref="Q97">IF($R97&lt;&gt;"",IFERROR(INDEX(ISIN!$B:$B,MATCH($R97,ISIN!$C:$C,0))),)</f>
        <v/>
      </c>
      <c r="R97" s="38" t="str">
        <f t="array" ref="R97">IF($E97&lt;&gt;"",IFERROR(INDEX(ISIN!$C:$C,MATCH($E97,ISIN!$A:$A,0)),IFERROR(INDEX($R98:$R1200,MATCH($K97,$K98:$K1200,0)))),IF(AND($Y97="change",$H97="EUR"),IF($O97=$O98,$R98,IF($O97=$O96,$R96)),IFERROR(INDEX($R98:$R1200,MATCH(SUBSTITUTE($I97,"-","",1),$K98:$K1200,0)))))</f>
        <v/>
      </c>
      <c r="S97" s="37" t="str">
        <f t="shared" si="1"/>
        <v/>
      </c>
      <c r="T97" s="39" t="str">
        <f t="shared" si="2"/>
        <v/>
      </c>
      <c r="U97" s="40" t="str">
        <f t="shared" si="3"/>
        <v/>
      </c>
      <c r="V97" s="34" t="str">
        <f t="shared" si="4"/>
        <v/>
      </c>
      <c r="W97" s="41" t="str">
        <f>IFERROR(__xludf.DUMMYFUNCTION(" IF(Account!$F97&lt;&gt;"""", SPLIT(Account!$F97, "" ""), """")"),"")</f>
        <v/>
      </c>
      <c r="X97" s="44"/>
      <c r="Y97" s="44"/>
      <c r="Z97" s="44"/>
      <c r="AA97" s="44"/>
      <c r="AB97" s="44"/>
      <c r="AC97" s="44"/>
      <c r="AD97" s="44"/>
      <c r="AE97" s="44"/>
      <c r="AF97" s="44"/>
      <c r="AG97" s="44"/>
      <c r="AH97" s="44"/>
      <c r="AI97" s="44"/>
      <c r="AJ97" s="44"/>
      <c r="AK97" s="44"/>
    </row>
    <row r="98">
      <c r="A98" s="20"/>
      <c r="B98" s="20"/>
      <c r="C98" s="20"/>
      <c r="D98" s="20"/>
      <c r="E98" s="20"/>
      <c r="F98" s="21"/>
      <c r="G98" s="20"/>
      <c r="H98" s="20"/>
      <c r="I98" s="20"/>
      <c r="J98" s="20"/>
      <c r="K98" s="20"/>
      <c r="L98" s="21"/>
      <c r="M98" s="33" t="str">
        <f>IFERROR(__xludf.DUMMYFUNCTION("IFS(W98=""Achat"",IFERROR(VALUE(X98),VALUE(REGEXREPLACE(T(X98),""[^0-9]"",""""))),W98=""Vente"",-IFERROR(VALUE(X98),VALUE(REGEXREPLACE(T(X98),""[^0-9]"",""""))),Y98=""Change"",0,Y98&lt;&gt;""Change"","""")"),"")</f>
        <v/>
      </c>
      <c r="N98" s="34" t="str">
        <f>IFERROR(__xludf.DUMMYFUNCTION("IF(Account!$F98&lt;&gt;"""", VALUE(REGEXREPLACE($I98, ""\,"", ""."")), """")"),"")</f>
        <v/>
      </c>
      <c r="O98" s="35" t="str">
        <f>IF(Account!$F98&lt;&gt;"", DATEVALUE(MID($A98,4,3) &amp; LEFT($A98,3) &amp; RIGHT($A98,4)) + TIMEVALUE($B98), "")</f>
        <v/>
      </c>
      <c r="P98" s="36" t="str">
        <f>IF(Account!$F98&lt;&gt;"", DATEVALUE(MID($C98,4,3) &amp; LEFT($C98,3) &amp; RIGHT($C98,4)), "")</f>
        <v/>
      </c>
      <c r="Q98" s="37" t="str">
        <f t="array" ref="Q98">IF($R98&lt;&gt;"",IFERROR(INDEX(ISIN!$B:$B,MATCH($R98,ISIN!$C:$C,0))),)</f>
        <v/>
      </c>
      <c r="R98" s="38" t="str">
        <f t="array" ref="R98">IF($E98&lt;&gt;"",IFERROR(INDEX(ISIN!$C:$C,MATCH($E98,ISIN!$A:$A,0)),IFERROR(INDEX($R99:$R1200,MATCH($K98,$K99:$K1200,0)))),IF(AND($Y98="change",$H98="EUR"),IF($O98=$O99,$R99,IF($O98=$O97,$R97)),IFERROR(INDEX($R99:$R1200,MATCH(SUBSTITUTE($I98,"-","",1),$K99:$K1200,0)))))</f>
        <v/>
      </c>
      <c r="S98" s="37" t="str">
        <f t="shared" si="1"/>
        <v/>
      </c>
      <c r="T98" s="39" t="str">
        <f t="shared" si="2"/>
        <v/>
      </c>
      <c r="U98" s="40" t="str">
        <f t="shared" si="3"/>
        <v/>
      </c>
      <c r="V98" s="34" t="str">
        <f t="shared" si="4"/>
        <v/>
      </c>
      <c r="W98" s="41" t="str">
        <f>IFERROR(__xludf.DUMMYFUNCTION(" IF(Account!$F98&lt;&gt;"""", SPLIT(Account!$F98, "" ""), """")"),"")</f>
        <v/>
      </c>
      <c r="X98" s="44"/>
      <c r="Y98" s="44"/>
      <c r="Z98" s="44"/>
      <c r="AA98" s="44"/>
      <c r="AB98" s="44"/>
      <c r="AC98" s="44"/>
      <c r="AD98" s="44"/>
      <c r="AE98" s="44"/>
      <c r="AF98" s="44"/>
      <c r="AG98" s="44"/>
      <c r="AH98" s="44"/>
      <c r="AI98" s="44"/>
      <c r="AJ98" s="44"/>
      <c r="AK98" s="44"/>
    </row>
    <row r="99">
      <c r="A99" s="20"/>
      <c r="B99" s="20"/>
      <c r="C99" s="20"/>
      <c r="D99" s="20"/>
      <c r="E99" s="20"/>
      <c r="F99" s="21"/>
      <c r="G99" s="20"/>
      <c r="H99" s="20"/>
      <c r="I99" s="20"/>
      <c r="J99" s="20"/>
      <c r="K99" s="20"/>
      <c r="L99" s="21"/>
      <c r="M99" s="33" t="str">
        <f>IFERROR(__xludf.DUMMYFUNCTION("IFS(W99=""Achat"",IFERROR(VALUE(X99),VALUE(REGEXREPLACE(T(X99),""[^0-9]"",""""))),W99=""Vente"",-IFERROR(VALUE(X99),VALUE(REGEXREPLACE(T(X99),""[^0-9]"",""""))),Y99=""Change"",0,Y99&lt;&gt;""Change"","""")"),"")</f>
        <v/>
      </c>
      <c r="N99" s="34" t="str">
        <f>IFERROR(__xludf.DUMMYFUNCTION("IF(Account!$F99&lt;&gt;"""", VALUE(REGEXREPLACE($I99, ""\,"", ""."")), """")"),"")</f>
        <v/>
      </c>
      <c r="O99" s="35" t="str">
        <f>IF(Account!$F99&lt;&gt;"", DATEVALUE(MID($A99,4,3) &amp; LEFT($A99,3) &amp; RIGHT($A99,4)) + TIMEVALUE($B99), "")</f>
        <v/>
      </c>
      <c r="P99" s="36" t="str">
        <f>IF(Account!$F99&lt;&gt;"", DATEVALUE(MID($C99,4,3) &amp; LEFT($C99,3) &amp; RIGHT($C99,4)), "")</f>
        <v/>
      </c>
      <c r="Q99" s="37" t="str">
        <f t="array" ref="Q99">IF($R99&lt;&gt;"",IFERROR(INDEX(ISIN!$B:$B,MATCH($R99,ISIN!$C:$C,0))),)</f>
        <v/>
      </c>
      <c r="R99" s="38" t="str">
        <f t="array" ref="R99">IF($E99&lt;&gt;"",IFERROR(INDEX(ISIN!$C:$C,MATCH($E99,ISIN!$A:$A,0)),IFERROR(INDEX($R100:$R1200,MATCH($K99,$K100:$K1200,0)))),IF(AND($Y99="change",$H99="EUR"),IF($O99=$O100,$R100,IF($O99=$O98,$R98)),IFERROR(INDEX($R100:$R1200,MATCH(SUBSTITUTE($I99,"-","",1),$K100:$K1200,0)))))</f>
        <v/>
      </c>
      <c r="S99" s="37" t="str">
        <f t="shared" si="1"/>
        <v/>
      </c>
      <c r="T99" s="39" t="str">
        <f t="shared" si="2"/>
        <v/>
      </c>
      <c r="U99" s="40" t="str">
        <f t="shared" si="3"/>
        <v/>
      </c>
      <c r="V99" s="34" t="str">
        <f t="shared" si="4"/>
        <v/>
      </c>
      <c r="W99" s="41" t="str">
        <f>IFERROR(__xludf.DUMMYFUNCTION(" IF(Account!$F99&lt;&gt;"""", SPLIT(Account!$F99, "" ""), """")"),"")</f>
        <v/>
      </c>
      <c r="X99" s="44"/>
      <c r="Y99" s="44"/>
      <c r="Z99" s="44"/>
      <c r="AA99" s="44"/>
      <c r="AB99" s="44"/>
      <c r="AC99" s="44"/>
      <c r="AD99" s="44"/>
      <c r="AE99" s="44"/>
      <c r="AF99" s="44"/>
      <c r="AG99" s="44"/>
      <c r="AH99" s="44"/>
      <c r="AI99" s="44"/>
      <c r="AJ99" s="44"/>
      <c r="AK99" s="44"/>
    </row>
    <row r="100">
      <c r="A100" s="20"/>
      <c r="B100" s="20"/>
      <c r="C100" s="20"/>
      <c r="D100" s="20"/>
      <c r="E100" s="20"/>
      <c r="F100" s="21"/>
      <c r="G100" s="20"/>
      <c r="H100" s="20"/>
      <c r="I100" s="20"/>
      <c r="J100" s="20"/>
      <c r="K100" s="20"/>
      <c r="L100" s="21"/>
      <c r="M100" s="33" t="str">
        <f>IFERROR(__xludf.DUMMYFUNCTION("IFS(W100=""Achat"",IFERROR(VALUE(X100),VALUE(REGEXREPLACE(T(X100),""[^0-9]"",""""))),W100=""Vente"",-IFERROR(VALUE(X100),VALUE(REGEXREPLACE(T(X100),""[^0-9]"",""""))),Y100=""Change"",0,Y100&lt;&gt;""Change"","""")"),"")</f>
        <v/>
      </c>
      <c r="N100" s="34" t="str">
        <f>IFERROR(__xludf.DUMMYFUNCTION("IF(Account!$F100&lt;&gt;"""", VALUE(REGEXREPLACE($I100, ""\,"", ""."")), """")"),"")</f>
        <v/>
      </c>
      <c r="O100" s="35" t="str">
        <f>IF(Account!$F100&lt;&gt;"", DATEVALUE(MID($A100,4,3) &amp; LEFT($A100,3) &amp; RIGHT($A100,4)) + TIMEVALUE($B100), "")</f>
        <v/>
      </c>
      <c r="P100" s="36" t="str">
        <f>IF(Account!$F100&lt;&gt;"", DATEVALUE(MID($C100,4,3) &amp; LEFT($C100,3) &amp; RIGHT($C100,4)), "")</f>
        <v/>
      </c>
      <c r="Q100" s="37" t="str">
        <f t="array" ref="Q100">IF($R100&lt;&gt;"",IFERROR(INDEX(ISIN!$B:$B,MATCH($R100,ISIN!$C:$C,0))),)</f>
        <v/>
      </c>
      <c r="R100" s="38" t="str">
        <f t="array" ref="R100">IF($E100&lt;&gt;"",IFERROR(INDEX(ISIN!$C:$C,MATCH($E100,ISIN!$A:$A,0)),IFERROR(INDEX($R101:$R1200,MATCH($K100,$K101:$K1200,0)))),IF(AND($Y100="change",$H100="EUR"),IF($O100=$O101,$R101,IF($O100=$O99,$R99)),IFERROR(INDEX($R101:$R1200,MATCH(SUBSTITUTE($I100,"-","",1),$K101:$K1200,0)))))</f>
        <v/>
      </c>
      <c r="S100" s="37" t="str">
        <f t="shared" si="1"/>
        <v/>
      </c>
      <c r="T100" s="39" t="str">
        <f t="shared" si="2"/>
        <v/>
      </c>
      <c r="U100" s="40" t="str">
        <f t="shared" si="3"/>
        <v/>
      </c>
      <c r="V100" s="34" t="str">
        <f t="shared" si="4"/>
        <v/>
      </c>
      <c r="W100" s="41" t="str">
        <f>IFERROR(__xludf.DUMMYFUNCTION(" IF(Account!$F100&lt;&gt;"""", SPLIT(Account!$F100, "" ""), """")"),"")</f>
        <v/>
      </c>
      <c r="X100" s="44"/>
      <c r="Y100" s="44"/>
      <c r="Z100" s="44"/>
      <c r="AA100" s="44"/>
      <c r="AB100" s="44"/>
      <c r="AC100" s="44"/>
      <c r="AD100" s="44"/>
      <c r="AE100" s="44"/>
      <c r="AF100" s="44"/>
      <c r="AG100" s="44"/>
      <c r="AH100" s="44"/>
      <c r="AI100" s="44"/>
      <c r="AJ100" s="44"/>
      <c r="AK100" s="44"/>
    </row>
    <row r="101">
      <c r="A101" s="20"/>
      <c r="B101" s="20"/>
      <c r="C101" s="20"/>
      <c r="D101" s="20"/>
      <c r="E101" s="20"/>
      <c r="F101" s="21"/>
      <c r="G101" s="20"/>
      <c r="H101" s="20"/>
      <c r="I101" s="20"/>
      <c r="J101" s="20"/>
      <c r="K101" s="20"/>
      <c r="L101" s="21"/>
      <c r="M101" s="33" t="str">
        <f>IFERROR(__xludf.DUMMYFUNCTION("IFS(W101=""Achat"",IFERROR(VALUE(X101),VALUE(REGEXREPLACE(T(X101),""[^0-9]"",""""))),W101=""Vente"",-IFERROR(VALUE(X101),VALUE(REGEXREPLACE(T(X101),""[^0-9]"",""""))),Y101=""Change"",0,Y101&lt;&gt;""Change"","""")"),"")</f>
        <v/>
      </c>
      <c r="N101" s="34" t="str">
        <f>IFERROR(__xludf.DUMMYFUNCTION("IF(Account!$F101&lt;&gt;"""", VALUE(REGEXREPLACE($I101, ""\,"", ""."")), """")"),"")</f>
        <v/>
      </c>
      <c r="O101" s="35" t="str">
        <f>IF(Account!$F101&lt;&gt;"", DATEVALUE(MID($A101,4,3) &amp; LEFT($A101,3) &amp; RIGHT($A101,4)) + TIMEVALUE($B101), "")</f>
        <v/>
      </c>
      <c r="P101" s="36" t="str">
        <f>IF(Account!$F101&lt;&gt;"", DATEVALUE(MID($C101,4,3) &amp; LEFT($C101,3) &amp; RIGHT($C101,4)), "")</f>
        <v/>
      </c>
      <c r="Q101" s="37" t="str">
        <f t="array" ref="Q101">IF($R101&lt;&gt;"",IFERROR(INDEX(ISIN!$B:$B,MATCH($R101,ISIN!$C:$C,0))),)</f>
        <v/>
      </c>
      <c r="R101" s="38" t="str">
        <f t="array" ref="R101">IF($E101&lt;&gt;"",IFERROR(INDEX(ISIN!$C:$C,MATCH($E101,ISIN!$A:$A,0)),IFERROR(INDEX($R102:$R1200,MATCH($K101,$K102:$K1200,0)))),IF(AND($Y101="change",$H101="EUR"),IF($O101=$O102,$R102,IF($O101=$O100,$R100)),IFERROR(INDEX($R102:$R1200,MATCH(SUBSTITUTE($I101,"-","",1),$K102:$K1200,0)))))</f>
        <v/>
      </c>
      <c r="S101" s="37" t="str">
        <f t="shared" si="1"/>
        <v/>
      </c>
      <c r="T101" s="39" t="str">
        <f t="shared" si="2"/>
        <v/>
      </c>
      <c r="U101" s="40" t="str">
        <f t="shared" si="3"/>
        <v/>
      </c>
      <c r="V101" s="34" t="str">
        <f t="shared" si="4"/>
        <v/>
      </c>
      <c r="W101" s="41" t="str">
        <f>IFERROR(__xludf.DUMMYFUNCTION(" IF(Account!$F101&lt;&gt;"""", SPLIT(Account!$F101, "" ""), """")"),"")</f>
        <v/>
      </c>
      <c r="X101" s="44"/>
      <c r="Y101" s="44"/>
      <c r="Z101" s="44"/>
      <c r="AA101" s="44"/>
      <c r="AB101" s="44"/>
      <c r="AC101" s="44"/>
      <c r="AD101" s="44"/>
      <c r="AE101" s="44"/>
      <c r="AF101" s="44"/>
      <c r="AG101" s="44"/>
      <c r="AH101" s="44"/>
      <c r="AI101" s="44"/>
      <c r="AJ101" s="44"/>
      <c r="AK101" s="44"/>
    </row>
    <row r="102">
      <c r="A102" s="20"/>
      <c r="B102" s="20"/>
      <c r="C102" s="20"/>
      <c r="D102" s="20"/>
      <c r="E102" s="20"/>
      <c r="F102" s="21"/>
      <c r="G102" s="20"/>
      <c r="H102" s="20"/>
      <c r="I102" s="20"/>
      <c r="J102" s="20"/>
      <c r="K102" s="20"/>
      <c r="L102" s="21"/>
      <c r="M102" s="33" t="str">
        <f>IFERROR(__xludf.DUMMYFUNCTION("IFS(W102=""Achat"",IFERROR(VALUE(X102),VALUE(REGEXREPLACE(T(X102),""[^0-9]"",""""))),W102=""Vente"",-IFERROR(VALUE(X102),VALUE(REGEXREPLACE(T(X102),""[^0-9]"",""""))),Y102=""Change"",0,Y102&lt;&gt;""Change"","""")"),"")</f>
        <v/>
      </c>
      <c r="N102" s="34" t="str">
        <f>IFERROR(__xludf.DUMMYFUNCTION("IF(Account!$F102&lt;&gt;"""", VALUE(REGEXREPLACE($I102, ""\,"", ""."")), """")"),"")</f>
        <v/>
      </c>
      <c r="O102" s="35" t="str">
        <f>IF(Account!$F102&lt;&gt;"", DATEVALUE(MID($A102,4,3) &amp; LEFT($A102,3) &amp; RIGHT($A102,4)) + TIMEVALUE($B102), "")</f>
        <v/>
      </c>
      <c r="P102" s="36" t="str">
        <f>IF(Account!$F102&lt;&gt;"", DATEVALUE(MID($C102,4,3) &amp; LEFT($C102,3) &amp; RIGHT($C102,4)), "")</f>
        <v/>
      </c>
      <c r="Q102" s="37" t="str">
        <f t="array" ref="Q102">IF($R102&lt;&gt;"",IFERROR(INDEX(ISIN!$B:$B,MATCH($R102,ISIN!$C:$C,0))),)</f>
        <v/>
      </c>
      <c r="R102" s="38" t="str">
        <f t="array" ref="R102">IF($E102&lt;&gt;"",IFERROR(INDEX(ISIN!$C:$C,MATCH($E102,ISIN!$A:$A,0)),IFERROR(INDEX($R103:$R1200,MATCH($K102,$K103:$K1200,0)))),IF(AND($Y102="change",$H102="EUR"),IF($O102=$O103,$R103,IF($O102=$O101,$R101)),IFERROR(INDEX($R103:$R1200,MATCH(SUBSTITUTE($I102,"-","",1),$K103:$K1200,0)))))</f>
        <v/>
      </c>
      <c r="S102" s="37" t="str">
        <f t="shared" si="1"/>
        <v/>
      </c>
      <c r="T102" s="39" t="str">
        <f t="shared" si="2"/>
        <v/>
      </c>
      <c r="U102" s="40" t="str">
        <f t="shared" si="3"/>
        <v/>
      </c>
      <c r="V102" s="34" t="str">
        <f t="shared" si="4"/>
        <v/>
      </c>
      <c r="W102" s="41" t="str">
        <f>IFERROR(__xludf.DUMMYFUNCTION(" IF(Account!$F102&lt;&gt;"""", SPLIT(Account!$F102, "" ""), """")"),"")</f>
        <v/>
      </c>
      <c r="X102" s="44"/>
      <c r="Y102" s="44"/>
      <c r="Z102" s="44"/>
      <c r="AA102" s="44"/>
      <c r="AB102" s="44"/>
      <c r="AC102" s="44"/>
      <c r="AD102" s="44"/>
      <c r="AE102" s="44"/>
      <c r="AF102" s="44"/>
      <c r="AG102" s="44"/>
      <c r="AH102" s="44"/>
      <c r="AI102" s="44"/>
      <c r="AJ102" s="44"/>
      <c r="AK102" s="44"/>
    </row>
    <row r="103">
      <c r="A103" s="20"/>
      <c r="B103" s="20"/>
      <c r="C103" s="20"/>
      <c r="D103" s="20"/>
      <c r="E103" s="20"/>
      <c r="F103" s="21"/>
      <c r="G103" s="20"/>
      <c r="H103" s="20"/>
      <c r="I103" s="20"/>
      <c r="J103" s="20"/>
      <c r="K103" s="20"/>
      <c r="L103" s="21"/>
      <c r="M103" s="33" t="str">
        <f>IFERROR(__xludf.DUMMYFUNCTION("IFS(W103=""Achat"",IFERROR(VALUE(X103),VALUE(REGEXREPLACE(T(X103),""[^0-9]"",""""))),W103=""Vente"",-IFERROR(VALUE(X103),VALUE(REGEXREPLACE(T(X103),""[^0-9]"",""""))),Y103=""Change"",0,Y103&lt;&gt;""Change"","""")"),"")</f>
        <v/>
      </c>
      <c r="N103" s="34" t="str">
        <f>IFERROR(__xludf.DUMMYFUNCTION("IF(Account!$F103&lt;&gt;"""", VALUE(REGEXREPLACE($I103, ""\,"", ""."")), """")"),"")</f>
        <v/>
      </c>
      <c r="O103" s="35" t="str">
        <f>IF(Account!$F103&lt;&gt;"", DATEVALUE(MID($A103,4,3) &amp; LEFT($A103,3) &amp; RIGHT($A103,4)) + TIMEVALUE($B103), "")</f>
        <v/>
      </c>
      <c r="P103" s="36" t="str">
        <f>IF(Account!$F103&lt;&gt;"", DATEVALUE(MID($C103,4,3) &amp; LEFT($C103,3) &amp; RIGHT($C103,4)), "")</f>
        <v/>
      </c>
      <c r="Q103" s="37" t="str">
        <f t="array" ref="Q103">IF($R103&lt;&gt;"",IFERROR(INDEX(ISIN!$B:$B,MATCH($R103,ISIN!$C:$C,0))),)</f>
        <v/>
      </c>
      <c r="R103" s="38" t="str">
        <f t="array" ref="R103">IF($E103&lt;&gt;"",IFERROR(INDEX(ISIN!$C:$C,MATCH($E103,ISIN!$A:$A,0)),IFERROR(INDEX($R104:$R1200,MATCH($K103,$K104:$K1200,0)))),IF(AND($Y103="change",$H103="EUR"),IF($O103=$O104,$R104,IF($O103=$O102,$R102)),IFERROR(INDEX($R104:$R1200,MATCH(SUBSTITUTE($I103,"-","",1),$K104:$K1200,0)))))</f>
        <v/>
      </c>
      <c r="S103" s="37" t="str">
        <f t="shared" si="1"/>
        <v/>
      </c>
      <c r="T103" s="39" t="str">
        <f t="shared" si="2"/>
        <v/>
      </c>
      <c r="U103" s="40" t="str">
        <f t="shared" si="3"/>
        <v/>
      </c>
      <c r="V103" s="34" t="str">
        <f t="shared" si="4"/>
        <v/>
      </c>
      <c r="W103" s="41" t="str">
        <f>IFERROR(__xludf.DUMMYFUNCTION(" IF(Account!$F103&lt;&gt;"""", SPLIT(Account!$F103, "" ""), """")"),"")</f>
        <v/>
      </c>
      <c r="X103" s="44"/>
      <c r="Y103" s="44"/>
      <c r="Z103" s="44"/>
      <c r="AA103" s="44"/>
      <c r="AB103" s="44"/>
      <c r="AC103" s="44"/>
      <c r="AD103" s="44"/>
      <c r="AE103" s="44"/>
      <c r="AF103" s="44"/>
      <c r="AG103" s="44"/>
      <c r="AH103" s="44"/>
      <c r="AI103" s="44"/>
      <c r="AJ103" s="44"/>
      <c r="AK103" s="44"/>
    </row>
    <row r="104">
      <c r="A104" s="20"/>
      <c r="B104" s="20"/>
      <c r="C104" s="20"/>
      <c r="D104" s="20"/>
      <c r="E104" s="20"/>
      <c r="F104" s="21"/>
      <c r="G104" s="20"/>
      <c r="H104" s="20"/>
      <c r="I104" s="20"/>
      <c r="J104" s="20"/>
      <c r="K104" s="20"/>
      <c r="L104" s="21"/>
      <c r="M104" s="33" t="str">
        <f>IFERROR(__xludf.DUMMYFUNCTION("IFS(W104=""Achat"",IFERROR(VALUE(X104),VALUE(REGEXREPLACE(T(X104),""[^0-9]"",""""))),W104=""Vente"",-IFERROR(VALUE(X104),VALUE(REGEXREPLACE(T(X104),""[^0-9]"",""""))),Y104=""Change"",0,Y104&lt;&gt;""Change"","""")"),"")</f>
        <v/>
      </c>
      <c r="N104" s="34" t="str">
        <f>IFERROR(__xludf.DUMMYFUNCTION("IF(Account!$F104&lt;&gt;"""", VALUE(REGEXREPLACE($I104, ""\,"", ""."")), """")"),"")</f>
        <v/>
      </c>
      <c r="O104" s="35" t="str">
        <f>IF(Account!$F104&lt;&gt;"", DATEVALUE(MID($A104,4,3) &amp; LEFT($A104,3) &amp; RIGHT($A104,4)) + TIMEVALUE($B104), "")</f>
        <v/>
      </c>
      <c r="P104" s="36" t="str">
        <f>IF(Account!$F104&lt;&gt;"", DATEVALUE(MID($C104,4,3) &amp; LEFT($C104,3) &amp; RIGHT($C104,4)), "")</f>
        <v/>
      </c>
      <c r="Q104" s="37" t="str">
        <f t="array" ref="Q104">IF($R104&lt;&gt;"",IFERROR(INDEX(ISIN!$B:$B,MATCH($R104,ISIN!$C:$C,0))),)</f>
        <v/>
      </c>
      <c r="R104" s="38" t="str">
        <f t="array" ref="R104">IF($E104&lt;&gt;"",IFERROR(INDEX(ISIN!$C:$C,MATCH($E104,ISIN!$A:$A,0)),IFERROR(INDEX($R105:$R1200,MATCH($K104,$K105:$K1200,0)))),IF(AND($Y104="change",$H104="EUR"),IF($O104=$O105,$R105,IF($O104=$O103,$R103)),IFERROR(INDEX($R105:$R1200,MATCH(SUBSTITUTE($I104,"-","",1),$K105:$K1200,0)))))</f>
        <v/>
      </c>
      <c r="S104" s="37" t="str">
        <f t="shared" si="1"/>
        <v/>
      </c>
      <c r="T104" s="39" t="str">
        <f t="shared" si="2"/>
        <v/>
      </c>
      <c r="U104" s="40" t="str">
        <f t="shared" si="3"/>
        <v/>
      </c>
      <c r="V104" s="34" t="str">
        <f t="shared" si="4"/>
        <v/>
      </c>
      <c r="W104" s="41" t="str">
        <f>IFERROR(__xludf.DUMMYFUNCTION(" IF(Account!$F104&lt;&gt;"""", SPLIT(Account!$F104, "" ""), """")"),"")</f>
        <v/>
      </c>
      <c r="X104" s="44"/>
      <c r="Y104" s="44"/>
      <c r="Z104" s="44"/>
      <c r="AA104" s="44"/>
      <c r="AB104" s="44"/>
      <c r="AC104" s="44"/>
      <c r="AD104" s="44"/>
      <c r="AE104" s="44"/>
      <c r="AF104" s="44"/>
      <c r="AG104" s="44"/>
      <c r="AH104" s="44"/>
      <c r="AI104" s="44"/>
      <c r="AJ104" s="44"/>
      <c r="AK104" s="44"/>
    </row>
    <row r="105">
      <c r="A105" s="20"/>
      <c r="B105" s="20"/>
      <c r="C105" s="20"/>
      <c r="D105" s="20"/>
      <c r="E105" s="20"/>
      <c r="F105" s="21"/>
      <c r="G105" s="20"/>
      <c r="H105" s="20"/>
      <c r="I105" s="20"/>
      <c r="J105" s="20"/>
      <c r="K105" s="20"/>
      <c r="L105" s="21"/>
      <c r="M105" s="33" t="str">
        <f>IFERROR(__xludf.DUMMYFUNCTION("IFS(W105=""Achat"",IFERROR(VALUE(X105),VALUE(REGEXREPLACE(T(X105),""[^0-9]"",""""))),W105=""Vente"",-IFERROR(VALUE(X105),VALUE(REGEXREPLACE(T(X105),""[^0-9]"",""""))),Y105=""Change"",0,Y105&lt;&gt;""Change"","""")"),"")</f>
        <v/>
      </c>
      <c r="N105" s="34" t="str">
        <f>IFERROR(__xludf.DUMMYFUNCTION("IF(Account!$F105&lt;&gt;"""", VALUE(REGEXREPLACE($I105, ""\,"", ""."")), """")"),"")</f>
        <v/>
      </c>
      <c r="O105" s="35" t="str">
        <f>IF(Account!$F105&lt;&gt;"", DATEVALUE(MID($A105,4,3) &amp; LEFT($A105,3) &amp; RIGHT($A105,4)) + TIMEVALUE($B105), "")</f>
        <v/>
      </c>
      <c r="P105" s="36" t="str">
        <f>IF(Account!$F105&lt;&gt;"", DATEVALUE(MID($C105,4,3) &amp; LEFT($C105,3) &amp; RIGHT($C105,4)), "")</f>
        <v/>
      </c>
      <c r="Q105" s="37" t="str">
        <f t="array" ref="Q105">IF($R105&lt;&gt;"",IFERROR(INDEX(ISIN!$B:$B,MATCH($R105,ISIN!$C:$C,0))),)</f>
        <v/>
      </c>
      <c r="R105" s="38" t="str">
        <f t="array" ref="R105">IF($E105&lt;&gt;"",IFERROR(INDEX(ISIN!$C:$C,MATCH($E105,ISIN!$A:$A,0)),IFERROR(INDEX($R106:$R1200,MATCH($K105,$K106:$K1200,0)))),IF(AND($Y105="change",$H105="EUR"),IF($O105=$O106,$R106,IF($O105=$O104,$R104)),IFERROR(INDEX($R106:$R1200,MATCH(SUBSTITUTE($I105,"-","",1),$K106:$K1200,0)))))</f>
        <v/>
      </c>
      <c r="S105" s="37" t="str">
        <f t="shared" si="1"/>
        <v/>
      </c>
      <c r="T105" s="39" t="str">
        <f t="shared" si="2"/>
        <v/>
      </c>
      <c r="U105" s="40" t="str">
        <f t="shared" si="3"/>
        <v/>
      </c>
      <c r="V105" s="34" t="str">
        <f t="shared" si="4"/>
        <v/>
      </c>
      <c r="W105" s="41" t="str">
        <f>IFERROR(__xludf.DUMMYFUNCTION(" IF(Account!$F105&lt;&gt;"""", SPLIT(Account!$F105, "" ""), """")"),"")</f>
        <v/>
      </c>
      <c r="X105" s="44"/>
      <c r="Y105" s="44"/>
      <c r="Z105" s="44"/>
      <c r="AA105" s="44"/>
      <c r="AB105" s="44"/>
      <c r="AC105" s="44"/>
      <c r="AD105" s="44"/>
      <c r="AE105" s="44"/>
      <c r="AF105" s="44"/>
      <c r="AG105" s="44"/>
      <c r="AH105" s="44"/>
      <c r="AI105" s="44"/>
      <c r="AJ105" s="44"/>
      <c r="AK105" s="44"/>
    </row>
    <row r="106">
      <c r="A106" s="20"/>
      <c r="B106" s="20"/>
      <c r="C106" s="20"/>
      <c r="D106" s="20"/>
      <c r="E106" s="20"/>
      <c r="F106" s="21"/>
      <c r="G106" s="20"/>
      <c r="H106" s="20"/>
      <c r="I106" s="20"/>
      <c r="J106" s="20"/>
      <c r="K106" s="20"/>
      <c r="L106" s="21"/>
      <c r="M106" s="33" t="str">
        <f>IFERROR(__xludf.DUMMYFUNCTION("IFS(W106=""Achat"",IFERROR(VALUE(X106),VALUE(REGEXREPLACE(T(X106),""[^0-9]"",""""))),W106=""Vente"",-IFERROR(VALUE(X106),VALUE(REGEXREPLACE(T(X106),""[^0-9]"",""""))),Y106=""Change"",0,Y106&lt;&gt;""Change"","""")"),"")</f>
        <v/>
      </c>
      <c r="N106" s="34" t="str">
        <f>IFERROR(__xludf.DUMMYFUNCTION("IF(Account!$F106&lt;&gt;"""", VALUE(REGEXREPLACE($I106, ""\,"", ""."")), """")"),"")</f>
        <v/>
      </c>
      <c r="O106" s="35" t="str">
        <f>IF(Account!$F106&lt;&gt;"", DATEVALUE(MID($A106,4,3) &amp; LEFT($A106,3) &amp; RIGHT($A106,4)) + TIMEVALUE($B106), "")</f>
        <v/>
      </c>
      <c r="P106" s="36" t="str">
        <f>IF(Account!$F106&lt;&gt;"", DATEVALUE(MID($C106,4,3) &amp; LEFT($C106,3) &amp; RIGHT($C106,4)), "")</f>
        <v/>
      </c>
      <c r="Q106" s="37" t="str">
        <f t="array" ref="Q106">IF($R106&lt;&gt;"",IFERROR(INDEX(ISIN!$B:$B,MATCH($R106,ISIN!$C:$C,0))),)</f>
        <v/>
      </c>
      <c r="R106" s="38" t="str">
        <f t="array" ref="R106">IF($E106&lt;&gt;"",IFERROR(INDEX(ISIN!$C:$C,MATCH($E106,ISIN!$A:$A,0)),IFERROR(INDEX($R107:$R1200,MATCH($K106,$K107:$K1200,0)))),IF(AND($Y106="change",$H106="EUR"),IF($O106=$O107,$R107,IF($O106=$O105,$R105)),IFERROR(INDEX($R107:$R1200,MATCH(SUBSTITUTE($I106,"-","",1),$K107:$K1200,0)))))</f>
        <v/>
      </c>
      <c r="S106" s="37" t="str">
        <f t="shared" si="1"/>
        <v/>
      </c>
      <c r="T106" s="39" t="str">
        <f t="shared" si="2"/>
        <v/>
      </c>
      <c r="U106" s="40" t="str">
        <f t="shared" si="3"/>
        <v/>
      </c>
      <c r="V106" s="34" t="str">
        <f t="shared" si="4"/>
        <v/>
      </c>
      <c r="W106" s="41" t="str">
        <f>IFERROR(__xludf.DUMMYFUNCTION(" IF(Account!$F106&lt;&gt;"""", SPLIT(Account!$F106, "" ""), """")"),"")</f>
        <v/>
      </c>
      <c r="X106" s="44"/>
      <c r="Y106" s="44"/>
      <c r="Z106" s="44"/>
      <c r="AA106" s="44"/>
      <c r="AB106" s="44"/>
      <c r="AC106" s="44"/>
      <c r="AD106" s="44"/>
      <c r="AE106" s="44"/>
      <c r="AF106" s="44"/>
      <c r="AG106" s="44"/>
      <c r="AH106" s="44"/>
      <c r="AI106" s="44"/>
      <c r="AJ106" s="44"/>
      <c r="AK106" s="44"/>
    </row>
    <row r="107">
      <c r="A107" s="20"/>
      <c r="B107" s="20"/>
      <c r="C107" s="20"/>
      <c r="D107" s="20"/>
      <c r="E107" s="20"/>
      <c r="F107" s="21"/>
      <c r="G107" s="20"/>
      <c r="H107" s="20"/>
      <c r="I107" s="20"/>
      <c r="J107" s="20"/>
      <c r="K107" s="20"/>
      <c r="L107" s="21"/>
      <c r="M107" s="33" t="str">
        <f>IFERROR(__xludf.DUMMYFUNCTION("IFS(W107=""Achat"",IFERROR(VALUE(X107),VALUE(REGEXREPLACE(T(X107),""[^0-9]"",""""))),W107=""Vente"",-IFERROR(VALUE(X107),VALUE(REGEXREPLACE(T(X107),""[^0-9]"",""""))),Y107=""Change"",0,Y107&lt;&gt;""Change"","""")"),"")</f>
        <v/>
      </c>
      <c r="N107" s="34" t="str">
        <f>IFERROR(__xludf.DUMMYFUNCTION("IF(Account!$F107&lt;&gt;"""", VALUE(REGEXREPLACE($I107, ""\,"", ""."")), """")"),"")</f>
        <v/>
      </c>
      <c r="O107" s="35" t="str">
        <f>IF(Account!$F107&lt;&gt;"", DATEVALUE(MID($A107,4,3) &amp; LEFT($A107,3) &amp; RIGHT($A107,4)) + TIMEVALUE($B107), "")</f>
        <v/>
      </c>
      <c r="P107" s="36" t="str">
        <f>IF(Account!$F107&lt;&gt;"", DATEVALUE(MID($C107,4,3) &amp; LEFT($C107,3) &amp; RIGHT($C107,4)), "")</f>
        <v/>
      </c>
      <c r="Q107" s="37" t="str">
        <f t="array" ref="Q107">IF($R107&lt;&gt;"",IFERROR(INDEX(ISIN!$B:$B,MATCH($R107,ISIN!$C:$C,0))),)</f>
        <v/>
      </c>
      <c r="R107" s="38" t="str">
        <f t="array" ref="R107">IF($E107&lt;&gt;"",IFERROR(INDEX(ISIN!$C:$C,MATCH($E107,ISIN!$A:$A,0)),IFERROR(INDEX($R108:$R1200,MATCH($K107,$K108:$K1200,0)))),IF(AND($Y107="change",$H107="EUR"),IF($O107=$O108,$R108,IF($O107=$O106,$R106)),IFERROR(INDEX($R108:$R1200,MATCH(SUBSTITUTE($I107,"-","",1),$K108:$K1200,0)))))</f>
        <v/>
      </c>
      <c r="S107" s="37" t="str">
        <f t="shared" si="1"/>
        <v/>
      </c>
      <c r="T107" s="39" t="str">
        <f t="shared" si="2"/>
        <v/>
      </c>
      <c r="U107" s="40" t="str">
        <f t="shared" si="3"/>
        <v/>
      </c>
      <c r="V107" s="34" t="str">
        <f t="shared" si="4"/>
        <v/>
      </c>
      <c r="W107" s="41" t="str">
        <f>IFERROR(__xludf.DUMMYFUNCTION(" IF(Account!$F107&lt;&gt;"""", SPLIT(Account!$F107, "" ""), """")"),"")</f>
        <v/>
      </c>
      <c r="X107" s="44"/>
      <c r="Y107" s="44"/>
      <c r="Z107" s="44"/>
      <c r="AA107" s="44"/>
      <c r="AB107" s="44"/>
      <c r="AC107" s="44"/>
      <c r="AD107" s="44"/>
      <c r="AE107" s="44"/>
      <c r="AF107" s="44"/>
      <c r="AG107" s="44"/>
      <c r="AH107" s="44"/>
      <c r="AI107" s="44"/>
      <c r="AJ107" s="44"/>
      <c r="AK107" s="44"/>
    </row>
    <row r="108">
      <c r="A108" s="20"/>
      <c r="B108" s="20"/>
      <c r="C108" s="20"/>
      <c r="D108" s="20"/>
      <c r="E108" s="20"/>
      <c r="F108" s="21"/>
      <c r="G108" s="20"/>
      <c r="H108" s="20"/>
      <c r="I108" s="20"/>
      <c r="J108" s="20"/>
      <c r="K108" s="20"/>
      <c r="L108" s="21"/>
      <c r="M108" s="33" t="str">
        <f>IFERROR(__xludf.DUMMYFUNCTION("IFS(W108=""Achat"",IFERROR(VALUE(X108),VALUE(REGEXREPLACE(T(X108),""[^0-9]"",""""))),W108=""Vente"",-IFERROR(VALUE(X108),VALUE(REGEXREPLACE(T(X108),""[^0-9]"",""""))),Y108=""Change"",0,Y108&lt;&gt;""Change"","""")"),"")</f>
        <v/>
      </c>
      <c r="N108" s="34" t="str">
        <f>IFERROR(__xludf.DUMMYFUNCTION("IF(Account!$F108&lt;&gt;"""", VALUE(REGEXREPLACE($I108, ""\,"", ""."")), """")"),"")</f>
        <v/>
      </c>
      <c r="O108" s="35" t="str">
        <f>IF(Account!$F108&lt;&gt;"", DATEVALUE(MID($A108,4,3) &amp; LEFT($A108,3) &amp; RIGHT($A108,4)) + TIMEVALUE($B108), "")</f>
        <v/>
      </c>
      <c r="P108" s="36" t="str">
        <f>IF(Account!$F108&lt;&gt;"", DATEVALUE(MID($C108,4,3) &amp; LEFT($C108,3) &amp; RIGHT($C108,4)), "")</f>
        <v/>
      </c>
      <c r="Q108" s="37" t="str">
        <f t="array" ref="Q108">IF($R108&lt;&gt;"",IFERROR(INDEX(ISIN!$B:$B,MATCH($R108,ISIN!$C:$C,0))),)</f>
        <v/>
      </c>
      <c r="R108" s="38" t="str">
        <f t="array" ref="R108">IF($E108&lt;&gt;"",IFERROR(INDEX(ISIN!$C:$C,MATCH($E108,ISIN!$A:$A,0)),IFERROR(INDEX($R109:$R1200,MATCH($K108,$K109:$K1200,0)))),IF(AND($Y108="change",$H108="EUR"),IF($O108=$O109,$R109,IF($O108=$O107,$R107)),IFERROR(INDEX($R109:$R1200,MATCH(SUBSTITUTE($I108,"-","",1),$K109:$K1200,0)))))</f>
        <v/>
      </c>
      <c r="S108" s="37" t="str">
        <f t="shared" si="1"/>
        <v/>
      </c>
      <c r="T108" s="39" t="str">
        <f t="shared" si="2"/>
        <v/>
      </c>
      <c r="U108" s="40" t="str">
        <f t="shared" si="3"/>
        <v/>
      </c>
      <c r="V108" s="34" t="str">
        <f t="shared" si="4"/>
        <v/>
      </c>
      <c r="W108" s="41" t="str">
        <f>IFERROR(__xludf.DUMMYFUNCTION(" IF(Account!$F108&lt;&gt;"""", SPLIT(Account!$F108, "" ""), """")"),"")</f>
        <v/>
      </c>
      <c r="X108" s="44"/>
      <c r="Y108" s="44"/>
      <c r="Z108" s="44"/>
      <c r="AA108" s="44"/>
      <c r="AB108" s="44"/>
      <c r="AC108" s="44"/>
      <c r="AD108" s="44"/>
      <c r="AE108" s="44"/>
      <c r="AF108" s="44"/>
      <c r="AG108" s="44"/>
      <c r="AH108" s="44"/>
      <c r="AI108" s="44"/>
      <c r="AJ108" s="44"/>
      <c r="AK108" s="44"/>
    </row>
    <row r="109">
      <c r="A109" s="20"/>
      <c r="B109" s="20"/>
      <c r="C109" s="20"/>
      <c r="D109" s="20"/>
      <c r="E109" s="20"/>
      <c r="F109" s="21"/>
      <c r="G109" s="20"/>
      <c r="H109" s="20"/>
      <c r="I109" s="20"/>
      <c r="J109" s="20"/>
      <c r="K109" s="20"/>
      <c r="L109" s="21"/>
      <c r="M109" s="33" t="str">
        <f>IFERROR(__xludf.DUMMYFUNCTION("IFS(W109=""Achat"",IFERROR(VALUE(X109),VALUE(REGEXREPLACE(T(X109),""[^0-9]"",""""))),W109=""Vente"",-IFERROR(VALUE(X109),VALUE(REGEXREPLACE(T(X109),""[^0-9]"",""""))),Y109=""Change"",0,Y109&lt;&gt;""Change"","""")"),"")</f>
        <v/>
      </c>
      <c r="N109" s="34" t="str">
        <f>IFERROR(__xludf.DUMMYFUNCTION("IF(Account!$F109&lt;&gt;"""", VALUE(REGEXREPLACE($I109, ""\,"", ""."")), """")"),"")</f>
        <v/>
      </c>
      <c r="O109" s="35" t="str">
        <f>IF(Account!$F109&lt;&gt;"", DATEVALUE(MID($A109,4,3) &amp; LEFT($A109,3) &amp; RIGHT($A109,4)) + TIMEVALUE($B109), "")</f>
        <v/>
      </c>
      <c r="P109" s="36" t="str">
        <f>IF(Account!$F109&lt;&gt;"", DATEVALUE(MID($C109,4,3) &amp; LEFT($C109,3) &amp; RIGHT($C109,4)), "")</f>
        <v/>
      </c>
      <c r="Q109" s="37" t="str">
        <f t="array" ref="Q109">IF($R109&lt;&gt;"",IFERROR(INDEX(ISIN!$B:$B,MATCH($R109,ISIN!$C:$C,0))),)</f>
        <v/>
      </c>
      <c r="R109" s="38" t="str">
        <f t="array" ref="R109">IF($E109&lt;&gt;"",IFERROR(INDEX(ISIN!$C:$C,MATCH($E109,ISIN!$A:$A,0)),IFERROR(INDEX($R110:$R1200,MATCH($K109,$K110:$K1200,0)))),IF(AND($Y109="change",$H109="EUR"),IF($O109=$O110,$R110,IF($O109=$O108,$R108)),IFERROR(INDEX($R110:$R1200,MATCH(SUBSTITUTE($I109,"-","",1),$K110:$K1200,0)))))</f>
        <v/>
      </c>
      <c r="S109" s="37" t="str">
        <f t="shared" si="1"/>
        <v/>
      </c>
      <c r="T109" s="39" t="str">
        <f t="shared" si="2"/>
        <v/>
      </c>
      <c r="U109" s="40" t="str">
        <f t="shared" si="3"/>
        <v/>
      </c>
      <c r="V109" s="34" t="str">
        <f t="shared" si="4"/>
        <v/>
      </c>
      <c r="W109" s="41" t="str">
        <f>IFERROR(__xludf.DUMMYFUNCTION(" IF(Account!$F109&lt;&gt;"""", SPLIT(Account!$F109, "" ""), """")"),"")</f>
        <v/>
      </c>
      <c r="X109" s="44"/>
      <c r="Y109" s="44"/>
      <c r="Z109" s="44"/>
      <c r="AA109" s="44"/>
      <c r="AB109" s="44"/>
      <c r="AC109" s="44"/>
      <c r="AD109" s="44"/>
      <c r="AE109" s="44"/>
      <c r="AF109" s="44"/>
      <c r="AG109" s="44"/>
      <c r="AH109" s="44"/>
      <c r="AI109" s="44"/>
      <c r="AJ109" s="44"/>
      <c r="AK109" s="44"/>
    </row>
    <row r="110">
      <c r="A110" s="20"/>
      <c r="B110" s="20"/>
      <c r="C110" s="20"/>
      <c r="D110" s="20"/>
      <c r="E110" s="20"/>
      <c r="F110" s="21"/>
      <c r="G110" s="20"/>
      <c r="H110" s="20"/>
      <c r="I110" s="20"/>
      <c r="J110" s="20"/>
      <c r="K110" s="20"/>
      <c r="L110" s="21"/>
      <c r="M110" s="33" t="str">
        <f>IFERROR(__xludf.DUMMYFUNCTION("IFS(W110=""Achat"",IFERROR(VALUE(X110),VALUE(REGEXREPLACE(T(X110),""[^0-9]"",""""))),W110=""Vente"",-IFERROR(VALUE(X110),VALUE(REGEXREPLACE(T(X110),""[^0-9]"",""""))),Y110=""Change"",0,Y110&lt;&gt;""Change"","""")"),"")</f>
        <v/>
      </c>
      <c r="N110" s="34" t="str">
        <f>IFERROR(__xludf.DUMMYFUNCTION("IF(Account!$F110&lt;&gt;"""", VALUE(REGEXREPLACE($I110, ""\,"", ""."")), """")"),"")</f>
        <v/>
      </c>
      <c r="O110" s="35" t="str">
        <f>IF(Account!$F110&lt;&gt;"", DATEVALUE(MID($A110,4,3) &amp; LEFT($A110,3) &amp; RIGHT($A110,4)) + TIMEVALUE($B110), "")</f>
        <v/>
      </c>
      <c r="P110" s="36" t="str">
        <f>IF(Account!$F110&lt;&gt;"", DATEVALUE(MID($C110,4,3) &amp; LEFT($C110,3) &amp; RIGHT($C110,4)), "")</f>
        <v/>
      </c>
      <c r="Q110" s="37" t="str">
        <f t="array" ref="Q110">IF($R110&lt;&gt;"",IFERROR(INDEX(ISIN!$B:$B,MATCH($R110,ISIN!$C:$C,0))),)</f>
        <v/>
      </c>
      <c r="R110" s="38" t="str">
        <f t="array" ref="R110">IF($E110&lt;&gt;"",IFERROR(INDEX(ISIN!$C:$C,MATCH($E110,ISIN!$A:$A,0)),IFERROR(INDEX($R111:$R1200,MATCH($K110,$K111:$K1200,0)))),IF(AND($Y110="change",$H110="EUR"),IF($O110=$O111,$R111,IF($O110=$O109,$R109)),IFERROR(INDEX($R111:$R1200,MATCH(SUBSTITUTE($I110,"-","",1),$K111:$K1200,0)))))</f>
        <v/>
      </c>
      <c r="S110" s="37" t="str">
        <f t="shared" si="1"/>
        <v/>
      </c>
      <c r="T110" s="39" t="str">
        <f t="shared" si="2"/>
        <v/>
      </c>
      <c r="U110" s="40" t="str">
        <f t="shared" si="3"/>
        <v/>
      </c>
      <c r="V110" s="34" t="str">
        <f t="shared" si="4"/>
        <v/>
      </c>
      <c r="W110" s="41" t="str">
        <f>IFERROR(__xludf.DUMMYFUNCTION(" IF(Account!$F110&lt;&gt;"""", SPLIT(Account!$F110, "" ""), """")"),"")</f>
        <v/>
      </c>
      <c r="X110" s="44"/>
      <c r="Y110" s="44"/>
      <c r="Z110" s="44"/>
      <c r="AA110" s="44"/>
      <c r="AB110" s="44"/>
      <c r="AC110" s="44"/>
      <c r="AD110" s="44"/>
      <c r="AE110" s="44"/>
      <c r="AF110" s="44"/>
      <c r="AG110" s="44"/>
      <c r="AH110" s="44"/>
      <c r="AI110" s="44"/>
      <c r="AJ110" s="44"/>
      <c r="AK110" s="44"/>
    </row>
    <row r="111">
      <c r="A111" s="20"/>
      <c r="B111" s="20"/>
      <c r="C111" s="20"/>
      <c r="D111" s="20"/>
      <c r="E111" s="20"/>
      <c r="F111" s="21"/>
      <c r="G111" s="20"/>
      <c r="H111" s="20"/>
      <c r="I111" s="20"/>
      <c r="J111" s="20"/>
      <c r="K111" s="20"/>
      <c r="L111" s="21"/>
      <c r="M111" s="33" t="str">
        <f>IFERROR(__xludf.DUMMYFUNCTION("IFS(W111=""Achat"",IFERROR(VALUE(X111),VALUE(REGEXREPLACE(T(X111),""[^0-9]"",""""))),W111=""Vente"",-IFERROR(VALUE(X111),VALUE(REGEXREPLACE(T(X111),""[^0-9]"",""""))),Y111=""Change"",0,Y111&lt;&gt;""Change"","""")"),"")</f>
        <v/>
      </c>
      <c r="N111" s="34" t="str">
        <f>IFERROR(__xludf.DUMMYFUNCTION("IF(Account!$F111&lt;&gt;"""", VALUE(REGEXREPLACE($I111, ""\,"", ""."")), """")"),"")</f>
        <v/>
      </c>
      <c r="O111" s="35" t="str">
        <f>IF(Account!$F111&lt;&gt;"", DATEVALUE(MID($A111,4,3) &amp; LEFT($A111,3) &amp; RIGHT($A111,4)) + TIMEVALUE($B111), "")</f>
        <v/>
      </c>
      <c r="P111" s="36" t="str">
        <f>IF(Account!$F111&lt;&gt;"", DATEVALUE(MID($C111,4,3) &amp; LEFT($C111,3) &amp; RIGHT($C111,4)), "")</f>
        <v/>
      </c>
      <c r="Q111" s="37" t="str">
        <f t="array" ref="Q111">IF($R111&lt;&gt;"",IFERROR(INDEX(ISIN!$B:$B,MATCH($R111,ISIN!$C:$C,0))),)</f>
        <v/>
      </c>
      <c r="R111" s="38" t="str">
        <f t="array" ref="R111">IF($E111&lt;&gt;"",IFERROR(INDEX(ISIN!$C:$C,MATCH($E111,ISIN!$A:$A,0)),IFERROR(INDEX($R112:$R1200,MATCH($K111,$K112:$K1200,0)))),IF(AND($Y111="change",$H111="EUR"),IF($O111=$O112,$R112,IF($O111=$O110,$R110)),IFERROR(INDEX($R112:$R1200,MATCH(SUBSTITUTE($I111,"-","",1),$K112:$K1200,0)))))</f>
        <v/>
      </c>
      <c r="S111" s="37" t="str">
        <f t="shared" si="1"/>
        <v/>
      </c>
      <c r="T111" s="39" t="str">
        <f t="shared" si="2"/>
        <v/>
      </c>
      <c r="U111" s="40" t="str">
        <f t="shared" si="3"/>
        <v/>
      </c>
      <c r="V111" s="34" t="str">
        <f t="shared" si="4"/>
        <v/>
      </c>
      <c r="W111" s="41" t="str">
        <f>IFERROR(__xludf.DUMMYFUNCTION(" IF(Account!$F111&lt;&gt;"""", SPLIT(Account!$F111, "" ""), """")"),"")</f>
        <v/>
      </c>
      <c r="X111" s="44"/>
      <c r="Y111" s="44"/>
      <c r="Z111" s="44"/>
      <c r="AA111" s="44"/>
      <c r="AB111" s="44"/>
      <c r="AC111" s="44"/>
      <c r="AD111" s="44"/>
      <c r="AE111" s="44"/>
      <c r="AF111" s="44"/>
      <c r="AG111" s="44"/>
      <c r="AH111" s="44"/>
      <c r="AI111" s="44"/>
      <c r="AJ111" s="44"/>
      <c r="AK111" s="44"/>
    </row>
    <row r="112">
      <c r="A112" s="20"/>
      <c r="B112" s="20"/>
      <c r="C112" s="20"/>
      <c r="D112" s="20"/>
      <c r="E112" s="20"/>
      <c r="F112" s="21"/>
      <c r="G112" s="20"/>
      <c r="H112" s="20"/>
      <c r="I112" s="20"/>
      <c r="J112" s="20"/>
      <c r="K112" s="20"/>
      <c r="L112" s="21"/>
      <c r="M112" s="33" t="str">
        <f>IFERROR(__xludf.DUMMYFUNCTION("IFS(W112=""Achat"",IFERROR(VALUE(X112),VALUE(REGEXREPLACE(T(X112),""[^0-9]"",""""))),W112=""Vente"",-IFERROR(VALUE(X112),VALUE(REGEXREPLACE(T(X112),""[^0-9]"",""""))),Y112=""Change"",0,Y112&lt;&gt;""Change"","""")"),"")</f>
        <v/>
      </c>
      <c r="N112" s="34" t="str">
        <f>IFERROR(__xludf.DUMMYFUNCTION("IF(Account!$F112&lt;&gt;"""", VALUE(REGEXREPLACE($I112, ""\,"", ""."")), """")"),"")</f>
        <v/>
      </c>
      <c r="O112" s="35" t="str">
        <f>IF(Account!$F112&lt;&gt;"", DATEVALUE(MID($A112,4,3) &amp; LEFT($A112,3) &amp; RIGHT($A112,4)) + TIMEVALUE($B112), "")</f>
        <v/>
      </c>
      <c r="P112" s="36" t="str">
        <f>IF(Account!$F112&lt;&gt;"", DATEVALUE(MID($C112,4,3) &amp; LEFT($C112,3) &amp; RIGHT($C112,4)), "")</f>
        <v/>
      </c>
      <c r="Q112" s="37" t="str">
        <f t="array" ref="Q112">IF($R112&lt;&gt;"",IFERROR(INDEX(ISIN!$B:$B,MATCH($R112,ISIN!$C:$C,0))),)</f>
        <v/>
      </c>
      <c r="R112" s="38" t="str">
        <f t="array" ref="R112">IF($E112&lt;&gt;"",IFERROR(INDEX(ISIN!$C:$C,MATCH($E112,ISIN!$A:$A,0)),IFERROR(INDEX($R113:$R1200,MATCH($K112,$K113:$K1200,0)))),IF(AND($Y112="change",$H112="EUR"),IF($O112=$O113,$R113,IF($O112=$O111,$R111)),IFERROR(INDEX($R113:$R1200,MATCH(SUBSTITUTE($I112,"-","",1),$K113:$K1200,0)))))</f>
        <v/>
      </c>
      <c r="S112" s="37" t="str">
        <f t="shared" si="1"/>
        <v/>
      </c>
      <c r="T112" s="39" t="str">
        <f t="shared" si="2"/>
        <v/>
      </c>
      <c r="U112" s="40" t="str">
        <f t="shared" si="3"/>
        <v/>
      </c>
      <c r="V112" s="34" t="str">
        <f t="shared" si="4"/>
        <v/>
      </c>
      <c r="W112" s="41" t="str">
        <f>IFERROR(__xludf.DUMMYFUNCTION(" IF(Account!$F112&lt;&gt;"""", SPLIT(Account!$F112, "" ""), """")"),"")</f>
        <v/>
      </c>
      <c r="X112" s="44"/>
      <c r="Y112" s="44"/>
      <c r="Z112" s="44"/>
      <c r="AA112" s="44"/>
      <c r="AB112" s="44"/>
      <c r="AC112" s="44"/>
      <c r="AD112" s="44"/>
      <c r="AE112" s="44"/>
      <c r="AF112" s="44"/>
      <c r="AG112" s="44"/>
      <c r="AH112" s="44"/>
      <c r="AI112" s="44"/>
      <c r="AJ112" s="44"/>
      <c r="AK112" s="44"/>
    </row>
    <row r="113">
      <c r="A113" s="20"/>
      <c r="B113" s="20"/>
      <c r="C113" s="20"/>
      <c r="D113" s="20"/>
      <c r="E113" s="20"/>
      <c r="F113" s="21"/>
      <c r="G113" s="20"/>
      <c r="H113" s="20"/>
      <c r="I113" s="20"/>
      <c r="J113" s="20"/>
      <c r="K113" s="20"/>
      <c r="L113" s="21"/>
      <c r="M113" s="33" t="str">
        <f>IFERROR(__xludf.DUMMYFUNCTION("IFS(W113=""Achat"",IFERROR(VALUE(X113),VALUE(REGEXREPLACE(T(X113),""[^0-9]"",""""))),W113=""Vente"",-IFERROR(VALUE(X113),VALUE(REGEXREPLACE(T(X113),""[^0-9]"",""""))),Y113=""Change"",0,Y113&lt;&gt;""Change"","""")"),"")</f>
        <v/>
      </c>
      <c r="N113" s="34" t="str">
        <f>IFERROR(__xludf.DUMMYFUNCTION("IF(Account!$F113&lt;&gt;"""", VALUE(REGEXREPLACE($I113, ""\,"", ""."")), """")"),"")</f>
        <v/>
      </c>
      <c r="O113" s="35" t="str">
        <f>IF(Account!$F113&lt;&gt;"", DATEVALUE(MID($A113,4,3) &amp; LEFT($A113,3) &amp; RIGHT($A113,4)) + TIMEVALUE($B113), "")</f>
        <v/>
      </c>
      <c r="P113" s="36" t="str">
        <f>IF(Account!$F113&lt;&gt;"", DATEVALUE(MID($C113,4,3) &amp; LEFT($C113,3) &amp; RIGHT($C113,4)), "")</f>
        <v/>
      </c>
      <c r="Q113" s="37" t="str">
        <f t="array" ref="Q113">IF($R113&lt;&gt;"",IFERROR(INDEX(ISIN!$B:$B,MATCH($R113,ISIN!$C:$C,0))),)</f>
        <v/>
      </c>
      <c r="R113" s="38" t="str">
        <f t="array" ref="R113">IF($E113&lt;&gt;"",IFERROR(INDEX(ISIN!$C:$C,MATCH($E113,ISIN!$A:$A,0)),IFERROR(INDEX($R114:$R1200,MATCH($K113,$K114:$K1200,0)))),IF(AND($Y113="change",$H113="EUR"),IF($O113=$O114,$R114,IF($O113=$O112,$R112)),IFERROR(INDEX($R114:$R1200,MATCH(SUBSTITUTE($I113,"-","",1),$K114:$K1200,0)))))</f>
        <v/>
      </c>
      <c r="S113" s="37" t="str">
        <f t="shared" si="1"/>
        <v/>
      </c>
      <c r="T113" s="39" t="str">
        <f t="shared" si="2"/>
        <v/>
      </c>
      <c r="U113" s="40" t="str">
        <f t="shared" si="3"/>
        <v/>
      </c>
      <c r="V113" s="34" t="str">
        <f t="shared" si="4"/>
        <v/>
      </c>
      <c r="W113" s="41" t="str">
        <f>IFERROR(__xludf.DUMMYFUNCTION(" IF(Account!$F113&lt;&gt;"""", SPLIT(Account!$F113, "" ""), """")"),"")</f>
        <v/>
      </c>
      <c r="X113" s="44"/>
      <c r="Y113" s="44"/>
      <c r="Z113" s="44"/>
      <c r="AA113" s="44"/>
      <c r="AB113" s="44"/>
      <c r="AC113" s="44"/>
      <c r="AD113" s="44"/>
      <c r="AE113" s="44"/>
      <c r="AF113" s="44"/>
      <c r="AG113" s="44"/>
      <c r="AH113" s="44"/>
      <c r="AI113" s="44"/>
      <c r="AJ113" s="44"/>
      <c r="AK113" s="44"/>
    </row>
    <row r="114">
      <c r="A114" s="20"/>
      <c r="B114" s="20"/>
      <c r="C114" s="20"/>
      <c r="D114" s="20"/>
      <c r="E114" s="20"/>
      <c r="F114" s="21"/>
      <c r="G114" s="20"/>
      <c r="H114" s="20"/>
      <c r="I114" s="20"/>
      <c r="J114" s="20"/>
      <c r="K114" s="20"/>
      <c r="L114" s="21"/>
      <c r="M114" s="33" t="str">
        <f>IFERROR(__xludf.DUMMYFUNCTION("IFS(W114=""Achat"",IFERROR(VALUE(X114),VALUE(REGEXREPLACE(T(X114),""[^0-9]"",""""))),W114=""Vente"",-IFERROR(VALUE(X114),VALUE(REGEXREPLACE(T(X114),""[^0-9]"",""""))),Y114=""Change"",0,Y114&lt;&gt;""Change"","""")"),"")</f>
        <v/>
      </c>
      <c r="N114" s="34" t="str">
        <f>IFERROR(__xludf.DUMMYFUNCTION("IF(Account!$F114&lt;&gt;"""", VALUE(REGEXREPLACE($I114, ""\,"", ""."")), """")"),"")</f>
        <v/>
      </c>
      <c r="O114" s="35" t="str">
        <f>IF(Account!$F114&lt;&gt;"", DATEVALUE(MID($A114,4,3) &amp; LEFT($A114,3) &amp; RIGHT($A114,4)) + TIMEVALUE($B114), "")</f>
        <v/>
      </c>
      <c r="P114" s="36" t="str">
        <f>IF(Account!$F114&lt;&gt;"", DATEVALUE(MID($C114,4,3) &amp; LEFT($C114,3) &amp; RIGHT($C114,4)), "")</f>
        <v/>
      </c>
      <c r="Q114" s="37" t="str">
        <f t="array" ref="Q114">IF($R114&lt;&gt;"",IFERROR(INDEX(ISIN!$B:$B,MATCH($R114,ISIN!$C:$C,0))),)</f>
        <v/>
      </c>
      <c r="R114" s="38" t="str">
        <f t="array" ref="R114">IF($E114&lt;&gt;"",IFERROR(INDEX(ISIN!$C:$C,MATCH($E114,ISIN!$A:$A,0)),IFERROR(INDEX($R115:$R1200,MATCH($K114,$K115:$K1200,0)))),IF(AND($Y114="change",$H114="EUR"),IF($O114=$O115,$R115,IF($O114=$O113,$R113)),IFERROR(INDEX($R115:$R1200,MATCH(SUBSTITUTE($I114,"-","",1),$K115:$K1200,0)))))</f>
        <v/>
      </c>
      <c r="S114" s="37" t="str">
        <f t="shared" si="1"/>
        <v/>
      </c>
      <c r="T114" s="39" t="str">
        <f t="shared" si="2"/>
        <v/>
      </c>
      <c r="U114" s="40" t="str">
        <f t="shared" si="3"/>
        <v/>
      </c>
      <c r="V114" s="34" t="str">
        <f t="shared" si="4"/>
        <v/>
      </c>
      <c r="W114" s="41" t="str">
        <f>IFERROR(__xludf.DUMMYFUNCTION(" IF(Account!$F114&lt;&gt;"""", SPLIT(Account!$F114, "" ""), """")"),"")</f>
        <v/>
      </c>
      <c r="X114" s="44"/>
      <c r="Y114" s="44"/>
      <c r="Z114" s="44"/>
      <c r="AA114" s="44"/>
      <c r="AB114" s="44"/>
      <c r="AC114" s="44"/>
      <c r="AD114" s="44"/>
      <c r="AE114" s="44"/>
      <c r="AF114" s="44"/>
      <c r="AG114" s="44"/>
      <c r="AH114" s="44"/>
      <c r="AI114" s="44"/>
      <c r="AJ114" s="44"/>
      <c r="AK114" s="44"/>
    </row>
    <row r="115">
      <c r="A115" s="20"/>
      <c r="B115" s="20"/>
      <c r="C115" s="20"/>
      <c r="D115" s="20"/>
      <c r="E115" s="20"/>
      <c r="F115" s="21"/>
      <c r="G115" s="20"/>
      <c r="H115" s="20"/>
      <c r="I115" s="20"/>
      <c r="J115" s="20"/>
      <c r="K115" s="20"/>
      <c r="L115" s="21"/>
      <c r="M115" s="33" t="str">
        <f>IFERROR(__xludf.DUMMYFUNCTION("IFS(W115=""Achat"",IFERROR(VALUE(X115),VALUE(REGEXREPLACE(T(X115),""[^0-9]"",""""))),W115=""Vente"",-IFERROR(VALUE(X115),VALUE(REGEXREPLACE(T(X115),""[^0-9]"",""""))),Y115=""Change"",0,Y115&lt;&gt;""Change"","""")"),"")</f>
        <v/>
      </c>
      <c r="N115" s="34" t="str">
        <f>IFERROR(__xludf.DUMMYFUNCTION("IF(Account!$F115&lt;&gt;"""", VALUE(REGEXREPLACE($I115, ""\,"", ""."")), """")"),"")</f>
        <v/>
      </c>
      <c r="O115" s="35" t="str">
        <f>IF(Account!$F115&lt;&gt;"", DATEVALUE(MID($A115,4,3) &amp; LEFT($A115,3) &amp; RIGHT($A115,4)) + TIMEVALUE($B115), "")</f>
        <v/>
      </c>
      <c r="P115" s="36" t="str">
        <f>IF(Account!$F115&lt;&gt;"", DATEVALUE(MID($C115,4,3) &amp; LEFT($C115,3) &amp; RIGHT($C115,4)), "")</f>
        <v/>
      </c>
      <c r="Q115" s="37" t="str">
        <f t="array" ref="Q115">IF($R115&lt;&gt;"",IFERROR(INDEX(ISIN!$B:$B,MATCH($R115,ISIN!$C:$C,0))),)</f>
        <v/>
      </c>
      <c r="R115" s="38" t="str">
        <f t="array" ref="R115">IF($E115&lt;&gt;"",IFERROR(INDEX(ISIN!$C:$C,MATCH($E115,ISIN!$A:$A,0)),IFERROR(INDEX($R116:$R1200,MATCH($K115,$K116:$K1200,0)))),IF(AND($Y115="change",$H115="EUR"),IF($O115=$O116,$R116,IF($O115=$O114,$R114)),IFERROR(INDEX($R116:$R1200,MATCH(SUBSTITUTE($I115,"-","",1),$K116:$K1200,0)))))</f>
        <v/>
      </c>
      <c r="S115" s="37" t="str">
        <f t="shared" si="1"/>
        <v/>
      </c>
      <c r="T115" s="39" t="str">
        <f t="shared" si="2"/>
        <v/>
      </c>
      <c r="U115" s="40" t="str">
        <f t="shared" si="3"/>
        <v/>
      </c>
      <c r="V115" s="34" t="str">
        <f t="shared" si="4"/>
        <v/>
      </c>
      <c r="W115" s="41" t="str">
        <f>IFERROR(__xludf.DUMMYFUNCTION(" IF(Account!$F115&lt;&gt;"""", SPLIT(Account!$F115, "" ""), """")"),"")</f>
        <v/>
      </c>
      <c r="X115" s="44"/>
      <c r="Y115" s="44"/>
      <c r="Z115" s="44"/>
      <c r="AA115" s="44"/>
      <c r="AB115" s="44"/>
      <c r="AC115" s="44"/>
      <c r="AD115" s="44"/>
      <c r="AE115" s="44"/>
      <c r="AF115" s="44"/>
      <c r="AG115" s="44"/>
      <c r="AH115" s="44"/>
      <c r="AI115" s="44"/>
      <c r="AJ115" s="44"/>
      <c r="AK115" s="44"/>
    </row>
    <row r="116">
      <c r="A116" s="20"/>
      <c r="B116" s="20"/>
      <c r="C116" s="20"/>
      <c r="D116" s="20"/>
      <c r="E116" s="20"/>
      <c r="F116" s="21"/>
      <c r="G116" s="20"/>
      <c r="H116" s="20"/>
      <c r="I116" s="20"/>
      <c r="J116" s="20"/>
      <c r="K116" s="20"/>
      <c r="L116" s="21"/>
      <c r="M116" s="33" t="str">
        <f>IFERROR(__xludf.DUMMYFUNCTION("IFS(W116=""Achat"",IFERROR(VALUE(X116),VALUE(REGEXREPLACE(T(X116),""[^0-9]"",""""))),W116=""Vente"",-IFERROR(VALUE(X116),VALUE(REGEXREPLACE(T(X116),""[^0-9]"",""""))),Y116=""Change"",0,Y116&lt;&gt;""Change"","""")"),"")</f>
        <v/>
      </c>
      <c r="N116" s="34" t="str">
        <f>IFERROR(__xludf.DUMMYFUNCTION("IF(Account!$F116&lt;&gt;"""", VALUE(REGEXREPLACE($I116, ""\,"", ""."")), """")"),"")</f>
        <v/>
      </c>
      <c r="O116" s="35" t="str">
        <f>IF(Account!$F116&lt;&gt;"", DATEVALUE(MID($A116,4,3) &amp; LEFT($A116,3) &amp; RIGHT($A116,4)) + TIMEVALUE($B116), "")</f>
        <v/>
      </c>
      <c r="P116" s="36" t="str">
        <f>IF(Account!$F116&lt;&gt;"", DATEVALUE(MID($C116,4,3) &amp; LEFT($C116,3) &amp; RIGHT($C116,4)), "")</f>
        <v/>
      </c>
      <c r="Q116" s="37" t="str">
        <f t="array" ref="Q116">IF($R116&lt;&gt;"",IFERROR(INDEX(ISIN!$B:$B,MATCH($R116,ISIN!$C:$C,0))),)</f>
        <v/>
      </c>
      <c r="R116" s="38" t="str">
        <f t="array" ref="R116">IF($E116&lt;&gt;"",IFERROR(INDEX(ISIN!$C:$C,MATCH($E116,ISIN!$A:$A,0)),IFERROR(INDEX($R117:$R1200,MATCH($K116,$K117:$K1200,0)))),IF(AND($Y116="change",$H116="EUR"),IF($O116=$O117,$R117,IF($O116=$O115,$R115)),IFERROR(INDEX($R117:$R1200,MATCH(SUBSTITUTE($I116,"-","",1),$K117:$K1200,0)))))</f>
        <v/>
      </c>
      <c r="S116" s="37" t="str">
        <f t="shared" si="1"/>
        <v/>
      </c>
      <c r="T116" s="39" t="str">
        <f t="shared" si="2"/>
        <v/>
      </c>
      <c r="U116" s="40" t="str">
        <f t="shared" si="3"/>
        <v/>
      </c>
      <c r="V116" s="34" t="str">
        <f t="shared" si="4"/>
        <v/>
      </c>
      <c r="W116" s="41" t="str">
        <f>IFERROR(__xludf.DUMMYFUNCTION(" IF(Account!$F116&lt;&gt;"""", SPLIT(Account!$F116, "" ""), """")"),"")</f>
        <v/>
      </c>
      <c r="X116" s="44"/>
      <c r="Y116" s="44"/>
      <c r="Z116" s="44"/>
      <c r="AA116" s="44"/>
      <c r="AB116" s="44"/>
      <c r="AC116" s="44"/>
      <c r="AD116" s="44"/>
      <c r="AE116" s="44"/>
      <c r="AF116" s="44"/>
      <c r="AG116" s="44"/>
      <c r="AH116" s="44"/>
      <c r="AI116" s="44"/>
      <c r="AJ116" s="44"/>
      <c r="AK116" s="44"/>
    </row>
    <row r="117">
      <c r="A117" s="20"/>
      <c r="B117" s="20"/>
      <c r="C117" s="20"/>
      <c r="D117" s="20"/>
      <c r="E117" s="20"/>
      <c r="F117" s="21"/>
      <c r="G117" s="20"/>
      <c r="H117" s="20"/>
      <c r="I117" s="20"/>
      <c r="J117" s="20"/>
      <c r="K117" s="20"/>
      <c r="L117" s="21"/>
      <c r="M117" s="33" t="str">
        <f>IFERROR(__xludf.DUMMYFUNCTION("IFS(W117=""Achat"",IFERROR(VALUE(X117),VALUE(REGEXREPLACE(T(X117),""[^0-9]"",""""))),W117=""Vente"",-IFERROR(VALUE(X117),VALUE(REGEXREPLACE(T(X117),""[^0-9]"",""""))),Y117=""Change"",0,Y117&lt;&gt;""Change"","""")"),"")</f>
        <v/>
      </c>
      <c r="N117" s="34" t="str">
        <f>IFERROR(__xludf.DUMMYFUNCTION("IF(Account!$F117&lt;&gt;"""", VALUE(REGEXREPLACE($I117, ""\,"", ""."")), """")"),"")</f>
        <v/>
      </c>
      <c r="O117" s="35" t="str">
        <f>IF(Account!$F117&lt;&gt;"", DATEVALUE(MID($A117,4,3) &amp; LEFT($A117,3) &amp; RIGHT($A117,4)) + TIMEVALUE($B117), "")</f>
        <v/>
      </c>
      <c r="P117" s="36" t="str">
        <f>IF(Account!$F117&lt;&gt;"", DATEVALUE(MID($C117,4,3) &amp; LEFT($C117,3) &amp; RIGHT($C117,4)), "")</f>
        <v/>
      </c>
      <c r="Q117" s="37" t="str">
        <f t="array" ref="Q117">IF($R117&lt;&gt;"",IFERROR(INDEX(ISIN!$B:$B,MATCH($R117,ISIN!$C:$C,0))),)</f>
        <v/>
      </c>
      <c r="R117" s="38" t="str">
        <f t="array" ref="R117">IF($E117&lt;&gt;"",IFERROR(INDEX(ISIN!$C:$C,MATCH($E117,ISIN!$A:$A,0)),IFERROR(INDEX($R118:$R1200,MATCH($K117,$K118:$K1200,0)))),IF(AND($Y117="change",$H117="EUR"),IF($O117=$O118,$R118,IF($O117=$O116,$R116)),IFERROR(INDEX($R118:$R1200,MATCH(SUBSTITUTE($I117,"-","",1),$K118:$K1200,0)))))</f>
        <v/>
      </c>
      <c r="S117" s="37" t="str">
        <f t="shared" si="1"/>
        <v/>
      </c>
      <c r="T117" s="39" t="str">
        <f t="shared" si="2"/>
        <v/>
      </c>
      <c r="U117" s="40" t="str">
        <f t="shared" si="3"/>
        <v/>
      </c>
      <c r="V117" s="34" t="str">
        <f t="shared" si="4"/>
        <v/>
      </c>
      <c r="W117" s="41" t="str">
        <f>IFERROR(__xludf.DUMMYFUNCTION(" IF(Account!$F117&lt;&gt;"""", SPLIT(Account!$F117, "" ""), """")"),"")</f>
        <v/>
      </c>
      <c r="X117" s="44"/>
      <c r="Y117" s="44"/>
      <c r="Z117" s="44"/>
      <c r="AA117" s="44"/>
      <c r="AB117" s="44"/>
      <c r="AC117" s="44"/>
      <c r="AD117" s="44"/>
      <c r="AE117" s="44"/>
      <c r="AF117" s="44"/>
      <c r="AG117" s="44"/>
      <c r="AH117" s="44"/>
      <c r="AI117" s="44"/>
      <c r="AJ117" s="44"/>
      <c r="AK117" s="44"/>
    </row>
    <row r="118">
      <c r="A118" s="20"/>
      <c r="B118" s="20"/>
      <c r="C118" s="20"/>
      <c r="D118" s="20"/>
      <c r="E118" s="20"/>
      <c r="F118" s="21"/>
      <c r="G118" s="20"/>
      <c r="H118" s="20"/>
      <c r="I118" s="20"/>
      <c r="J118" s="20"/>
      <c r="K118" s="20"/>
      <c r="L118" s="21"/>
      <c r="M118" s="33" t="str">
        <f>IFERROR(__xludf.DUMMYFUNCTION("IFS(W118=""Achat"",IFERROR(VALUE(X118),VALUE(REGEXREPLACE(T(X118),""[^0-9]"",""""))),W118=""Vente"",-IFERROR(VALUE(X118),VALUE(REGEXREPLACE(T(X118),""[^0-9]"",""""))),Y118=""Change"",0,Y118&lt;&gt;""Change"","""")"),"")</f>
        <v/>
      </c>
      <c r="N118" s="34" t="str">
        <f>IFERROR(__xludf.DUMMYFUNCTION("IF(Account!$F118&lt;&gt;"""", VALUE(REGEXREPLACE($I118, ""\,"", ""."")), """")"),"")</f>
        <v/>
      </c>
      <c r="O118" s="35" t="str">
        <f>IF(Account!$F118&lt;&gt;"", DATEVALUE(MID($A118,4,3) &amp; LEFT($A118,3) &amp; RIGHT($A118,4)) + TIMEVALUE($B118), "")</f>
        <v/>
      </c>
      <c r="P118" s="36" t="str">
        <f>IF(Account!$F118&lt;&gt;"", DATEVALUE(MID($C118,4,3) &amp; LEFT($C118,3) &amp; RIGHT($C118,4)), "")</f>
        <v/>
      </c>
      <c r="Q118" s="37" t="str">
        <f t="array" ref="Q118">IF($R118&lt;&gt;"",IFERROR(INDEX(ISIN!$B:$B,MATCH($R118,ISIN!$C:$C,0))),)</f>
        <v/>
      </c>
      <c r="R118" s="38" t="str">
        <f t="array" ref="R118">IF($E118&lt;&gt;"",IFERROR(INDEX(ISIN!$C:$C,MATCH($E118,ISIN!$A:$A,0)),IFERROR(INDEX($R119:$R1200,MATCH($K118,$K119:$K1200,0)))),IF(AND($Y118="change",$H118="EUR"),IF($O118=$O119,$R119,IF($O118=$O117,$R117)),IFERROR(INDEX($R119:$R1200,MATCH(SUBSTITUTE($I118,"-","",1),$K119:$K1200,0)))))</f>
        <v/>
      </c>
      <c r="S118" s="37" t="str">
        <f t="shared" si="1"/>
        <v/>
      </c>
      <c r="T118" s="39" t="str">
        <f t="shared" si="2"/>
        <v/>
      </c>
      <c r="U118" s="40" t="str">
        <f t="shared" si="3"/>
        <v/>
      </c>
      <c r="V118" s="34" t="str">
        <f t="shared" si="4"/>
        <v/>
      </c>
      <c r="W118" s="41" t="str">
        <f>IFERROR(__xludf.DUMMYFUNCTION(" IF(Account!$F118&lt;&gt;"""", SPLIT(Account!$F118, "" ""), """")"),"")</f>
        <v/>
      </c>
      <c r="X118" s="44"/>
      <c r="Y118" s="44"/>
      <c r="Z118" s="44"/>
      <c r="AA118" s="44"/>
      <c r="AB118" s="44"/>
      <c r="AC118" s="44"/>
      <c r="AD118" s="44"/>
      <c r="AE118" s="44"/>
      <c r="AF118" s="44"/>
      <c r="AG118" s="44"/>
      <c r="AH118" s="44"/>
      <c r="AI118" s="44"/>
      <c r="AJ118" s="44"/>
      <c r="AK118" s="44"/>
    </row>
    <row r="119">
      <c r="A119" s="20"/>
      <c r="B119" s="20"/>
      <c r="C119" s="20"/>
      <c r="D119" s="20"/>
      <c r="E119" s="20"/>
      <c r="F119" s="21"/>
      <c r="G119" s="20"/>
      <c r="H119" s="20"/>
      <c r="I119" s="20"/>
      <c r="J119" s="20"/>
      <c r="K119" s="20"/>
      <c r="L119" s="21"/>
      <c r="M119" s="33" t="str">
        <f>IFERROR(__xludf.DUMMYFUNCTION("IFS(W119=""Achat"",IFERROR(VALUE(X119),VALUE(REGEXREPLACE(T(X119),""[^0-9]"",""""))),W119=""Vente"",-IFERROR(VALUE(X119),VALUE(REGEXREPLACE(T(X119),""[^0-9]"",""""))),Y119=""Change"",0,Y119&lt;&gt;""Change"","""")"),"")</f>
        <v/>
      </c>
      <c r="N119" s="34" t="str">
        <f>IFERROR(__xludf.DUMMYFUNCTION("IF(Account!$F119&lt;&gt;"""", VALUE(REGEXREPLACE($I119, ""\,"", ""."")), """")"),"")</f>
        <v/>
      </c>
      <c r="O119" s="35" t="str">
        <f>IF(Account!$F119&lt;&gt;"", DATEVALUE(MID($A119,4,3) &amp; LEFT($A119,3) &amp; RIGHT($A119,4)) + TIMEVALUE($B119), "")</f>
        <v/>
      </c>
      <c r="P119" s="36" t="str">
        <f>IF(Account!$F119&lt;&gt;"", DATEVALUE(MID($C119,4,3) &amp; LEFT($C119,3) &amp; RIGHT($C119,4)), "")</f>
        <v/>
      </c>
      <c r="Q119" s="37" t="str">
        <f t="array" ref="Q119">IF($R119&lt;&gt;"",IFERROR(INDEX(ISIN!$B:$B,MATCH($R119,ISIN!$C:$C,0))),)</f>
        <v/>
      </c>
      <c r="R119" s="38" t="str">
        <f t="array" ref="R119">IF($E119&lt;&gt;"",IFERROR(INDEX(ISIN!$C:$C,MATCH($E119,ISIN!$A:$A,0)),IFERROR(INDEX($R120:$R1200,MATCH($K119,$K120:$K1200,0)))),IF(AND($Y119="change",$H119="EUR"),IF($O119=$O120,$R120,IF($O119=$O118,$R118)),IFERROR(INDEX($R120:$R1200,MATCH(SUBSTITUTE($I119,"-","",1),$K120:$K1200,0)))))</f>
        <v/>
      </c>
      <c r="S119" s="37" t="str">
        <f t="shared" si="1"/>
        <v/>
      </c>
      <c r="T119" s="39" t="str">
        <f t="shared" si="2"/>
        <v/>
      </c>
      <c r="U119" s="40" t="str">
        <f t="shared" si="3"/>
        <v/>
      </c>
      <c r="V119" s="34" t="str">
        <f t="shared" si="4"/>
        <v/>
      </c>
      <c r="W119" s="41" t="str">
        <f>IFERROR(__xludf.DUMMYFUNCTION(" IF(Account!$F119&lt;&gt;"""", SPLIT(Account!$F119, "" ""), """")"),"")</f>
        <v/>
      </c>
      <c r="X119" s="44"/>
      <c r="Y119" s="44"/>
      <c r="Z119" s="44"/>
      <c r="AA119" s="44"/>
      <c r="AB119" s="44"/>
      <c r="AC119" s="44"/>
      <c r="AD119" s="44"/>
      <c r="AE119" s="44"/>
      <c r="AF119" s="44"/>
      <c r="AG119" s="44"/>
      <c r="AH119" s="44"/>
      <c r="AI119" s="44"/>
      <c r="AJ119" s="44"/>
      <c r="AK119" s="44"/>
    </row>
    <row r="120">
      <c r="A120" s="20"/>
      <c r="B120" s="20"/>
      <c r="C120" s="20"/>
      <c r="D120" s="20"/>
      <c r="E120" s="20"/>
      <c r="F120" s="21"/>
      <c r="G120" s="20"/>
      <c r="H120" s="20"/>
      <c r="I120" s="20"/>
      <c r="J120" s="20"/>
      <c r="K120" s="20"/>
      <c r="L120" s="21"/>
      <c r="M120" s="33" t="str">
        <f>IFERROR(__xludf.DUMMYFUNCTION("IFS(W120=""Achat"",IFERROR(VALUE(X120),VALUE(REGEXREPLACE(T(X120),""[^0-9]"",""""))),W120=""Vente"",-IFERROR(VALUE(X120),VALUE(REGEXREPLACE(T(X120),""[^0-9]"",""""))),Y120=""Change"",0,Y120&lt;&gt;""Change"","""")"),"")</f>
        <v/>
      </c>
      <c r="N120" s="34" t="str">
        <f>IFERROR(__xludf.DUMMYFUNCTION("IF(Account!$F120&lt;&gt;"""", VALUE(REGEXREPLACE($I120, ""\,"", ""."")), """")"),"")</f>
        <v/>
      </c>
      <c r="O120" s="35" t="str">
        <f>IF(Account!$F120&lt;&gt;"", DATEVALUE(MID($A120,4,3) &amp; LEFT($A120,3) &amp; RIGHT($A120,4)) + TIMEVALUE($B120), "")</f>
        <v/>
      </c>
      <c r="P120" s="36" t="str">
        <f>IF(Account!$F120&lt;&gt;"", DATEVALUE(MID($C120,4,3) &amp; LEFT($C120,3) &amp; RIGHT($C120,4)), "")</f>
        <v/>
      </c>
      <c r="Q120" s="37" t="str">
        <f t="array" ref="Q120">IF($R120&lt;&gt;"",IFERROR(INDEX(ISIN!$B:$B,MATCH($R120,ISIN!$C:$C,0))),)</f>
        <v/>
      </c>
      <c r="R120" s="38" t="str">
        <f t="array" ref="R120">IF($E120&lt;&gt;"",IFERROR(INDEX(ISIN!$C:$C,MATCH($E120,ISIN!$A:$A,0)),IFERROR(INDEX($R121:$R1200,MATCH($K120,$K121:$K1200,0)))),IF(AND($Y120="change",$H120="EUR"),IF($O120=$O121,$R121,IF($O120=$O119,$R119)),IFERROR(INDEX($R121:$R1200,MATCH(SUBSTITUTE($I120,"-","",1),$K121:$K1200,0)))))</f>
        <v/>
      </c>
      <c r="S120" s="37" t="str">
        <f t="shared" si="1"/>
        <v/>
      </c>
      <c r="T120" s="39" t="str">
        <f t="shared" si="2"/>
        <v/>
      </c>
      <c r="U120" s="40" t="str">
        <f t="shared" si="3"/>
        <v/>
      </c>
      <c r="V120" s="34" t="str">
        <f t="shared" si="4"/>
        <v/>
      </c>
      <c r="W120" s="41" t="str">
        <f>IFERROR(__xludf.DUMMYFUNCTION(" IF(Account!$F120&lt;&gt;"""", SPLIT(Account!$F120, "" ""), """")"),"")</f>
        <v/>
      </c>
      <c r="X120" s="44"/>
      <c r="Y120" s="44"/>
      <c r="Z120" s="44"/>
      <c r="AA120" s="44"/>
      <c r="AB120" s="44"/>
      <c r="AC120" s="44"/>
      <c r="AD120" s="44"/>
      <c r="AE120" s="44"/>
      <c r="AF120" s="44"/>
      <c r="AG120" s="44"/>
      <c r="AH120" s="44"/>
      <c r="AI120" s="44"/>
      <c r="AJ120" s="44"/>
      <c r="AK120" s="44"/>
    </row>
    <row r="121">
      <c r="A121" s="20"/>
      <c r="B121" s="20"/>
      <c r="C121" s="20"/>
      <c r="D121" s="20"/>
      <c r="E121" s="20"/>
      <c r="F121" s="21"/>
      <c r="G121" s="20"/>
      <c r="H121" s="20"/>
      <c r="I121" s="20"/>
      <c r="J121" s="20"/>
      <c r="K121" s="20"/>
      <c r="L121" s="21"/>
      <c r="M121" s="33" t="str">
        <f>IFERROR(__xludf.DUMMYFUNCTION("IFS(W121=""Achat"",IFERROR(VALUE(X121),VALUE(REGEXREPLACE(T(X121),""[^0-9]"",""""))),W121=""Vente"",-IFERROR(VALUE(X121),VALUE(REGEXREPLACE(T(X121),""[^0-9]"",""""))),Y121=""Change"",0,Y121&lt;&gt;""Change"","""")"),"")</f>
        <v/>
      </c>
      <c r="N121" s="34" t="str">
        <f>IFERROR(__xludf.DUMMYFUNCTION("IF(Account!$F121&lt;&gt;"""", VALUE(REGEXREPLACE($I121, ""\,"", ""."")), """")"),"")</f>
        <v/>
      </c>
      <c r="O121" s="35" t="str">
        <f>IF(Account!$F121&lt;&gt;"", DATEVALUE(MID($A121,4,3) &amp; LEFT($A121,3) &amp; RIGHT($A121,4)) + TIMEVALUE($B121), "")</f>
        <v/>
      </c>
      <c r="P121" s="36" t="str">
        <f>IF(Account!$F121&lt;&gt;"", DATEVALUE(MID($C121,4,3) &amp; LEFT($C121,3) &amp; RIGHT($C121,4)), "")</f>
        <v/>
      </c>
      <c r="Q121" s="37" t="str">
        <f t="array" ref="Q121">IF($R121&lt;&gt;"",IFERROR(INDEX(ISIN!$B:$B,MATCH($R121,ISIN!$C:$C,0))),)</f>
        <v/>
      </c>
      <c r="R121" s="38" t="str">
        <f t="array" ref="R121">IF($E121&lt;&gt;"",IFERROR(INDEX(ISIN!$C:$C,MATCH($E121,ISIN!$A:$A,0)),IFERROR(INDEX($R122:$R1200,MATCH($K121,$K122:$K1200,0)))),IF(AND($Y121="change",$H121="EUR"),IF($O121=$O122,$R122,IF($O121=$O120,$R120)),IFERROR(INDEX($R122:$R1200,MATCH(SUBSTITUTE($I121,"-","",1),$K122:$K1200,0)))))</f>
        <v/>
      </c>
      <c r="S121" s="37" t="str">
        <f t="shared" si="1"/>
        <v/>
      </c>
      <c r="T121" s="39" t="str">
        <f t="shared" si="2"/>
        <v/>
      </c>
      <c r="U121" s="40" t="str">
        <f t="shared" si="3"/>
        <v/>
      </c>
      <c r="V121" s="34" t="str">
        <f t="shared" si="4"/>
        <v/>
      </c>
      <c r="W121" s="41" t="str">
        <f>IFERROR(__xludf.DUMMYFUNCTION(" IF(Account!$F121&lt;&gt;"""", SPLIT(Account!$F121, "" ""), """")"),"")</f>
        <v/>
      </c>
      <c r="X121" s="42"/>
      <c r="Y121" s="42"/>
      <c r="Z121" s="42"/>
      <c r="AA121" s="42"/>
      <c r="AB121" s="42"/>
      <c r="AC121" s="42"/>
      <c r="AD121" s="42"/>
      <c r="AE121" s="42"/>
      <c r="AF121" s="42"/>
      <c r="AG121" s="42"/>
      <c r="AH121" s="42"/>
      <c r="AI121" s="42"/>
      <c r="AJ121" s="42"/>
      <c r="AK121" s="42"/>
    </row>
    <row r="122">
      <c r="A122" s="20"/>
      <c r="B122" s="20"/>
      <c r="C122" s="20"/>
      <c r="D122" s="20"/>
      <c r="E122" s="20"/>
      <c r="F122" s="21"/>
      <c r="G122" s="20"/>
      <c r="H122" s="20"/>
      <c r="I122" s="20"/>
      <c r="J122" s="20"/>
      <c r="K122" s="20"/>
      <c r="L122" s="21"/>
      <c r="M122" s="33" t="str">
        <f>IFERROR(__xludf.DUMMYFUNCTION("IFS(W122=""Achat"",IFERROR(VALUE(X122),VALUE(REGEXREPLACE(T(X122),""[^0-9]"",""""))),W122=""Vente"",-IFERROR(VALUE(X122),VALUE(REGEXREPLACE(T(X122),""[^0-9]"",""""))),Y122=""Change"",0,Y122&lt;&gt;""Change"","""")"),"")</f>
        <v/>
      </c>
      <c r="N122" s="34" t="str">
        <f>IFERROR(__xludf.DUMMYFUNCTION("IF(Account!$F122&lt;&gt;"""", VALUE(REGEXREPLACE($I122, ""\,"", ""."")), """")"),"")</f>
        <v/>
      </c>
      <c r="O122" s="35" t="str">
        <f>IF(Account!$F122&lt;&gt;"", DATEVALUE(MID($A122,4,3) &amp; LEFT($A122,3) &amp; RIGHT($A122,4)) + TIMEVALUE($B122), "")</f>
        <v/>
      </c>
      <c r="P122" s="36" t="str">
        <f>IF(Account!$F122&lt;&gt;"", DATEVALUE(MID($C122,4,3) &amp; LEFT($C122,3) &amp; RIGHT($C122,4)), "")</f>
        <v/>
      </c>
      <c r="Q122" s="37" t="str">
        <f t="array" ref="Q122">IF($R122&lt;&gt;"",IFERROR(INDEX(ISIN!$B:$B,MATCH($R122,ISIN!$C:$C,0))),)</f>
        <v/>
      </c>
      <c r="R122" s="38" t="str">
        <f t="array" ref="R122">IF($E122&lt;&gt;"",IFERROR(INDEX(ISIN!$C:$C,MATCH($E122,ISIN!$A:$A,0)),IFERROR(INDEX($R123:$R1200,MATCH($K122,$K123:$K1200,0)))),IF(AND($Y122="change",$H122="EUR"),IF($O122=$O123,$R123,IF($O122=$O121,$R121)),IFERROR(INDEX($R123:$R1200,MATCH(SUBSTITUTE($I122,"-","",1),$K123:$K1200,0)))))</f>
        <v/>
      </c>
      <c r="S122" s="37" t="str">
        <f t="shared" si="1"/>
        <v/>
      </c>
      <c r="T122" s="39" t="str">
        <f t="shared" si="2"/>
        <v/>
      </c>
      <c r="U122" s="40" t="str">
        <f t="shared" si="3"/>
        <v/>
      </c>
      <c r="V122" s="34" t="str">
        <f t="shared" si="4"/>
        <v/>
      </c>
      <c r="W122" s="41" t="str">
        <f>IFERROR(__xludf.DUMMYFUNCTION(" IF(Account!$F122&lt;&gt;"""", SPLIT(Account!$F122, "" ""), """")"),"")</f>
        <v/>
      </c>
      <c r="X122" s="42"/>
      <c r="Y122" s="42"/>
      <c r="Z122" s="42"/>
      <c r="AA122" s="42"/>
      <c r="AB122" s="42"/>
      <c r="AC122" s="42"/>
      <c r="AD122" s="42"/>
      <c r="AE122" s="42"/>
      <c r="AF122" s="42"/>
      <c r="AG122" s="42"/>
      <c r="AH122" s="42"/>
      <c r="AI122" s="42"/>
      <c r="AJ122" s="42"/>
      <c r="AK122" s="42"/>
    </row>
    <row r="123">
      <c r="A123" s="20"/>
      <c r="B123" s="20"/>
      <c r="C123" s="20"/>
      <c r="D123" s="20"/>
      <c r="E123" s="20"/>
      <c r="F123" s="21"/>
      <c r="G123" s="20"/>
      <c r="H123" s="20"/>
      <c r="I123" s="20"/>
      <c r="J123" s="20"/>
      <c r="K123" s="20"/>
      <c r="L123" s="21"/>
      <c r="M123" s="33" t="str">
        <f>IFERROR(__xludf.DUMMYFUNCTION("IFS(W123=""Achat"",IFERROR(VALUE(X123),VALUE(REGEXREPLACE(T(X123),""[^0-9]"",""""))),W123=""Vente"",-IFERROR(VALUE(X123),VALUE(REGEXREPLACE(T(X123),""[^0-9]"",""""))),Y123=""Change"",0,Y123&lt;&gt;""Change"","""")"),"")</f>
        <v/>
      </c>
      <c r="N123" s="34" t="str">
        <f>IFERROR(__xludf.DUMMYFUNCTION("IF(Account!$F123&lt;&gt;"""", VALUE(REGEXREPLACE($I123, ""\,"", ""."")), """")"),"")</f>
        <v/>
      </c>
      <c r="O123" s="35" t="str">
        <f>IF(Account!$F123&lt;&gt;"", DATEVALUE(MID($A123,4,3) &amp; LEFT($A123,3) &amp; RIGHT($A123,4)) + TIMEVALUE($B123), "")</f>
        <v/>
      </c>
      <c r="P123" s="36" t="str">
        <f>IF(Account!$F123&lt;&gt;"", DATEVALUE(MID($C123,4,3) &amp; LEFT($C123,3) &amp; RIGHT($C123,4)), "")</f>
        <v/>
      </c>
      <c r="Q123" s="37" t="str">
        <f t="array" ref="Q123">IF($R123&lt;&gt;"",IFERROR(INDEX(ISIN!$B:$B,MATCH($R123,ISIN!$C:$C,0))),)</f>
        <v/>
      </c>
      <c r="R123" s="38" t="str">
        <f t="array" ref="R123">IF($E123&lt;&gt;"",IFERROR(INDEX(ISIN!$C:$C,MATCH($E123,ISIN!$A:$A,0)),IFERROR(INDEX($R124:$R1200,MATCH($K123,$K124:$K1200,0)))),IF(AND($Y123="change",$H123="EUR"),IF($O123=$O124,$R124,IF($O123=$O122,$R122)),IFERROR(INDEX($R124:$R1200,MATCH(SUBSTITUTE($I123,"-","",1),$K124:$K1200,0)))))</f>
        <v/>
      </c>
      <c r="S123" s="37" t="str">
        <f t="shared" si="1"/>
        <v/>
      </c>
      <c r="T123" s="39" t="str">
        <f t="shared" si="2"/>
        <v/>
      </c>
      <c r="U123" s="40" t="str">
        <f t="shared" si="3"/>
        <v/>
      </c>
      <c r="V123" s="34" t="str">
        <f t="shared" si="4"/>
        <v/>
      </c>
      <c r="W123" s="41" t="str">
        <f>IFERROR(__xludf.DUMMYFUNCTION(" IF(Account!$F123&lt;&gt;"""", SPLIT(Account!$F123, "" ""), """")"),"")</f>
        <v/>
      </c>
      <c r="X123" s="42"/>
      <c r="Y123" s="42"/>
      <c r="Z123" s="42"/>
      <c r="AA123" s="42"/>
      <c r="AB123" s="42"/>
      <c r="AC123" s="42"/>
      <c r="AD123" s="42"/>
      <c r="AE123" s="42"/>
      <c r="AF123" s="42"/>
      <c r="AG123" s="42"/>
      <c r="AH123" s="42"/>
      <c r="AI123" s="42"/>
      <c r="AJ123" s="42"/>
      <c r="AK123" s="42"/>
    </row>
    <row r="124">
      <c r="A124" s="20"/>
      <c r="B124" s="20"/>
      <c r="C124" s="20"/>
      <c r="D124" s="20"/>
      <c r="E124" s="20"/>
      <c r="F124" s="21"/>
      <c r="G124" s="20"/>
      <c r="H124" s="20"/>
      <c r="I124" s="20"/>
      <c r="J124" s="20"/>
      <c r="K124" s="20"/>
      <c r="L124" s="21"/>
      <c r="M124" s="33" t="str">
        <f>IFERROR(__xludf.DUMMYFUNCTION("IFS(W124=""Achat"",IFERROR(VALUE(X124),VALUE(REGEXREPLACE(T(X124),""[^0-9]"",""""))),W124=""Vente"",-IFERROR(VALUE(X124),VALUE(REGEXREPLACE(T(X124),""[^0-9]"",""""))),Y124=""Change"",0,Y124&lt;&gt;""Change"","""")"),"")</f>
        <v/>
      </c>
      <c r="N124" s="34" t="str">
        <f>IFERROR(__xludf.DUMMYFUNCTION("IF(Account!$F124&lt;&gt;"""", VALUE(REGEXREPLACE($I124, ""\,"", ""."")), """")"),"")</f>
        <v/>
      </c>
      <c r="O124" s="35" t="str">
        <f>IF(Account!$F124&lt;&gt;"", DATEVALUE(MID($A124,4,3) &amp; LEFT($A124,3) &amp; RIGHT($A124,4)) + TIMEVALUE($B124), "")</f>
        <v/>
      </c>
      <c r="P124" s="36" t="str">
        <f>IF(Account!$F124&lt;&gt;"", DATEVALUE(MID($C124,4,3) &amp; LEFT($C124,3) &amp; RIGHT($C124,4)), "")</f>
        <v/>
      </c>
      <c r="Q124" s="37" t="str">
        <f t="array" ref="Q124">IF($R124&lt;&gt;"",IFERROR(INDEX(ISIN!$B:$B,MATCH($R124,ISIN!$C:$C,0))),)</f>
        <v/>
      </c>
      <c r="R124" s="38" t="str">
        <f t="array" ref="R124">IF($E124&lt;&gt;"",IFERROR(INDEX(ISIN!$C:$C,MATCH($E124,ISIN!$A:$A,0)),IFERROR(INDEX($R125:$R1200,MATCH($K124,$K125:$K1200,0)))),IF(AND($Y124="change",$H124="EUR"),IF($O124=$O125,$R125,IF($O124=$O123,$R123)),IFERROR(INDEX($R125:$R1200,MATCH(SUBSTITUTE($I124,"-","",1),$K125:$K1200,0)))))</f>
        <v/>
      </c>
      <c r="S124" s="37" t="str">
        <f t="shared" si="1"/>
        <v/>
      </c>
      <c r="T124" s="39" t="str">
        <f t="shared" si="2"/>
        <v/>
      </c>
      <c r="U124" s="40" t="str">
        <f t="shared" si="3"/>
        <v/>
      </c>
      <c r="V124" s="34" t="str">
        <f t="shared" si="4"/>
        <v/>
      </c>
      <c r="W124" s="41" t="str">
        <f>IFERROR(__xludf.DUMMYFUNCTION(" IF(Account!$F124&lt;&gt;"""", SPLIT(Account!$F124, "" ""), """")"),"")</f>
        <v/>
      </c>
      <c r="X124" s="42"/>
      <c r="Y124" s="42"/>
      <c r="Z124" s="42"/>
      <c r="AA124" s="42"/>
      <c r="AB124" s="42"/>
      <c r="AC124" s="42"/>
      <c r="AD124" s="42"/>
      <c r="AE124" s="42"/>
      <c r="AF124" s="42"/>
      <c r="AG124" s="42"/>
      <c r="AH124" s="42"/>
      <c r="AI124" s="42"/>
      <c r="AJ124" s="42"/>
      <c r="AK124" s="42"/>
    </row>
    <row r="125">
      <c r="A125" s="20"/>
      <c r="B125" s="20"/>
      <c r="C125" s="20"/>
      <c r="D125" s="20"/>
      <c r="E125" s="20"/>
      <c r="F125" s="21"/>
      <c r="G125" s="20"/>
      <c r="H125" s="20"/>
      <c r="I125" s="20"/>
      <c r="J125" s="20"/>
      <c r="K125" s="20"/>
      <c r="L125" s="21"/>
      <c r="M125" s="33" t="str">
        <f>IFERROR(__xludf.DUMMYFUNCTION("IFS(W125=""Achat"",IFERROR(VALUE(X125),VALUE(REGEXREPLACE(T(X125),""[^0-9]"",""""))),W125=""Vente"",-IFERROR(VALUE(X125),VALUE(REGEXREPLACE(T(X125),""[^0-9]"",""""))),Y125=""Change"",0,Y125&lt;&gt;""Change"","""")"),"")</f>
        <v/>
      </c>
      <c r="N125" s="34" t="str">
        <f>IFERROR(__xludf.DUMMYFUNCTION("IF(Account!$F125&lt;&gt;"""", VALUE(REGEXREPLACE($I125, ""\,"", ""."")), """")"),"")</f>
        <v/>
      </c>
      <c r="O125" s="35" t="str">
        <f>IF(Account!$F125&lt;&gt;"", DATEVALUE(MID($A125,4,3) &amp; LEFT($A125,3) &amp; RIGHT($A125,4)) + TIMEVALUE($B125), "")</f>
        <v/>
      </c>
      <c r="P125" s="36" t="str">
        <f>IF(Account!$F125&lt;&gt;"", DATEVALUE(MID($C125,4,3) &amp; LEFT($C125,3) &amp; RIGHT($C125,4)), "")</f>
        <v/>
      </c>
      <c r="Q125" s="37" t="str">
        <f t="array" ref="Q125">IF($R125&lt;&gt;"",IFERROR(INDEX(ISIN!$B:$B,MATCH($R125,ISIN!$C:$C,0))),)</f>
        <v/>
      </c>
      <c r="R125" s="38" t="str">
        <f t="array" ref="R125">IF($E125&lt;&gt;"",IFERROR(INDEX(ISIN!$C:$C,MATCH($E125,ISIN!$A:$A,0)),IFERROR(INDEX($R126:$R1200,MATCH($K125,$K126:$K1200,0)))),IF(AND($Y125="change",$H125="EUR"),IF($O125=$O126,$R126,IF($O125=$O124,$R124)),IFERROR(INDEX($R126:$R1200,MATCH(SUBSTITUTE($I125,"-","",1),$K126:$K1200,0)))))</f>
        <v/>
      </c>
      <c r="S125" s="37" t="str">
        <f t="shared" si="1"/>
        <v/>
      </c>
      <c r="T125" s="39" t="str">
        <f t="shared" si="2"/>
        <v/>
      </c>
      <c r="U125" s="40" t="str">
        <f t="shared" si="3"/>
        <v/>
      </c>
      <c r="V125" s="34" t="str">
        <f t="shared" si="4"/>
        <v/>
      </c>
      <c r="W125" s="41" t="str">
        <f>IFERROR(__xludf.DUMMYFUNCTION(" IF(Account!$F125&lt;&gt;"""", SPLIT(Account!$F125, "" ""), """")"),"")</f>
        <v/>
      </c>
      <c r="X125" s="42"/>
      <c r="Y125" s="42"/>
      <c r="Z125" s="42"/>
      <c r="AA125" s="42"/>
      <c r="AB125" s="42"/>
      <c r="AC125" s="42"/>
      <c r="AD125" s="42"/>
      <c r="AE125" s="42"/>
      <c r="AF125" s="42"/>
      <c r="AG125" s="42"/>
      <c r="AH125" s="42"/>
      <c r="AI125" s="42"/>
      <c r="AJ125" s="42"/>
      <c r="AK125" s="42"/>
    </row>
    <row r="126">
      <c r="A126" s="20"/>
      <c r="B126" s="20"/>
      <c r="C126" s="20"/>
      <c r="D126" s="20"/>
      <c r="E126" s="20"/>
      <c r="F126" s="21"/>
      <c r="G126" s="20"/>
      <c r="H126" s="20"/>
      <c r="I126" s="20"/>
      <c r="J126" s="20"/>
      <c r="K126" s="20"/>
      <c r="L126" s="21"/>
      <c r="M126" s="33" t="str">
        <f>IFERROR(__xludf.DUMMYFUNCTION("IFS(W126=""Achat"",IFERROR(VALUE(X126),VALUE(REGEXREPLACE(T(X126),""[^0-9]"",""""))),W126=""Vente"",-IFERROR(VALUE(X126),VALUE(REGEXREPLACE(T(X126),""[^0-9]"",""""))),Y126=""Change"",0,Y126&lt;&gt;""Change"","""")"),"")</f>
        <v/>
      </c>
      <c r="N126" s="34" t="str">
        <f>IFERROR(__xludf.DUMMYFUNCTION("IF(Account!$F126&lt;&gt;"""", VALUE(REGEXREPLACE($I126, ""\,"", ""."")), """")"),"")</f>
        <v/>
      </c>
      <c r="O126" s="35" t="str">
        <f>IF(Account!$F126&lt;&gt;"", DATEVALUE(MID($A126,4,3) &amp; LEFT($A126,3) &amp; RIGHT($A126,4)) + TIMEVALUE($B126), "")</f>
        <v/>
      </c>
      <c r="P126" s="36" t="str">
        <f>IF(Account!$F126&lt;&gt;"", DATEVALUE(MID($C126,4,3) &amp; LEFT($C126,3) &amp; RIGHT($C126,4)), "")</f>
        <v/>
      </c>
      <c r="Q126" s="37" t="str">
        <f t="array" ref="Q126">IF($R126&lt;&gt;"",IFERROR(INDEX(ISIN!$B:$B,MATCH($R126,ISIN!$C:$C,0))),)</f>
        <v/>
      </c>
      <c r="R126" s="38" t="str">
        <f t="array" ref="R126">IF($E126&lt;&gt;"",IFERROR(INDEX(ISIN!$C:$C,MATCH($E126,ISIN!$A:$A,0)),IFERROR(INDEX($R127:$R1200,MATCH($K126,$K127:$K1200,0)))),IF(AND($Y126="change",$H126="EUR"),IF($O126=$O127,$R127,IF($O126=$O125,$R125)),IFERROR(INDEX($R127:$R1200,MATCH(SUBSTITUTE($I126,"-","",1),$K127:$K1200,0)))))</f>
        <v/>
      </c>
      <c r="S126" s="37" t="str">
        <f t="shared" si="1"/>
        <v/>
      </c>
      <c r="T126" s="39" t="str">
        <f t="shared" si="2"/>
        <v/>
      </c>
      <c r="U126" s="40" t="str">
        <f t="shared" si="3"/>
        <v/>
      </c>
      <c r="V126" s="34" t="str">
        <f t="shared" si="4"/>
        <v/>
      </c>
      <c r="W126" s="41" t="str">
        <f>IFERROR(__xludf.DUMMYFUNCTION(" IF(Account!$F126&lt;&gt;"""", SPLIT(Account!$F126, "" ""), """")"),"")</f>
        <v/>
      </c>
      <c r="X126" s="42"/>
      <c r="Y126" s="42"/>
      <c r="Z126" s="42"/>
      <c r="AA126" s="42"/>
      <c r="AB126" s="42"/>
      <c r="AC126" s="42"/>
      <c r="AD126" s="42"/>
      <c r="AE126" s="42"/>
      <c r="AF126" s="42"/>
      <c r="AG126" s="42"/>
      <c r="AH126" s="42"/>
      <c r="AI126" s="42"/>
      <c r="AJ126" s="42"/>
      <c r="AK126" s="42"/>
    </row>
    <row r="127">
      <c r="A127" s="20"/>
      <c r="B127" s="20"/>
      <c r="C127" s="20"/>
      <c r="D127" s="20"/>
      <c r="E127" s="20"/>
      <c r="F127" s="21"/>
      <c r="G127" s="20"/>
      <c r="H127" s="20"/>
      <c r="I127" s="20"/>
      <c r="J127" s="20"/>
      <c r="K127" s="20"/>
      <c r="L127" s="21"/>
      <c r="M127" s="33" t="str">
        <f>IFERROR(__xludf.DUMMYFUNCTION("IFS(W127=""Achat"",IFERROR(VALUE(X127),VALUE(REGEXREPLACE(T(X127),""[^0-9]"",""""))),W127=""Vente"",-IFERROR(VALUE(X127),VALUE(REGEXREPLACE(T(X127),""[^0-9]"",""""))),Y127=""Change"",0,Y127&lt;&gt;""Change"","""")"),"")</f>
        <v/>
      </c>
      <c r="N127" s="34" t="str">
        <f>IFERROR(__xludf.DUMMYFUNCTION("IF(Account!$F127&lt;&gt;"""", VALUE(REGEXREPLACE($I127, ""\,"", ""."")), """")"),"")</f>
        <v/>
      </c>
      <c r="O127" s="35" t="str">
        <f>IF(Account!$F127&lt;&gt;"", DATEVALUE(MID($A127,4,3) &amp; LEFT($A127,3) &amp; RIGHT($A127,4)) + TIMEVALUE($B127), "")</f>
        <v/>
      </c>
      <c r="P127" s="36" t="str">
        <f>IF(Account!$F127&lt;&gt;"", DATEVALUE(MID($C127,4,3) &amp; LEFT($C127,3) &amp; RIGHT($C127,4)), "")</f>
        <v/>
      </c>
      <c r="Q127" s="37" t="str">
        <f t="array" ref="Q127">IF($R127&lt;&gt;"",IFERROR(INDEX(ISIN!$B:$B,MATCH($R127,ISIN!$C:$C,0))),)</f>
        <v/>
      </c>
      <c r="R127" s="38" t="str">
        <f t="array" ref="R127">IF($E127&lt;&gt;"",IFERROR(INDEX(ISIN!$C:$C,MATCH($E127,ISIN!$A:$A,0)),IFERROR(INDEX($R128:$R1200,MATCH($K127,$K128:$K1200,0)))),IF(AND($Y127="change",$H127="EUR"),IF($O127=$O128,$R128,IF($O127=$O126,$R126)),IFERROR(INDEX($R128:$R1200,MATCH(SUBSTITUTE($I127,"-","",1),$K128:$K1200,0)))))</f>
        <v/>
      </c>
      <c r="S127" s="37" t="str">
        <f t="shared" si="1"/>
        <v/>
      </c>
      <c r="T127" s="39" t="str">
        <f t="shared" si="2"/>
        <v/>
      </c>
      <c r="U127" s="40" t="str">
        <f t="shared" si="3"/>
        <v/>
      </c>
      <c r="V127" s="34" t="str">
        <f t="shared" si="4"/>
        <v/>
      </c>
      <c r="W127" s="41" t="str">
        <f>IFERROR(__xludf.DUMMYFUNCTION(" IF(Account!$F127&lt;&gt;"""", SPLIT(Account!$F127, "" ""), """")"),"")</f>
        <v/>
      </c>
      <c r="X127" s="42"/>
      <c r="Y127" s="42"/>
      <c r="Z127" s="42"/>
      <c r="AA127" s="42"/>
      <c r="AB127" s="42"/>
      <c r="AC127" s="42"/>
      <c r="AD127" s="42"/>
      <c r="AE127" s="42"/>
      <c r="AF127" s="42"/>
      <c r="AG127" s="42"/>
      <c r="AH127" s="42"/>
      <c r="AI127" s="42"/>
      <c r="AJ127" s="42"/>
      <c r="AK127" s="42"/>
    </row>
    <row r="128">
      <c r="A128" s="20"/>
      <c r="B128" s="20"/>
      <c r="C128" s="20"/>
      <c r="D128" s="20"/>
      <c r="E128" s="20"/>
      <c r="F128" s="21"/>
      <c r="G128" s="20"/>
      <c r="H128" s="20"/>
      <c r="I128" s="20"/>
      <c r="J128" s="20"/>
      <c r="K128" s="20"/>
      <c r="L128" s="21"/>
      <c r="M128" s="33" t="str">
        <f>IFERROR(__xludf.DUMMYFUNCTION("IFS(W128=""Achat"",IFERROR(VALUE(X128),VALUE(REGEXREPLACE(T(X128),""[^0-9]"",""""))),W128=""Vente"",-IFERROR(VALUE(X128),VALUE(REGEXREPLACE(T(X128),""[^0-9]"",""""))),Y128=""Change"",0,Y128&lt;&gt;""Change"","""")"),"")</f>
        <v/>
      </c>
      <c r="N128" s="34" t="str">
        <f>IFERROR(__xludf.DUMMYFUNCTION("IF(Account!$F128&lt;&gt;"""", VALUE(REGEXREPLACE($I128, ""\,"", ""."")), """")"),"")</f>
        <v/>
      </c>
      <c r="O128" s="35" t="str">
        <f>IF(Account!$F128&lt;&gt;"", DATEVALUE(MID($A128,4,3) &amp; LEFT($A128,3) &amp; RIGHT($A128,4)) + TIMEVALUE($B128), "")</f>
        <v/>
      </c>
      <c r="P128" s="36" t="str">
        <f>IF(Account!$F128&lt;&gt;"", DATEVALUE(MID($C128,4,3) &amp; LEFT($C128,3) &amp; RIGHT($C128,4)), "")</f>
        <v/>
      </c>
      <c r="Q128" s="37" t="str">
        <f t="array" ref="Q128">IF($R128&lt;&gt;"",IFERROR(INDEX(ISIN!$B:$B,MATCH($R128,ISIN!$C:$C,0))),)</f>
        <v/>
      </c>
      <c r="R128" s="38" t="str">
        <f t="array" ref="R128">IF($E128&lt;&gt;"",IFERROR(INDEX(ISIN!$C:$C,MATCH($E128,ISIN!$A:$A,0)),IFERROR(INDEX($R129:$R1200,MATCH($K128,$K129:$K1200,0)))),IF(AND($Y128="change",$H128="EUR"),IF($O128=$O129,$R129,IF($O128=$O127,$R127)),IFERROR(INDEX($R129:$R1200,MATCH(SUBSTITUTE($I128,"-","",1),$K129:$K1200,0)))))</f>
        <v/>
      </c>
      <c r="S128" s="37" t="str">
        <f t="shared" si="1"/>
        <v/>
      </c>
      <c r="T128" s="39" t="str">
        <f t="shared" si="2"/>
        <v/>
      </c>
      <c r="U128" s="40" t="str">
        <f t="shared" si="3"/>
        <v/>
      </c>
      <c r="V128" s="34" t="str">
        <f t="shared" si="4"/>
        <v/>
      </c>
      <c r="W128" s="41" t="str">
        <f>IFERROR(__xludf.DUMMYFUNCTION(" IF(Account!$F128&lt;&gt;"""", SPLIT(Account!$F128, "" ""), """")"),"")</f>
        <v/>
      </c>
      <c r="X128" s="42"/>
      <c r="Y128" s="42"/>
      <c r="Z128" s="42"/>
      <c r="AA128" s="42"/>
      <c r="AB128" s="42"/>
      <c r="AC128" s="42"/>
      <c r="AD128" s="42"/>
      <c r="AE128" s="42"/>
      <c r="AF128" s="42"/>
      <c r="AG128" s="42"/>
      <c r="AH128" s="42"/>
      <c r="AI128" s="42"/>
      <c r="AJ128" s="42"/>
      <c r="AK128" s="42"/>
    </row>
    <row r="129">
      <c r="A129" s="20"/>
      <c r="B129" s="20"/>
      <c r="C129" s="20"/>
      <c r="D129" s="20"/>
      <c r="E129" s="20"/>
      <c r="F129" s="21"/>
      <c r="G129" s="20"/>
      <c r="H129" s="20"/>
      <c r="I129" s="20"/>
      <c r="J129" s="20"/>
      <c r="K129" s="20"/>
      <c r="L129" s="21"/>
      <c r="M129" s="33" t="str">
        <f>IFERROR(__xludf.DUMMYFUNCTION("IFS(W129=""Achat"",IFERROR(VALUE(X129),VALUE(REGEXREPLACE(T(X129),""[^0-9]"",""""))),W129=""Vente"",-IFERROR(VALUE(X129),VALUE(REGEXREPLACE(T(X129),""[^0-9]"",""""))),Y129=""Change"",0,Y129&lt;&gt;""Change"","""")"),"")</f>
        <v/>
      </c>
      <c r="N129" s="34" t="str">
        <f>IFERROR(__xludf.DUMMYFUNCTION("IF(Account!$F129&lt;&gt;"""", VALUE(REGEXREPLACE($I129, ""\,"", ""."")), """")"),"")</f>
        <v/>
      </c>
      <c r="O129" s="35" t="str">
        <f>IF(Account!$F129&lt;&gt;"", DATEVALUE(MID($A129,4,3) &amp; LEFT($A129,3) &amp; RIGHT($A129,4)) + TIMEVALUE($B129), "")</f>
        <v/>
      </c>
      <c r="P129" s="36" t="str">
        <f>IF(Account!$F129&lt;&gt;"", DATEVALUE(MID($C129,4,3) &amp; LEFT($C129,3) &amp; RIGHT($C129,4)), "")</f>
        <v/>
      </c>
      <c r="Q129" s="37" t="str">
        <f t="array" ref="Q129">IF($R129&lt;&gt;"",IFERROR(INDEX(ISIN!$B:$B,MATCH($R129,ISIN!$C:$C,0))),)</f>
        <v/>
      </c>
      <c r="R129" s="38" t="str">
        <f t="array" ref="R129">IF($E129&lt;&gt;"",IFERROR(INDEX(ISIN!$C:$C,MATCH($E129,ISIN!$A:$A,0)),IFERROR(INDEX($R130:$R1200,MATCH($K129,$K130:$K1200,0)))),IF(AND($Y129="change",$H129="EUR"),IF($O129=$O130,$R130,IF($O129=$O128,$R128)),IFERROR(INDEX($R130:$R1200,MATCH(SUBSTITUTE($I129,"-","",1),$K130:$K1200,0)))))</f>
        <v/>
      </c>
      <c r="S129" s="37" t="str">
        <f t="shared" si="1"/>
        <v/>
      </c>
      <c r="T129" s="39" t="str">
        <f t="shared" si="2"/>
        <v/>
      </c>
      <c r="U129" s="40" t="str">
        <f t="shared" si="3"/>
        <v/>
      </c>
      <c r="V129" s="34" t="str">
        <f t="shared" si="4"/>
        <v/>
      </c>
      <c r="W129" s="41" t="str">
        <f>IFERROR(__xludf.DUMMYFUNCTION(" IF(Account!$F129&lt;&gt;"""", SPLIT(Account!$F129, "" ""), """")"),"")</f>
        <v/>
      </c>
      <c r="X129" s="42"/>
      <c r="Y129" s="42"/>
      <c r="Z129" s="42"/>
      <c r="AA129" s="42"/>
      <c r="AB129" s="42"/>
      <c r="AC129" s="42"/>
      <c r="AD129" s="42"/>
      <c r="AE129" s="42"/>
      <c r="AF129" s="42"/>
      <c r="AG129" s="42"/>
      <c r="AH129" s="42"/>
      <c r="AI129" s="42"/>
      <c r="AJ129" s="42"/>
      <c r="AK129" s="42"/>
    </row>
    <row r="130">
      <c r="A130" s="20"/>
      <c r="B130" s="20"/>
      <c r="C130" s="20"/>
      <c r="D130" s="20"/>
      <c r="E130" s="20"/>
      <c r="F130" s="21"/>
      <c r="G130" s="20"/>
      <c r="H130" s="20"/>
      <c r="I130" s="20"/>
      <c r="J130" s="20"/>
      <c r="K130" s="20"/>
      <c r="L130" s="21"/>
      <c r="M130" s="33" t="str">
        <f>IFERROR(__xludf.DUMMYFUNCTION("IFS(W130=""Achat"",IFERROR(VALUE(X130),VALUE(REGEXREPLACE(T(X130),""[^0-9]"",""""))),W130=""Vente"",-IFERROR(VALUE(X130),VALUE(REGEXREPLACE(T(X130),""[^0-9]"",""""))),Y130=""Change"",0,Y130&lt;&gt;""Change"","""")"),"")</f>
        <v/>
      </c>
      <c r="N130" s="34" t="str">
        <f>IFERROR(__xludf.DUMMYFUNCTION("IF(Account!$F130&lt;&gt;"""", VALUE(REGEXREPLACE($I130, ""\,"", ""."")), """")"),"")</f>
        <v/>
      </c>
      <c r="O130" s="35" t="str">
        <f>IF(Account!$F130&lt;&gt;"", DATEVALUE(MID($A130,4,3) &amp; LEFT($A130,3) &amp; RIGHT($A130,4)) + TIMEVALUE($B130), "")</f>
        <v/>
      </c>
      <c r="P130" s="36" t="str">
        <f>IF(Account!$F130&lt;&gt;"", DATEVALUE(MID($C130,4,3) &amp; LEFT($C130,3) &amp; RIGHT($C130,4)), "")</f>
        <v/>
      </c>
      <c r="Q130" s="37" t="str">
        <f t="array" ref="Q130">IF($R130&lt;&gt;"",IFERROR(INDEX(ISIN!$B:$B,MATCH($R130,ISIN!$C:$C,0))),)</f>
        <v/>
      </c>
      <c r="R130" s="38" t="str">
        <f t="array" ref="R130">IF($E130&lt;&gt;"",IFERROR(INDEX(ISIN!$C:$C,MATCH($E130,ISIN!$A:$A,0)),IFERROR(INDEX($R131:$R1200,MATCH($K130,$K131:$K1200,0)))),IF(AND($Y130="change",$H130="EUR"),IF($O130=$O131,$R131,IF($O130=$O129,$R129)),IFERROR(INDEX($R131:$R1200,MATCH(SUBSTITUTE($I130,"-","",1),$K131:$K1200,0)))))</f>
        <v/>
      </c>
      <c r="S130" s="37" t="str">
        <f t="shared" si="1"/>
        <v/>
      </c>
      <c r="T130" s="39" t="str">
        <f t="shared" si="2"/>
        <v/>
      </c>
      <c r="U130" s="40" t="str">
        <f t="shared" si="3"/>
        <v/>
      </c>
      <c r="V130" s="34" t="str">
        <f t="shared" si="4"/>
        <v/>
      </c>
      <c r="W130" s="41" t="str">
        <f>IFERROR(__xludf.DUMMYFUNCTION(" IF(Account!$F130&lt;&gt;"""", SPLIT(Account!$F130, "" ""), """")"),"")</f>
        <v/>
      </c>
      <c r="X130" s="42"/>
      <c r="Y130" s="42"/>
      <c r="Z130" s="42"/>
      <c r="AA130" s="42"/>
      <c r="AB130" s="42"/>
      <c r="AC130" s="42"/>
      <c r="AD130" s="42"/>
      <c r="AE130" s="42"/>
      <c r="AF130" s="42"/>
      <c r="AG130" s="42"/>
      <c r="AH130" s="42"/>
      <c r="AI130" s="42"/>
      <c r="AJ130" s="42"/>
      <c r="AK130" s="42"/>
    </row>
    <row r="131">
      <c r="A131" s="20"/>
      <c r="B131" s="20"/>
      <c r="C131" s="20"/>
      <c r="D131" s="20"/>
      <c r="E131" s="20"/>
      <c r="F131" s="21"/>
      <c r="G131" s="20"/>
      <c r="H131" s="20"/>
      <c r="I131" s="20"/>
      <c r="J131" s="20"/>
      <c r="K131" s="20"/>
      <c r="L131" s="21"/>
      <c r="M131" s="33" t="str">
        <f>IFERROR(__xludf.DUMMYFUNCTION("IFS(W131=""Achat"",IFERROR(VALUE(X131),VALUE(REGEXREPLACE(T(X131),""[^0-9]"",""""))),W131=""Vente"",-IFERROR(VALUE(X131),VALUE(REGEXREPLACE(T(X131),""[^0-9]"",""""))),Y131=""Change"",0,Y131&lt;&gt;""Change"","""")"),"")</f>
        <v/>
      </c>
      <c r="N131" s="34" t="str">
        <f>IFERROR(__xludf.DUMMYFUNCTION("IF(Account!$F131&lt;&gt;"""", VALUE(REGEXREPLACE($I131, ""\,"", ""."")), """")"),"")</f>
        <v/>
      </c>
      <c r="O131" s="35" t="str">
        <f>IF(Account!$F131&lt;&gt;"", DATEVALUE(MID($A131,4,3) &amp; LEFT($A131,3) &amp; RIGHT($A131,4)) + TIMEVALUE($B131), "")</f>
        <v/>
      </c>
      <c r="P131" s="36" t="str">
        <f>IF(Account!$F131&lt;&gt;"", DATEVALUE(MID($C131,4,3) &amp; LEFT($C131,3) &amp; RIGHT($C131,4)), "")</f>
        <v/>
      </c>
      <c r="Q131" s="37" t="str">
        <f t="array" ref="Q131">IF($R131&lt;&gt;"",IFERROR(INDEX(ISIN!$B:$B,MATCH($R131,ISIN!$C:$C,0))),)</f>
        <v/>
      </c>
      <c r="R131" s="38" t="str">
        <f t="array" ref="R131">IF($E131&lt;&gt;"",IFERROR(INDEX(ISIN!$C:$C,MATCH($E131,ISIN!$A:$A,0)),IFERROR(INDEX($R132:$R1200,MATCH($K131,$K132:$K1200,0)))),IF(AND($Y131="change",$H131="EUR"),IF($O131=$O132,$R132,IF($O131=$O130,$R130)),IFERROR(INDEX($R132:$R1200,MATCH(SUBSTITUTE($I131,"-","",1),$K132:$K1200,0)))))</f>
        <v/>
      </c>
      <c r="S131" s="37" t="str">
        <f t="shared" si="1"/>
        <v/>
      </c>
      <c r="T131" s="39" t="str">
        <f t="shared" si="2"/>
        <v/>
      </c>
      <c r="U131" s="40" t="str">
        <f t="shared" si="3"/>
        <v/>
      </c>
      <c r="V131" s="34" t="str">
        <f t="shared" si="4"/>
        <v/>
      </c>
      <c r="W131" s="41" t="str">
        <f>IFERROR(__xludf.DUMMYFUNCTION(" IF(Account!$F131&lt;&gt;"""", SPLIT(Account!$F131, "" ""), """")"),"")</f>
        <v/>
      </c>
      <c r="X131" s="42"/>
      <c r="Y131" s="42"/>
      <c r="Z131" s="42"/>
      <c r="AA131" s="42"/>
      <c r="AB131" s="42"/>
      <c r="AC131" s="42"/>
      <c r="AD131" s="42"/>
      <c r="AE131" s="42"/>
      <c r="AF131" s="42"/>
      <c r="AG131" s="42"/>
      <c r="AH131" s="42"/>
      <c r="AI131" s="42"/>
      <c r="AJ131" s="42"/>
      <c r="AK131" s="42"/>
    </row>
    <row r="132">
      <c r="A132" s="20"/>
      <c r="B132" s="20"/>
      <c r="C132" s="20"/>
      <c r="D132" s="20"/>
      <c r="E132" s="20"/>
      <c r="F132" s="21"/>
      <c r="G132" s="20"/>
      <c r="H132" s="20"/>
      <c r="I132" s="20"/>
      <c r="J132" s="20"/>
      <c r="K132" s="20"/>
      <c r="L132" s="21"/>
      <c r="M132" s="33" t="str">
        <f>IFERROR(__xludf.DUMMYFUNCTION("IFS(W132=""Achat"",IFERROR(VALUE(X132),VALUE(REGEXREPLACE(T(X132),""[^0-9]"",""""))),W132=""Vente"",-IFERROR(VALUE(X132),VALUE(REGEXREPLACE(T(X132),""[^0-9]"",""""))),Y132=""Change"",0,Y132&lt;&gt;""Change"","""")"),"")</f>
        <v/>
      </c>
      <c r="N132" s="34" t="str">
        <f>IFERROR(__xludf.DUMMYFUNCTION("IF(Account!$F132&lt;&gt;"""", VALUE(REGEXREPLACE($I132, ""\,"", ""."")), """")"),"")</f>
        <v/>
      </c>
      <c r="O132" s="35" t="str">
        <f>IF(Account!$F132&lt;&gt;"", DATEVALUE(MID($A132,4,3) &amp; LEFT($A132,3) &amp; RIGHT($A132,4)) + TIMEVALUE($B132), "")</f>
        <v/>
      </c>
      <c r="P132" s="36" t="str">
        <f>IF(Account!$F132&lt;&gt;"", DATEVALUE(MID($C132,4,3) &amp; LEFT($C132,3) &amp; RIGHT($C132,4)), "")</f>
        <v/>
      </c>
      <c r="Q132" s="37" t="str">
        <f t="array" ref="Q132">IF($R132&lt;&gt;"",IFERROR(INDEX(ISIN!$B:$B,MATCH($R132,ISIN!$C:$C,0))),)</f>
        <v/>
      </c>
      <c r="R132" s="38" t="str">
        <f t="array" ref="R132">IF($E132&lt;&gt;"",IFERROR(INDEX(ISIN!$C:$C,MATCH($E132,ISIN!$A:$A,0)),IFERROR(INDEX($R133:$R1200,MATCH($K132,$K133:$K1200,0)))),IF(AND($Y132="change",$H132="EUR"),IF($O132=$O133,$R133,IF($O132=$O131,$R131)),IFERROR(INDEX($R133:$R1200,MATCH(SUBSTITUTE($I132,"-","",1),$K133:$K1200,0)))))</f>
        <v/>
      </c>
      <c r="S132" s="37" t="str">
        <f t="shared" si="1"/>
        <v/>
      </c>
      <c r="T132" s="39" t="str">
        <f t="shared" si="2"/>
        <v/>
      </c>
      <c r="U132" s="40" t="str">
        <f t="shared" si="3"/>
        <v/>
      </c>
      <c r="V132" s="34" t="str">
        <f t="shared" si="4"/>
        <v/>
      </c>
      <c r="W132" s="41" t="str">
        <f>IFERROR(__xludf.DUMMYFUNCTION(" IF(Account!$F132&lt;&gt;"""", SPLIT(Account!$F132, "" ""), """")"),"")</f>
        <v/>
      </c>
      <c r="X132" s="42"/>
      <c r="Y132" s="42"/>
      <c r="Z132" s="42"/>
      <c r="AA132" s="42"/>
      <c r="AB132" s="42"/>
      <c r="AC132" s="42"/>
      <c r="AD132" s="42"/>
      <c r="AE132" s="42"/>
      <c r="AF132" s="42"/>
      <c r="AG132" s="42"/>
      <c r="AH132" s="42"/>
      <c r="AI132" s="42"/>
      <c r="AJ132" s="42"/>
      <c r="AK132" s="42"/>
    </row>
    <row r="133">
      <c r="A133" s="20"/>
      <c r="B133" s="20"/>
      <c r="C133" s="20"/>
      <c r="D133" s="20"/>
      <c r="E133" s="20"/>
      <c r="F133" s="21"/>
      <c r="G133" s="20"/>
      <c r="H133" s="20"/>
      <c r="I133" s="20"/>
      <c r="J133" s="20"/>
      <c r="K133" s="20"/>
      <c r="L133" s="21"/>
      <c r="M133" s="33" t="str">
        <f>IFERROR(__xludf.DUMMYFUNCTION("IFS(W133=""Achat"",IFERROR(VALUE(X133),VALUE(REGEXREPLACE(T(X133),""[^0-9]"",""""))),W133=""Vente"",-IFERROR(VALUE(X133),VALUE(REGEXREPLACE(T(X133),""[^0-9]"",""""))),Y133=""Change"",0,Y133&lt;&gt;""Change"","""")"),"")</f>
        <v/>
      </c>
      <c r="N133" s="34" t="str">
        <f>IFERROR(__xludf.DUMMYFUNCTION("IF(Account!$F133&lt;&gt;"""", VALUE(REGEXREPLACE($I133, ""\,"", ""."")), """")"),"")</f>
        <v/>
      </c>
      <c r="O133" s="35" t="str">
        <f>IF(Account!$F133&lt;&gt;"", DATEVALUE(MID($A133,4,3) &amp; LEFT($A133,3) &amp; RIGHT($A133,4)) + TIMEVALUE($B133), "")</f>
        <v/>
      </c>
      <c r="P133" s="36" t="str">
        <f>IF(Account!$F133&lt;&gt;"", DATEVALUE(MID($C133,4,3) &amp; LEFT($C133,3) &amp; RIGHT($C133,4)), "")</f>
        <v/>
      </c>
      <c r="Q133" s="37" t="str">
        <f t="array" ref="Q133">IF($R133&lt;&gt;"",IFERROR(INDEX(ISIN!$B:$B,MATCH($R133,ISIN!$C:$C,0))),)</f>
        <v/>
      </c>
      <c r="R133" s="38" t="str">
        <f t="array" ref="R133">IF($E133&lt;&gt;"",IFERROR(INDEX(ISIN!$C:$C,MATCH($E133,ISIN!$A:$A,0)),IFERROR(INDEX($R134:$R1200,MATCH($K133,$K134:$K1200,0)))),IF(AND($Y133="change",$H133="EUR"),IF($O133=$O134,$R134,IF($O133=$O132,$R132)),IFERROR(INDEX($R134:$R1200,MATCH(SUBSTITUTE($I133,"-","",1),$K134:$K1200,0)))))</f>
        <v/>
      </c>
      <c r="S133" s="37" t="str">
        <f t="shared" si="1"/>
        <v/>
      </c>
      <c r="T133" s="39" t="str">
        <f t="shared" si="2"/>
        <v/>
      </c>
      <c r="U133" s="40" t="str">
        <f t="shared" si="3"/>
        <v/>
      </c>
      <c r="V133" s="34" t="str">
        <f t="shared" si="4"/>
        <v/>
      </c>
      <c r="W133" s="41" t="str">
        <f>IFERROR(__xludf.DUMMYFUNCTION(" IF(Account!$F133&lt;&gt;"""", SPLIT(Account!$F133, "" ""), """")"),"")</f>
        <v/>
      </c>
      <c r="X133" s="42"/>
      <c r="Y133" s="42"/>
      <c r="Z133" s="42"/>
      <c r="AA133" s="42"/>
      <c r="AB133" s="42"/>
      <c r="AC133" s="42"/>
      <c r="AD133" s="42"/>
      <c r="AE133" s="42"/>
      <c r="AF133" s="42"/>
      <c r="AG133" s="42"/>
      <c r="AH133" s="42"/>
      <c r="AI133" s="42"/>
      <c r="AJ133" s="42"/>
      <c r="AK133" s="42"/>
    </row>
    <row r="134">
      <c r="A134" s="20"/>
      <c r="B134" s="20"/>
      <c r="C134" s="20"/>
      <c r="D134" s="20"/>
      <c r="E134" s="20"/>
      <c r="F134" s="21"/>
      <c r="G134" s="20"/>
      <c r="H134" s="20"/>
      <c r="I134" s="20"/>
      <c r="J134" s="20"/>
      <c r="K134" s="20"/>
      <c r="L134" s="21"/>
      <c r="M134" s="33" t="str">
        <f>IFERROR(__xludf.DUMMYFUNCTION("IFS(W134=""Achat"",IFERROR(VALUE(X134),VALUE(REGEXREPLACE(T(X134),""[^0-9]"",""""))),W134=""Vente"",-IFERROR(VALUE(X134),VALUE(REGEXREPLACE(T(X134),""[^0-9]"",""""))),Y134=""Change"",0,Y134&lt;&gt;""Change"","""")"),"")</f>
        <v/>
      </c>
      <c r="N134" s="34" t="str">
        <f>IFERROR(__xludf.DUMMYFUNCTION("IF(Account!$F134&lt;&gt;"""", VALUE(REGEXREPLACE($I134, ""\,"", ""."")), """")"),"")</f>
        <v/>
      </c>
      <c r="O134" s="35" t="str">
        <f>IF(Account!$F134&lt;&gt;"", DATEVALUE(MID($A134,4,3) &amp; LEFT($A134,3) &amp; RIGHT($A134,4)) + TIMEVALUE($B134), "")</f>
        <v/>
      </c>
      <c r="P134" s="36" t="str">
        <f>IF(Account!$F134&lt;&gt;"", DATEVALUE(MID($C134,4,3) &amp; LEFT($C134,3) &amp; RIGHT($C134,4)), "")</f>
        <v/>
      </c>
      <c r="Q134" s="37" t="str">
        <f t="array" ref="Q134">IF($R134&lt;&gt;"",IFERROR(INDEX(ISIN!$B:$B,MATCH($R134,ISIN!$C:$C,0))),)</f>
        <v/>
      </c>
      <c r="R134" s="38" t="str">
        <f t="array" ref="R134">IF($E134&lt;&gt;"",IFERROR(INDEX(ISIN!$C:$C,MATCH($E134,ISIN!$A:$A,0)),IFERROR(INDEX($R135:$R1200,MATCH($K134,$K135:$K1200,0)))),IF(AND($Y134="change",$H134="EUR"),IF($O134=$O135,$R135,IF($O134=$O133,$R133)),IFERROR(INDEX($R135:$R1200,MATCH(SUBSTITUTE($I134,"-","",1),$K135:$K1200,0)))))</f>
        <v/>
      </c>
      <c r="S134" s="37" t="str">
        <f t="shared" si="1"/>
        <v/>
      </c>
      <c r="T134" s="39" t="str">
        <f t="shared" si="2"/>
        <v/>
      </c>
      <c r="U134" s="40" t="str">
        <f t="shared" si="3"/>
        <v/>
      </c>
      <c r="V134" s="34" t="str">
        <f t="shared" si="4"/>
        <v/>
      </c>
      <c r="W134" s="41" t="str">
        <f>IFERROR(__xludf.DUMMYFUNCTION(" IF(Account!$F134&lt;&gt;"""", SPLIT(Account!$F134, "" ""), """")"),"")</f>
        <v/>
      </c>
      <c r="X134" s="42"/>
      <c r="Y134" s="42"/>
      <c r="Z134" s="42"/>
      <c r="AA134" s="42"/>
      <c r="AB134" s="42"/>
      <c r="AC134" s="42"/>
      <c r="AD134" s="42"/>
      <c r="AE134" s="42"/>
      <c r="AF134" s="42"/>
      <c r="AG134" s="42"/>
      <c r="AH134" s="42"/>
      <c r="AI134" s="42"/>
      <c r="AJ134" s="42"/>
      <c r="AK134" s="42"/>
    </row>
    <row r="135">
      <c r="A135" s="20"/>
      <c r="B135" s="20"/>
      <c r="C135" s="20"/>
      <c r="D135" s="20"/>
      <c r="E135" s="20"/>
      <c r="F135" s="21"/>
      <c r="G135" s="20"/>
      <c r="H135" s="20"/>
      <c r="I135" s="20"/>
      <c r="J135" s="20"/>
      <c r="K135" s="20"/>
      <c r="L135" s="21"/>
      <c r="M135" s="33" t="str">
        <f>IFERROR(__xludf.DUMMYFUNCTION("IFS(W135=""Achat"",IFERROR(VALUE(X135),VALUE(REGEXREPLACE(T(X135),""[^0-9]"",""""))),W135=""Vente"",-IFERROR(VALUE(X135),VALUE(REGEXREPLACE(T(X135),""[^0-9]"",""""))),Y135=""Change"",0,Y135&lt;&gt;""Change"","""")"),"")</f>
        <v/>
      </c>
      <c r="N135" s="34" t="str">
        <f>IFERROR(__xludf.DUMMYFUNCTION("IF(Account!$F135&lt;&gt;"""", VALUE(REGEXREPLACE($I135, ""\,"", ""."")), """")"),"")</f>
        <v/>
      </c>
      <c r="O135" s="35" t="str">
        <f>IF(Account!$F135&lt;&gt;"", DATEVALUE(MID($A135,4,3) &amp; LEFT($A135,3) &amp; RIGHT($A135,4)) + TIMEVALUE($B135), "")</f>
        <v/>
      </c>
      <c r="P135" s="36" t="str">
        <f>IF(Account!$F135&lt;&gt;"", DATEVALUE(MID($C135,4,3) &amp; LEFT($C135,3) &amp; RIGHT($C135,4)), "")</f>
        <v/>
      </c>
      <c r="Q135" s="37" t="str">
        <f t="array" ref="Q135">IF($R135&lt;&gt;"",IFERROR(INDEX(ISIN!$B:$B,MATCH($R135,ISIN!$C:$C,0))),)</f>
        <v/>
      </c>
      <c r="R135" s="38" t="str">
        <f t="array" ref="R135">IF($E135&lt;&gt;"",IFERROR(INDEX(ISIN!$C:$C,MATCH($E135,ISIN!$A:$A,0)),IFERROR(INDEX($R136:$R1200,MATCH($K135,$K136:$K1200,0)))),IF(AND($Y135="change",$H135="EUR"),IF($O135=$O136,$R136,IF($O135=$O134,$R134)),IFERROR(INDEX($R136:$R1200,MATCH(SUBSTITUTE($I135,"-","",1),$K136:$K1200,0)))))</f>
        <v/>
      </c>
      <c r="S135" s="37" t="str">
        <f t="shared" si="1"/>
        <v/>
      </c>
      <c r="T135" s="39" t="str">
        <f t="shared" si="2"/>
        <v/>
      </c>
      <c r="U135" s="40" t="str">
        <f t="shared" si="3"/>
        <v/>
      </c>
      <c r="V135" s="34" t="str">
        <f t="shared" si="4"/>
        <v/>
      </c>
      <c r="W135" s="41" t="str">
        <f>IFERROR(__xludf.DUMMYFUNCTION(" IF(Account!$F135&lt;&gt;"""", SPLIT(Account!$F135, "" ""), """")"),"")</f>
        <v/>
      </c>
      <c r="X135" s="42"/>
      <c r="Y135" s="42"/>
      <c r="Z135" s="42"/>
      <c r="AA135" s="42"/>
      <c r="AB135" s="42"/>
      <c r="AC135" s="42"/>
      <c r="AD135" s="42"/>
      <c r="AE135" s="42"/>
      <c r="AF135" s="42"/>
      <c r="AG135" s="42"/>
      <c r="AH135" s="42"/>
      <c r="AI135" s="42"/>
      <c r="AJ135" s="42"/>
      <c r="AK135" s="42"/>
    </row>
    <row r="136">
      <c r="A136" s="20"/>
      <c r="B136" s="20"/>
      <c r="C136" s="20"/>
      <c r="D136" s="20"/>
      <c r="E136" s="20"/>
      <c r="F136" s="21"/>
      <c r="G136" s="20"/>
      <c r="H136" s="20"/>
      <c r="I136" s="20"/>
      <c r="J136" s="20"/>
      <c r="K136" s="20"/>
      <c r="L136" s="21"/>
      <c r="M136" s="33" t="str">
        <f>IFERROR(__xludf.DUMMYFUNCTION("IFS(W136=""Achat"",IFERROR(VALUE(X136),VALUE(REGEXREPLACE(T(X136),""[^0-9]"",""""))),W136=""Vente"",-IFERROR(VALUE(X136),VALUE(REGEXREPLACE(T(X136),""[^0-9]"",""""))),Y136=""Change"",0,Y136&lt;&gt;""Change"","""")"),"")</f>
        <v/>
      </c>
      <c r="N136" s="34" t="str">
        <f>IFERROR(__xludf.DUMMYFUNCTION("IF(Account!$F136&lt;&gt;"""", VALUE(REGEXREPLACE($I136, ""\,"", ""."")), """")"),"")</f>
        <v/>
      </c>
      <c r="O136" s="35" t="str">
        <f>IF(Account!$F136&lt;&gt;"", DATEVALUE(MID($A136,4,3) &amp; LEFT($A136,3) &amp; RIGHT($A136,4)) + TIMEVALUE($B136), "")</f>
        <v/>
      </c>
      <c r="P136" s="36" t="str">
        <f>IF(Account!$F136&lt;&gt;"", DATEVALUE(MID($C136,4,3) &amp; LEFT($C136,3) &amp; RIGHT($C136,4)), "")</f>
        <v/>
      </c>
      <c r="Q136" s="37" t="str">
        <f t="array" ref="Q136">IF($R136&lt;&gt;"",IFERROR(INDEX(ISIN!$B:$B,MATCH($R136,ISIN!$C:$C,0))),)</f>
        <v/>
      </c>
      <c r="R136" s="38" t="str">
        <f t="array" ref="R136">IF($E136&lt;&gt;"",IFERROR(INDEX(ISIN!$C:$C,MATCH($E136,ISIN!$A:$A,0)),IFERROR(INDEX($R137:$R1200,MATCH($K136,$K137:$K1200,0)))),IF(AND($Y136="change",$H136="EUR"),IF($O136=$O137,$R137,IF($O136=$O135,$R135)),IFERROR(INDEX($R137:$R1200,MATCH(SUBSTITUTE($I136,"-","",1),$K137:$K1200,0)))))</f>
        <v/>
      </c>
      <c r="S136" s="37" t="str">
        <f t="shared" si="1"/>
        <v/>
      </c>
      <c r="T136" s="39" t="str">
        <f t="shared" si="2"/>
        <v/>
      </c>
      <c r="U136" s="40" t="str">
        <f t="shared" si="3"/>
        <v/>
      </c>
      <c r="V136" s="34" t="str">
        <f t="shared" si="4"/>
        <v/>
      </c>
      <c r="W136" s="41" t="str">
        <f>IFERROR(__xludf.DUMMYFUNCTION(" IF(Account!$F136&lt;&gt;"""", SPLIT(Account!$F136, "" ""), """")"),"")</f>
        <v/>
      </c>
      <c r="X136" s="42"/>
      <c r="Y136" s="42"/>
      <c r="Z136" s="42"/>
      <c r="AA136" s="42"/>
      <c r="AB136" s="42"/>
      <c r="AC136" s="42"/>
      <c r="AD136" s="42"/>
      <c r="AE136" s="42"/>
      <c r="AF136" s="42"/>
      <c r="AG136" s="42"/>
      <c r="AH136" s="42"/>
      <c r="AI136" s="42"/>
      <c r="AJ136" s="42"/>
      <c r="AK136" s="42"/>
    </row>
    <row r="137">
      <c r="A137" s="20"/>
      <c r="B137" s="20"/>
      <c r="C137" s="20"/>
      <c r="D137" s="20"/>
      <c r="E137" s="20"/>
      <c r="F137" s="21"/>
      <c r="G137" s="20"/>
      <c r="H137" s="20"/>
      <c r="I137" s="20"/>
      <c r="J137" s="20"/>
      <c r="K137" s="20"/>
      <c r="L137" s="21"/>
      <c r="M137" s="33" t="str">
        <f>IFERROR(__xludf.DUMMYFUNCTION("IFS(W137=""Achat"",IFERROR(VALUE(X137),VALUE(REGEXREPLACE(T(X137),""[^0-9]"",""""))),W137=""Vente"",-IFERROR(VALUE(X137),VALUE(REGEXREPLACE(T(X137),""[^0-9]"",""""))),Y137=""Change"",0,Y137&lt;&gt;""Change"","""")"),"")</f>
        <v/>
      </c>
      <c r="N137" s="34" t="str">
        <f>IFERROR(__xludf.DUMMYFUNCTION("IF(Account!$F137&lt;&gt;"""", VALUE(REGEXREPLACE($I137, ""\,"", ""."")), """")"),"")</f>
        <v/>
      </c>
      <c r="O137" s="35" t="str">
        <f>IF(Account!$F137&lt;&gt;"", DATEVALUE(MID($A137,4,3) &amp; LEFT($A137,3) &amp; RIGHT($A137,4)) + TIMEVALUE($B137), "")</f>
        <v/>
      </c>
      <c r="P137" s="36" t="str">
        <f>IF(Account!$F137&lt;&gt;"", DATEVALUE(MID($C137,4,3) &amp; LEFT($C137,3) &amp; RIGHT($C137,4)), "")</f>
        <v/>
      </c>
      <c r="Q137" s="37" t="str">
        <f t="array" ref="Q137">IF($R137&lt;&gt;"",IFERROR(INDEX(ISIN!$B:$B,MATCH($R137,ISIN!$C:$C,0))),)</f>
        <v/>
      </c>
      <c r="R137" s="38" t="str">
        <f t="array" ref="R137">IF($E137&lt;&gt;"",IFERROR(INDEX(ISIN!$C:$C,MATCH($E137,ISIN!$A:$A,0)),IFERROR(INDEX($R138:$R1200,MATCH($K137,$K138:$K1200,0)))),IF(AND($Y137="change",$H137="EUR"),IF($O137=$O138,$R138,IF($O137=$O136,$R136)),IFERROR(INDEX($R138:$R1200,MATCH(SUBSTITUTE($I137,"-","",1),$K138:$K1200,0)))))</f>
        <v/>
      </c>
      <c r="S137" s="37" t="str">
        <f t="shared" si="1"/>
        <v/>
      </c>
      <c r="T137" s="39" t="str">
        <f t="shared" si="2"/>
        <v/>
      </c>
      <c r="U137" s="40" t="str">
        <f t="shared" si="3"/>
        <v/>
      </c>
      <c r="V137" s="34" t="str">
        <f t="shared" si="4"/>
        <v/>
      </c>
      <c r="W137" s="41" t="str">
        <f>IFERROR(__xludf.DUMMYFUNCTION(" IF(Account!$F137&lt;&gt;"""", SPLIT(Account!$F137, "" ""), """")"),"")</f>
        <v/>
      </c>
      <c r="X137" s="42"/>
      <c r="Y137" s="42"/>
      <c r="Z137" s="42"/>
      <c r="AA137" s="42"/>
      <c r="AB137" s="42"/>
      <c r="AC137" s="42"/>
      <c r="AD137" s="42"/>
      <c r="AE137" s="42"/>
      <c r="AF137" s="42"/>
      <c r="AG137" s="42"/>
      <c r="AH137" s="42"/>
      <c r="AI137" s="42"/>
      <c r="AJ137" s="42"/>
      <c r="AK137" s="42"/>
    </row>
    <row r="138">
      <c r="A138" s="20"/>
      <c r="B138" s="20"/>
      <c r="C138" s="20"/>
      <c r="D138" s="20"/>
      <c r="E138" s="20"/>
      <c r="F138" s="21"/>
      <c r="G138" s="20"/>
      <c r="H138" s="20"/>
      <c r="I138" s="20"/>
      <c r="J138" s="20"/>
      <c r="K138" s="20"/>
      <c r="L138" s="21"/>
      <c r="M138" s="33" t="str">
        <f>IFERROR(__xludf.DUMMYFUNCTION("IFS(W138=""Achat"",IFERROR(VALUE(X138),VALUE(REGEXREPLACE(T(X138),""[^0-9]"",""""))),W138=""Vente"",-IFERROR(VALUE(X138),VALUE(REGEXREPLACE(T(X138),""[^0-9]"",""""))),Y138=""Change"",0,Y138&lt;&gt;""Change"","""")"),"")</f>
        <v/>
      </c>
      <c r="N138" s="34" t="str">
        <f>IFERROR(__xludf.DUMMYFUNCTION("IF(Account!$F138&lt;&gt;"""", VALUE(REGEXREPLACE($I138, ""\,"", ""."")), """")"),"")</f>
        <v/>
      </c>
      <c r="O138" s="35" t="str">
        <f>IF(Account!$F138&lt;&gt;"", DATEVALUE(MID($A138,4,3) &amp; LEFT($A138,3) &amp; RIGHT($A138,4)) + TIMEVALUE($B138), "")</f>
        <v/>
      </c>
      <c r="P138" s="36" t="str">
        <f>IF(Account!$F138&lt;&gt;"", DATEVALUE(MID($C138,4,3) &amp; LEFT($C138,3) &amp; RIGHT($C138,4)), "")</f>
        <v/>
      </c>
      <c r="Q138" s="37" t="str">
        <f t="array" ref="Q138">IF($R138&lt;&gt;"",IFERROR(INDEX(ISIN!$B:$B,MATCH($R138,ISIN!$C:$C,0))),)</f>
        <v/>
      </c>
      <c r="R138" s="38" t="str">
        <f t="array" ref="R138">IF($E138&lt;&gt;"",IFERROR(INDEX(ISIN!$C:$C,MATCH($E138,ISIN!$A:$A,0)),IFERROR(INDEX($R139:$R1200,MATCH($K138,$K139:$K1200,0)))),IF(AND($Y138="change",$H138="EUR"),IF($O138=$O139,$R139,IF($O138=$O137,$R137)),IFERROR(INDEX($R139:$R1200,MATCH(SUBSTITUTE($I138,"-","",1),$K139:$K1200,0)))))</f>
        <v/>
      </c>
      <c r="S138" s="37" t="str">
        <f t="shared" si="1"/>
        <v/>
      </c>
      <c r="T138" s="39" t="str">
        <f t="shared" si="2"/>
        <v/>
      </c>
      <c r="U138" s="40" t="str">
        <f t="shared" si="3"/>
        <v/>
      </c>
      <c r="V138" s="34" t="str">
        <f t="shared" si="4"/>
        <v/>
      </c>
      <c r="W138" s="41" t="str">
        <f>IFERROR(__xludf.DUMMYFUNCTION(" IF(Account!$F138&lt;&gt;"""", SPLIT(Account!$F138, "" ""), """")"),"")</f>
        <v/>
      </c>
      <c r="X138" s="42"/>
      <c r="Y138" s="42"/>
      <c r="Z138" s="42"/>
      <c r="AA138" s="42"/>
      <c r="AB138" s="42"/>
      <c r="AC138" s="42"/>
      <c r="AD138" s="42"/>
      <c r="AE138" s="42"/>
      <c r="AF138" s="42"/>
      <c r="AG138" s="42"/>
      <c r="AH138" s="42"/>
      <c r="AI138" s="42"/>
      <c r="AJ138" s="42"/>
      <c r="AK138" s="42"/>
    </row>
    <row r="139">
      <c r="A139" s="20"/>
      <c r="B139" s="20"/>
      <c r="C139" s="20"/>
      <c r="D139" s="20"/>
      <c r="E139" s="20"/>
      <c r="F139" s="21"/>
      <c r="G139" s="20"/>
      <c r="H139" s="20"/>
      <c r="I139" s="20"/>
      <c r="J139" s="20"/>
      <c r="K139" s="20"/>
      <c r="L139" s="21"/>
      <c r="M139" s="33" t="str">
        <f>IFERROR(__xludf.DUMMYFUNCTION("IFS(W139=""Achat"",IFERROR(VALUE(X139),VALUE(REGEXREPLACE(T(X139),""[^0-9]"",""""))),W139=""Vente"",-IFERROR(VALUE(X139),VALUE(REGEXREPLACE(T(X139),""[^0-9]"",""""))),Y139=""Change"",0,Y139&lt;&gt;""Change"","""")"),"")</f>
        <v/>
      </c>
      <c r="N139" s="34" t="str">
        <f>IFERROR(__xludf.DUMMYFUNCTION("IF(Account!$F139&lt;&gt;"""", VALUE(REGEXREPLACE($I139, ""\,"", ""."")), """")"),"")</f>
        <v/>
      </c>
      <c r="O139" s="35" t="str">
        <f>IF(Account!$F139&lt;&gt;"", DATEVALUE(MID($A139,4,3) &amp; LEFT($A139,3) &amp; RIGHT($A139,4)) + TIMEVALUE($B139), "")</f>
        <v/>
      </c>
      <c r="P139" s="36" t="str">
        <f>IF(Account!$F139&lt;&gt;"", DATEVALUE(MID($C139,4,3) &amp; LEFT($C139,3) &amp; RIGHT($C139,4)), "")</f>
        <v/>
      </c>
      <c r="Q139" s="37" t="str">
        <f t="array" ref="Q139">IF($R139&lt;&gt;"",IFERROR(INDEX(ISIN!$B:$B,MATCH($R139,ISIN!$C:$C,0))),)</f>
        <v/>
      </c>
      <c r="R139" s="38" t="str">
        <f t="array" ref="R139">IF($E139&lt;&gt;"",IFERROR(INDEX(ISIN!$C:$C,MATCH($E139,ISIN!$A:$A,0)),IFERROR(INDEX($R140:$R1200,MATCH($K139,$K140:$K1200,0)))),IF(AND($Y139="change",$H139="EUR"),IF($O139=$O140,$R140,IF($O139=$O138,$R138)),IFERROR(INDEX($R140:$R1200,MATCH(SUBSTITUTE($I139,"-","",1),$K140:$K1200,0)))))</f>
        <v/>
      </c>
      <c r="S139" s="37" t="str">
        <f t="shared" si="1"/>
        <v/>
      </c>
      <c r="T139" s="39" t="str">
        <f t="shared" si="2"/>
        <v/>
      </c>
      <c r="U139" s="40" t="str">
        <f t="shared" si="3"/>
        <v/>
      </c>
      <c r="V139" s="34" t="str">
        <f t="shared" si="4"/>
        <v/>
      </c>
      <c r="W139" s="41" t="str">
        <f>IFERROR(__xludf.DUMMYFUNCTION(" IF(Account!$F139&lt;&gt;"""", SPLIT(Account!$F139, "" ""), """")"),"")</f>
        <v/>
      </c>
      <c r="X139" s="42"/>
      <c r="Y139" s="42"/>
      <c r="Z139" s="42"/>
      <c r="AA139" s="42"/>
      <c r="AB139" s="42"/>
      <c r="AC139" s="42"/>
      <c r="AD139" s="42"/>
      <c r="AE139" s="42"/>
      <c r="AF139" s="42"/>
      <c r="AG139" s="42"/>
      <c r="AH139" s="42"/>
      <c r="AI139" s="42"/>
      <c r="AJ139" s="42"/>
      <c r="AK139" s="42"/>
    </row>
    <row r="140">
      <c r="A140" s="20"/>
      <c r="B140" s="20"/>
      <c r="C140" s="20"/>
      <c r="D140" s="20"/>
      <c r="E140" s="20"/>
      <c r="F140" s="21"/>
      <c r="G140" s="20"/>
      <c r="H140" s="20"/>
      <c r="I140" s="20"/>
      <c r="J140" s="20"/>
      <c r="K140" s="20"/>
      <c r="L140" s="21"/>
      <c r="M140" s="33" t="str">
        <f>IFERROR(__xludf.DUMMYFUNCTION("IFS(W140=""Achat"",IFERROR(VALUE(X140),VALUE(REGEXREPLACE(T(X140),""[^0-9]"",""""))),W140=""Vente"",-IFERROR(VALUE(X140),VALUE(REGEXREPLACE(T(X140),""[^0-9]"",""""))),Y140=""Change"",0,Y140&lt;&gt;""Change"","""")"),"")</f>
        <v/>
      </c>
      <c r="N140" s="34" t="str">
        <f>IFERROR(__xludf.DUMMYFUNCTION("IF(Account!$F140&lt;&gt;"""", VALUE(REGEXREPLACE($I140, ""\,"", ""."")), """")"),"")</f>
        <v/>
      </c>
      <c r="O140" s="35" t="str">
        <f>IF(Account!$F140&lt;&gt;"", DATEVALUE(MID($A140,4,3) &amp; LEFT($A140,3) &amp; RIGHT($A140,4)) + TIMEVALUE($B140), "")</f>
        <v/>
      </c>
      <c r="P140" s="36" t="str">
        <f>IF(Account!$F140&lt;&gt;"", DATEVALUE(MID($C140,4,3) &amp; LEFT($C140,3) &amp; RIGHT($C140,4)), "")</f>
        <v/>
      </c>
      <c r="Q140" s="37" t="str">
        <f t="array" ref="Q140">IF($R140&lt;&gt;"",IFERROR(INDEX(ISIN!$B:$B,MATCH($R140,ISIN!$C:$C,0))),)</f>
        <v/>
      </c>
      <c r="R140" s="38" t="str">
        <f t="array" ref="R140">IF($E140&lt;&gt;"",IFERROR(INDEX(ISIN!$C:$C,MATCH($E140,ISIN!$A:$A,0)),IFERROR(INDEX($R141:$R1200,MATCH($K140,$K141:$K1200,0)))),IF(AND($Y140="change",$H140="EUR"),IF($O140=$O141,$R141,IF($O140=$O139,$R139)),IFERROR(INDEX($R141:$R1200,MATCH(SUBSTITUTE($I140,"-","",1),$K141:$K1200,0)))))</f>
        <v/>
      </c>
      <c r="S140" s="37" t="str">
        <f t="shared" si="1"/>
        <v/>
      </c>
      <c r="T140" s="39" t="str">
        <f t="shared" si="2"/>
        <v/>
      </c>
      <c r="U140" s="40" t="str">
        <f t="shared" si="3"/>
        <v/>
      </c>
      <c r="V140" s="34" t="str">
        <f t="shared" si="4"/>
        <v/>
      </c>
      <c r="W140" s="41" t="str">
        <f>IFERROR(__xludf.DUMMYFUNCTION(" IF(Account!$F140&lt;&gt;"""", SPLIT(Account!$F140, "" ""), """")"),"")</f>
        <v/>
      </c>
      <c r="X140" s="42"/>
      <c r="Y140" s="42"/>
      <c r="Z140" s="42"/>
      <c r="AA140" s="42"/>
      <c r="AB140" s="42"/>
      <c r="AC140" s="42"/>
      <c r="AD140" s="42"/>
      <c r="AE140" s="42"/>
      <c r="AF140" s="42"/>
      <c r="AG140" s="42"/>
      <c r="AH140" s="42"/>
      <c r="AI140" s="42"/>
      <c r="AJ140" s="42"/>
      <c r="AK140" s="42"/>
    </row>
    <row r="141">
      <c r="A141" s="20"/>
      <c r="B141" s="20"/>
      <c r="C141" s="20"/>
      <c r="D141" s="20"/>
      <c r="E141" s="20"/>
      <c r="F141" s="21"/>
      <c r="G141" s="20"/>
      <c r="H141" s="20"/>
      <c r="I141" s="20"/>
      <c r="J141" s="20"/>
      <c r="K141" s="20"/>
      <c r="L141" s="21"/>
      <c r="M141" s="33" t="str">
        <f>IFERROR(__xludf.DUMMYFUNCTION("IFS(W141=""Achat"",IFERROR(VALUE(X141),VALUE(REGEXREPLACE(T(X141),""[^0-9]"",""""))),W141=""Vente"",-IFERROR(VALUE(X141),VALUE(REGEXREPLACE(T(X141),""[^0-9]"",""""))),Y141=""Change"",0,Y141&lt;&gt;""Change"","""")"),"")</f>
        <v/>
      </c>
      <c r="N141" s="34" t="str">
        <f>IFERROR(__xludf.DUMMYFUNCTION("IF(Account!$F141&lt;&gt;"""", VALUE(REGEXREPLACE($I141, ""\,"", ""."")), """")"),"")</f>
        <v/>
      </c>
      <c r="O141" s="35" t="str">
        <f>IF(Account!$F141&lt;&gt;"", DATEVALUE(MID($A141,4,3) &amp; LEFT($A141,3) &amp; RIGHT($A141,4)) + TIMEVALUE($B141), "")</f>
        <v/>
      </c>
      <c r="P141" s="36" t="str">
        <f>IF(Account!$F141&lt;&gt;"", DATEVALUE(MID($C141,4,3) &amp; LEFT($C141,3) &amp; RIGHT($C141,4)), "")</f>
        <v/>
      </c>
      <c r="Q141" s="37" t="str">
        <f t="array" ref="Q141">IF($R141&lt;&gt;"",IFERROR(INDEX(ISIN!$B:$B,MATCH($R141,ISIN!$C:$C,0))),)</f>
        <v/>
      </c>
      <c r="R141" s="38" t="str">
        <f t="array" ref="R141">IF($E141&lt;&gt;"",IFERROR(INDEX(ISIN!$C:$C,MATCH($E141,ISIN!$A:$A,0)),IFERROR(INDEX($R142:$R1200,MATCH($K141,$K142:$K1200,0)))),IF(AND($Y141="change",$H141="EUR"),IF($O141=$O142,$R142,IF($O141=$O140,$R140)),IFERROR(INDEX($R142:$R1200,MATCH(SUBSTITUTE($I141,"-","",1),$K142:$K1200,0)))))</f>
        <v/>
      </c>
      <c r="S141" s="37" t="str">
        <f t="shared" si="1"/>
        <v/>
      </c>
      <c r="T141" s="39" t="str">
        <f t="shared" si="2"/>
        <v/>
      </c>
      <c r="U141" s="40" t="str">
        <f t="shared" si="3"/>
        <v/>
      </c>
      <c r="V141" s="34" t="str">
        <f t="shared" si="4"/>
        <v/>
      </c>
      <c r="W141" s="41" t="str">
        <f>IFERROR(__xludf.DUMMYFUNCTION(" IF(Account!$F141&lt;&gt;"""", SPLIT(Account!$F141, "" ""), """")"),"")</f>
        <v/>
      </c>
      <c r="X141" s="42"/>
      <c r="Y141" s="42"/>
      <c r="Z141" s="42"/>
      <c r="AA141" s="42"/>
      <c r="AB141" s="42"/>
      <c r="AC141" s="42"/>
      <c r="AD141" s="42"/>
      <c r="AE141" s="42"/>
      <c r="AF141" s="42"/>
      <c r="AG141" s="42"/>
      <c r="AH141" s="42"/>
      <c r="AI141" s="42"/>
      <c r="AJ141" s="42"/>
      <c r="AK141" s="42"/>
    </row>
    <row r="142">
      <c r="A142" s="20"/>
      <c r="B142" s="20"/>
      <c r="C142" s="20"/>
      <c r="D142" s="20"/>
      <c r="E142" s="20"/>
      <c r="F142" s="21"/>
      <c r="G142" s="20"/>
      <c r="H142" s="20"/>
      <c r="I142" s="20"/>
      <c r="J142" s="20"/>
      <c r="K142" s="20"/>
      <c r="L142" s="21"/>
      <c r="M142" s="33" t="str">
        <f>IFERROR(__xludf.DUMMYFUNCTION("IFS(W142=""Achat"",IFERROR(VALUE(X142),VALUE(REGEXREPLACE(T(X142),""[^0-9]"",""""))),W142=""Vente"",-IFERROR(VALUE(X142),VALUE(REGEXREPLACE(T(X142),""[^0-9]"",""""))),Y142=""Change"",0,Y142&lt;&gt;""Change"","""")"),"")</f>
        <v/>
      </c>
      <c r="N142" s="34" t="str">
        <f>IFERROR(__xludf.DUMMYFUNCTION("IF(Account!$F142&lt;&gt;"""", VALUE(REGEXREPLACE($I142, ""\,"", ""."")), """")"),"")</f>
        <v/>
      </c>
      <c r="O142" s="35" t="str">
        <f>IF(Account!$F142&lt;&gt;"", DATEVALUE(MID($A142,4,3) &amp; LEFT($A142,3) &amp; RIGHT($A142,4)) + TIMEVALUE($B142), "")</f>
        <v/>
      </c>
      <c r="P142" s="36" t="str">
        <f>IF(Account!$F142&lt;&gt;"", DATEVALUE(MID($C142,4,3) &amp; LEFT($C142,3) &amp; RIGHT($C142,4)), "")</f>
        <v/>
      </c>
      <c r="Q142" s="37" t="str">
        <f t="array" ref="Q142">IF($R142&lt;&gt;"",IFERROR(INDEX(ISIN!$B:$B,MATCH($R142,ISIN!$C:$C,0))),)</f>
        <v/>
      </c>
      <c r="R142" s="38" t="str">
        <f t="array" ref="R142">IF($E142&lt;&gt;"",IFERROR(INDEX(ISIN!$C:$C,MATCH($E142,ISIN!$A:$A,0)),IFERROR(INDEX($R143:$R1200,MATCH($K142,$K143:$K1200,0)))),IF(AND($Y142="change",$H142="EUR"),IF($O142=$O143,$R143,IF($O142=$O141,$R141)),IFERROR(INDEX($R143:$R1200,MATCH(SUBSTITUTE($I142,"-","",1),$K143:$K1200,0)))))</f>
        <v/>
      </c>
      <c r="S142" s="37" t="str">
        <f t="shared" si="1"/>
        <v/>
      </c>
      <c r="T142" s="39" t="str">
        <f t="shared" si="2"/>
        <v/>
      </c>
      <c r="U142" s="40" t="str">
        <f t="shared" si="3"/>
        <v/>
      </c>
      <c r="V142" s="34" t="str">
        <f t="shared" si="4"/>
        <v/>
      </c>
      <c r="W142" s="41" t="str">
        <f>IFERROR(__xludf.DUMMYFUNCTION(" IF(Account!$F142&lt;&gt;"""", SPLIT(Account!$F142, "" ""), """")"),"")</f>
        <v/>
      </c>
      <c r="X142" s="42"/>
      <c r="Y142" s="42"/>
      <c r="Z142" s="42"/>
      <c r="AA142" s="42"/>
      <c r="AB142" s="42"/>
      <c r="AC142" s="42"/>
      <c r="AD142" s="42"/>
      <c r="AE142" s="42"/>
      <c r="AF142" s="42"/>
      <c r="AG142" s="42"/>
      <c r="AH142" s="42"/>
      <c r="AI142" s="42"/>
      <c r="AJ142" s="42"/>
      <c r="AK142" s="42"/>
    </row>
    <row r="143">
      <c r="A143" s="20"/>
      <c r="B143" s="20"/>
      <c r="C143" s="20"/>
      <c r="D143" s="20"/>
      <c r="E143" s="20"/>
      <c r="F143" s="21"/>
      <c r="G143" s="20"/>
      <c r="H143" s="20"/>
      <c r="I143" s="20"/>
      <c r="J143" s="20"/>
      <c r="K143" s="20"/>
      <c r="L143" s="21"/>
      <c r="M143" s="33" t="str">
        <f>IFERROR(__xludf.DUMMYFUNCTION("IFS(W143=""Achat"",IFERROR(VALUE(X143),VALUE(REGEXREPLACE(T(X143),""[^0-9]"",""""))),W143=""Vente"",-IFERROR(VALUE(X143),VALUE(REGEXREPLACE(T(X143),""[^0-9]"",""""))),Y143=""Change"",0,Y143&lt;&gt;""Change"","""")"),"")</f>
        <v/>
      </c>
      <c r="N143" s="34" t="str">
        <f>IFERROR(__xludf.DUMMYFUNCTION("IF(Account!$F143&lt;&gt;"""", VALUE(REGEXREPLACE($I143, ""\,"", ""."")), """")"),"")</f>
        <v/>
      </c>
      <c r="O143" s="35" t="str">
        <f>IF(Account!$F143&lt;&gt;"", DATEVALUE(MID($A143,4,3) &amp; LEFT($A143,3) &amp; RIGHT($A143,4)) + TIMEVALUE($B143), "")</f>
        <v/>
      </c>
      <c r="P143" s="36" t="str">
        <f>IF(Account!$F143&lt;&gt;"", DATEVALUE(MID($C143,4,3) &amp; LEFT($C143,3) &amp; RIGHT($C143,4)), "")</f>
        <v/>
      </c>
      <c r="Q143" s="37" t="str">
        <f t="array" ref="Q143">IF($R143&lt;&gt;"",IFERROR(INDEX(ISIN!$B:$B,MATCH($R143,ISIN!$C:$C,0))),)</f>
        <v/>
      </c>
      <c r="R143" s="38" t="str">
        <f t="array" ref="R143">IF($E143&lt;&gt;"",IFERROR(INDEX(ISIN!$C:$C,MATCH($E143,ISIN!$A:$A,0)),IFERROR(INDEX($R144:$R1200,MATCH($K143,$K144:$K1200,0)))),IF(AND($Y143="change",$H143="EUR"),IF($O143=$O144,$R144,IF($O143=$O142,$R142)),IFERROR(INDEX($R144:$R1200,MATCH(SUBSTITUTE($I143,"-","",1),$K144:$K1200,0)))))</f>
        <v/>
      </c>
      <c r="S143" s="37" t="str">
        <f t="shared" si="1"/>
        <v/>
      </c>
      <c r="T143" s="39" t="str">
        <f t="shared" si="2"/>
        <v/>
      </c>
      <c r="U143" s="40" t="str">
        <f t="shared" si="3"/>
        <v/>
      </c>
      <c r="V143" s="34" t="str">
        <f t="shared" si="4"/>
        <v/>
      </c>
      <c r="W143" s="41" t="str">
        <f>IFERROR(__xludf.DUMMYFUNCTION(" IF(Account!$F143&lt;&gt;"""", SPLIT(Account!$F143, "" ""), """")"),"")</f>
        <v/>
      </c>
      <c r="X143" s="42"/>
      <c r="Y143" s="42"/>
      <c r="Z143" s="42"/>
      <c r="AA143" s="42"/>
      <c r="AB143" s="42"/>
      <c r="AC143" s="42"/>
      <c r="AD143" s="42"/>
      <c r="AE143" s="42"/>
      <c r="AF143" s="42"/>
      <c r="AG143" s="42"/>
      <c r="AH143" s="42"/>
      <c r="AI143" s="42"/>
      <c r="AJ143" s="42"/>
      <c r="AK143" s="42"/>
    </row>
    <row r="144">
      <c r="A144" s="20"/>
      <c r="B144" s="20"/>
      <c r="C144" s="20"/>
      <c r="D144" s="20"/>
      <c r="E144" s="20"/>
      <c r="F144" s="21"/>
      <c r="G144" s="20"/>
      <c r="H144" s="20"/>
      <c r="I144" s="20"/>
      <c r="J144" s="20"/>
      <c r="K144" s="20"/>
      <c r="L144" s="21"/>
      <c r="M144" s="33" t="str">
        <f>IFERROR(__xludf.DUMMYFUNCTION("IFS(W144=""Achat"",IFERROR(VALUE(X144),VALUE(REGEXREPLACE(T(X144),""[^0-9]"",""""))),W144=""Vente"",-IFERROR(VALUE(X144),VALUE(REGEXREPLACE(T(X144),""[^0-9]"",""""))),Y144=""Change"",0,Y144&lt;&gt;""Change"","""")"),"")</f>
        <v/>
      </c>
      <c r="N144" s="34" t="str">
        <f>IFERROR(__xludf.DUMMYFUNCTION("IF(Account!$F144&lt;&gt;"""", VALUE(REGEXREPLACE($I144, ""\,"", ""."")), """")"),"")</f>
        <v/>
      </c>
      <c r="O144" s="35" t="str">
        <f>IF(Account!$F144&lt;&gt;"", DATEVALUE(MID($A144,4,3) &amp; LEFT($A144,3) &amp; RIGHT($A144,4)) + TIMEVALUE($B144), "")</f>
        <v/>
      </c>
      <c r="P144" s="36" t="str">
        <f>IF(Account!$F144&lt;&gt;"", DATEVALUE(MID($C144,4,3) &amp; LEFT($C144,3) &amp; RIGHT($C144,4)), "")</f>
        <v/>
      </c>
      <c r="Q144" s="37" t="str">
        <f t="array" ref="Q144">IF($R144&lt;&gt;"",IFERROR(INDEX(ISIN!$B:$B,MATCH($R144,ISIN!$C:$C,0))),)</f>
        <v/>
      </c>
      <c r="R144" s="38" t="str">
        <f t="array" ref="R144">IF($E144&lt;&gt;"",IFERROR(INDEX(ISIN!$C:$C,MATCH($E144,ISIN!$A:$A,0)),IFERROR(INDEX($R145:$R1200,MATCH($K144,$K145:$K1200,0)))),IF(AND($Y144="change",$H144="EUR"),IF($O144=$O145,$R145,IF($O144=$O143,$R143)),IFERROR(INDEX($R145:$R1200,MATCH(SUBSTITUTE($I144,"-","",1),$K145:$K1200,0)))))</f>
        <v/>
      </c>
      <c r="S144" s="37" t="str">
        <f t="shared" si="1"/>
        <v/>
      </c>
      <c r="T144" s="39" t="str">
        <f t="shared" si="2"/>
        <v/>
      </c>
      <c r="U144" s="40" t="str">
        <f t="shared" si="3"/>
        <v/>
      </c>
      <c r="V144" s="34" t="str">
        <f t="shared" si="4"/>
        <v/>
      </c>
      <c r="W144" s="41" t="str">
        <f>IFERROR(__xludf.DUMMYFUNCTION(" IF(Account!$F144&lt;&gt;"""", SPLIT(Account!$F144, "" ""), """")"),"")</f>
        <v/>
      </c>
      <c r="X144" s="42"/>
      <c r="Y144" s="42"/>
      <c r="Z144" s="42"/>
      <c r="AA144" s="42"/>
      <c r="AB144" s="42"/>
      <c r="AC144" s="42"/>
      <c r="AD144" s="42"/>
      <c r="AE144" s="42"/>
      <c r="AF144" s="42"/>
      <c r="AG144" s="42"/>
      <c r="AH144" s="42"/>
      <c r="AI144" s="42"/>
      <c r="AJ144" s="42"/>
      <c r="AK144" s="42"/>
    </row>
    <row r="145">
      <c r="A145" s="20"/>
      <c r="B145" s="20"/>
      <c r="C145" s="20"/>
      <c r="D145" s="20"/>
      <c r="E145" s="20"/>
      <c r="F145" s="21"/>
      <c r="G145" s="20"/>
      <c r="H145" s="20"/>
      <c r="I145" s="20"/>
      <c r="J145" s="20"/>
      <c r="K145" s="20"/>
      <c r="L145" s="21"/>
      <c r="M145" s="33" t="str">
        <f>IFERROR(__xludf.DUMMYFUNCTION("IFS(W145=""Achat"",IFERROR(VALUE(X145),VALUE(REGEXREPLACE(T(X145),""[^0-9]"",""""))),W145=""Vente"",-IFERROR(VALUE(X145),VALUE(REGEXREPLACE(T(X145),""[^0-9]"",""""))),Y145=""Change"",0,Y145&lt;&gt;""Change"","""")"),"")</f>
        <v/>
      </c>
      <c r="N145" s="34" t="str">
        <f>IFERROR(__xludf.DUMMYFUNCTION("IF(Account!$F145&lt;&gt;"""", VALUE(REGEXREPLACE($I145, ""\,"", ""."")), """")"),"")</f>
        <v/>
      </c>
      <c r="O145" s="35" t="str">
        <f>IF(Account!$F145&lt;&gt;"", DATEVALUE(MID($A145,4,3) &amp; LEFT($A145,3) &amp; RIGHT($A145,4)) + TIMEVALUE($B145), "")</f>
        <v/>
      </c>
      <c r="P145" s="36" t="str">
        <f>IF(Account!$F145&lt;&gt;"", DATEVALUE(MID($C145,4,3) &amp; LEFT($C145,3) &amp; RIGHT($C145,4)), "")</f>
        <v/>
      </c>
      <c r="Q145" s="37" t="str">
        <f t="array" ref="Q145">IF($R145&lt;&gt;"",IFERROR(INDEX(ISIN!$B:$B,MATCH($R145,ISIN!$C:$C,0))),)</f>
        <v/>
      </c>
      <c r="R145" s="38" t="str">
        <f t="array" ref="R145">IF($E145&lt;&gt;"",IFERROR(INDEX(ISIN!$C:$C,MATCH($E145,ISIN!$A:$A,0)),IFERROR(INDEX($R146:$R1200,MATCH($K145,$K146:$K1200,0)))),IF(AND($Y145="change",$H145="EUR"),IF($O145=$O146,$R146,IF($O145=$O144,$R144)),IFERROR(INDEX($R146:$R1200,MATCH(SUBSTITUTE($I145,"-","",1),$K146:$K1200,0)))))</f>
        <v/>
      </c>
      <c r="S145" s="37" t="str">
        <f t="shared" si="1"/>
        <v/>
      </c>
      <c r="T145" s="39" t="str">
        <f t="shared" si="2"/>
        <v/>
      </c>
      <c r="U145" s="40" t="str">
        <f t="shared" si="3"/>
        <v/>
      </c>
      <c r="V145" s="34" t="str">
        <f t="shared" si="4"/>
        <v/>
      </c>
      <c r="W145" s="41" t="str">
        <f>IFERROR(__xludf.DUMMYFUNCTION(" IF(Account!$F145&lt;&gt;"""", SPLIT(Account!$F145, "" ""), """")"),"")</f>
        <v/>
      </c>
      <c r="X145" s="42"/>
      <c r="Y145" s="42"/>
      <c r="Z145" s="42"/>
      <c r="AA145" s="42"/>
      <c r="AB145" s="42"/>
      <c r="AC145" s="42"/>
      <c r="AD145" s="42"/>
      <c r="AE145" s="42"/>
      <c r="AF145" s="42"/>
      <c r="AG145" s="42"/>
      <c r="AH145" s="42"/>
      <c r="AI145" s="42"/>
      <c r="AJ145" s="42"/>
      <c r="AK145" s="42"/>
    </row>
    <row r="146">
      <c r="A146" s="20"/>
      <c r="B146" s="20"/>
      <c r="C146" s="20"/>
      <c r="D146" s="20"/>
      <c r="E146" s="20"/>
      <c r="F146" s="21"/>
      <c r="G146" s="20"/>
      <c r="H146" s="20"/>
      <c r="I146" s="20"/>
      <c r="J146" s="20"/>
      <c r="K146" s="20"/>
      <c r="L146" s="21"/>
      <c r="M146" s="33" t="str">
        <f>IFERROR(__xludf.DUMMYFUNCTION("IFS(W146=""Achat"",IFERROR(VALUE(X146),VALUE(REGEXREPLACE(T(X146),""[^0-9]"",""""))),W146=""Vente"",-IFERROR(VALUE(X146),VALUE(REGEXREPLACE(T(X146),""[^0-9]"",""""))),Y146=""Change"",0,Y146&lt;&gt;""Change"","""")"),"")</f>
        <v/>
      </c>
      <c r="N146" s="34" t="str">
        <f>IFERROR(__xludf.DUMMYFUNCTION("IF(Account!$F146&lt;&gt;"""", VALUE(REGEXREPLACE($I146, ""\,"", ""."")), """")"),"")</f>
        <v/>
      </c>
      <c r="O146" s="35" t="str">
        <f>IF(Account!$F146&lt;&gt;"", DATEVALUE(MID($A146,4,3) &amp; LEFT($A146,3) &amp; RIGHT($A146,4)) + TIMEVALUE($B146), "")</f>
        <v/>
      </c>
      <c r="P146" s="36" t="str">
        <f>IF(Account!$F146&lt;&gt;"", DATEVALUE(MID($C146,4,3) &amp; LEFT($C146,3) &amp; RIGHT($C146,4)), "")</f>
        <v/>
      </c>
      <c r="Q146" s="37" t="str">
        <f t="array" ref="Q146">IF($R146&lt;&gt;"",IFERROR(INDEX(ISIN!$B:$B,MATCH($R146,ISIN!$C:$C,0))),)</f>
        <v/>
      </c>
      <c r="R146" s="38" t="str">
        <f t="array" ref="R146">IF($E146&lt;&gt;"",IFERROR(INDEX(ISIN!$C:$C,MATCH($E146,ISIN!$A:$A,0)),IFERROR(INDEX($R147:$R1200,MATCH($K146,$K147:$K1200,0)))),IF(AND($Y146="change",$H146="EUR"),IF($O146=$O147,$R147,IF($O146=$O145,$R145)),IFERROR(INDEX($R147:$R1200,MATCH(SUBSTITUTE($I146,"-","",1),$K147:$K1200,0)))))</f>
        <v/>
      </c>
      <c r="S146" s="37" t="str">
        <f t="shared" si="1"/>
        <v/>
      </c>
      <c r="T146" s="39" t="str">
        <f t="shared" si="2"/>
        <v/>
      </c>
      <c r="U146" s="40" t="str">
        <f t="shared" si="3"/>
        <v/>
      </c>
      <c r="V146" s="34" t="str">
        <f t="shared" si="4"/>
        <v/>
      </c>
      <c r="W146" s="41" t="str">
        <f>IFERROR(__xludf.DUMMYFUNCTION(" IF(Account!$F146&lt;&gt;"""", SPLIT(Account!$F146, "" ""), """")"),"")</f>
        <v/>
      </c>
      <c r="X146" s="42"/>
      <c r="Y146" s="42"/>
      <c r="Z146" s="42"/>
      <c r="AA146" s="42"/>
      <c r="AB146" s="42"/>
      <c r="AC146" s="42"/>
      <c r="AD146" s="42"/>
      <c r="AE146" s="42"/>
      <c r="AF146" s="42"/>
      <c r="AG146" s="42"/>
      <c r="AH146" s="42"/>
      <c r="AI146" s="42"/>
      <c r="AJ146" s="42"/>
      <c r="AK146" s="42"/>
    </row>
    <row r="147">
      <c r="A147" s="20"/>
      <c r="B147" s="20"/>
      <c r="C147" s="20"/>
      <c r="D147" s="20"/>
      <c r="E147" s="20"/>
      <c r="F147" s="21"/>
      <c r="G147" s="20"/>
      <c r="H147" s="20"/>
      <c r="I147" s="20"/>
      <c r="J147" s="20"/>
      <c r="K147" s="20"/>
      <c r="L147" s="21"/>
      <c r="M147" s="33" t="str">
        <f>IFERROR(__xludf.DUMMYFUNCTION("IFS(W147=""Achat"",IFERROR(VALUE(X147),VALUE(REGEXREPLACE(T(X147),""[^0-9]"",""""))),W147=""Vente"",-IFERROR(VALUE(X147),VALUE(REGEXREPLACE(T(X147),""[^0-9]"",""""))),Y147=""Change"",0,Y147&lt;&gt;""Change"","""")"),"")</f>
        <v/>
      </c>
      <c r="N147" s="34" t="str">
        <f>IFERROR(__xludf.DUMMYFUNCTION("IF(Account!$F147&lt;&gt;"""", VALUE(REGEXREPLACE($I147, ""\,"", ""."")), """")"),"")</f>
        <v/>
      </c>
      <c r="O147" s="35" t="str">
        <f>IF(Account!$F147&lt;&gt;"", DATEVALUE(MID($A147,4,3) &amp; LEFT($A147,3) &amp; RIGHT($A147,4)) + TIMEVALUE($B147), "")</f>
        <v/>
      </c>
      <c r="P147" s="36" t="str">
        <f>IF(Account!$F147&lt;&gt;"", DATEVALUE(MID($C147,4,3) &amp; LEFT($C147,3) &amp; RIGHT($C147,4)), "")</f>
        <v/>
      </c>
      <c r="Q147" s="37" t="str">
        <f t="array" ref="Q147">IF($R147&lt;&gt;"",IFERROR(INDEX(ISIN!$B:$B,MATCH($R147,ISIN!$C:$C,0))),)</f>
        <v/>
      </c>
      <c r="R147" s="38" t="str">
        <f t="array" ref="R147">IF($E147&lt;&gt;"",IFERROR(INDEX(ISIN!$C:$C,MATCH($E147,ISIN!$A:$A,0)),IFERROR(INDEX($R148:$R1200,MATCH($K147,$K148:$K1200,0)))),IF(AND($Y147="change",$H147="EUR"),IF($O147=$O148,$R148,IF($O147=$O146,$R146)),IFERROR(INDEX($R148:$R1200,MATCH(SUBSTITUTE($I147,"-","",1),$K148:$K1200,0)))))</f>
        <v/>
      </c>
      <c r="S147" s="37" t="str">
        <f t="shared" si="1"/>
        <v/>
      </c>
      <c r="T147" s="39" t="str">
        <f t="shared" si="2"/>
        <v/>
      </c>
      <c r="U147" s="40" t="str">
        <f t="shared" si="3"/>
        <v/>
      </c>
      <c r="V147" s="34" t="str">
        <f t="shared" si="4"/>
        <v/>
      </c>
      <c r="W147" s="41" t="str">
        <f>IFERROR(__xludf.DUMMYFUNCTION(" IF(Account!$F147&lt;&gt;"""", SPLIT(Account!$F147, "" ""), """")"),"")</f>
        <v/>
      </c>
      <c r="X147" s="42"/>
      <c r="Y147" s="42"/>
      <c r="Z147" s="42"/>
      <c r="AA147" s="42"/>
      <c r="AB147" s="42"/>
      <c r="AC147" s="42"/>
      <c r="AD147" s="42"/>
      <c r="AE147" s="42"/>
      <c r="AF147" s="42"/>
      <c r="AG147" s="42"/>
      <c r="AH147" s="42"/>
      <c r="AI147" s="42"/>
      <c r="AJ147" s="42"/>
      <c r="AK147" s="42"/>
    </row>
    <row r="148">
      <c r="A148" s="20"/>
      <c r="B148" s="20"/>
      <c r="C148" s="20"/>
      <c r="D148" s="20"/>
      <c r="E148" s="20"/>
      <c r="F148" s="21"/>
      <c r="G148" s="20"/>
      <c r="H148" s="20"/>
      <c r="I148" s="20"/>
      <c r="J148" s="20"/>
      <c r="K148" s="20"/>
      <c r="L148" s="21"/>
      <c r="M148" s="33" t="str">
        <f>IFERROR(__xludf.DUMMYFUNCTION("IFS(W148=""Achat"",IFERROR(VALUE(X148),VALUE(REGEXREPLACE(T(X148),""[^0-9]"",""""))),W148=""Vente"",-IFERROR(VALUE(X148),VALUE(REGEXREPLACE(T(X148),""[^0-9]"",""""))),Y148=""Change"",0,Y148&lt;&gt;""Change"","""")"),"")</f>
        <v/>
      </c>
      <c r="N148" s="34" t="str">
        <f>IFERROR(__xludf.DUMMYFUNCTION("IF(Account!$F148&lt;&gt;"""", VALUE(REGEXREPLACE($I148, ""\,"", ""."")), """")"),"")</f>
        <v/>
      </c>
      <c r="O148" s="35" t="str">
        <f>IF(Account!$F148&lt;&gt;"", DATEVALUE(MID($A148,4,3) &amp; LEFT($A148,3) &amp; RIGHT($A148,4)) + TIMEVALUE($B148), "")</f>
        <v/>
      </c>
      <c r="P148" s="36" t="str">
        <f>IF(Account!$F148&lt;&gt;"", DATEVALUE(MID($C148,4,3) &amp; LEFT($C148,3) &amp; RIGHT($C148,4)), "")</f>
        <v/>
      </c>
      <c r="Q148" s="37" t="str">
        <f t="array" ref="Q148">IF($R148&lt;&gt;"",IFERROR(INDEX(ISIN!$B:$B,MATCH($R148,ISIN!$C:$C,0))),)</f>
        <v/>
      </c>
      <c r="R148" s="38" t="str">
        <f t="array" ref="R148">IF($E148&lt;&gt;"",IFERROR(INDEX(ISIN!$C:$C,MATCH($E148,ISIN!$A:$A,0)),IFERROR(INDEX($R149:$R1200,MATCH($K148,$K149:$K1200,0)))),IF(AND($Y148="change",$H148="EUR"),IF($O148=$O149,$R149,IF($O148=$O147,$R147)),IFERROR(INDEX($R149:$R1200,MATCH(SUBSTITUTE($I148,"-","",1),$K149:$K1200,0)))))</f>
        <v/>
      </c>
      <c r="S148" s="37" t="str">
        <f t="shared" si="1"/>
        <v/>
      </c>
      <c r="T148" s="39" t="str">
        <f t="shared" si="2"/>
        <v/>
      </c>
      <c r="U148" s="40" t="str">
        <f t="shared" si="3"/>
        <v/>
      </c>
      <c r="V148" s="34" t="str">
        <f t="shared" si="4"/>
        <v/>
      </c>
      <c r="W148" s="41" t="str">
        <f>IFERROR(__xludf.DUMMYFUNCTION(" IF(Account!$F148&lt;&gt;"""", SPLIT(Account!$F148, "" ""), """")"),"")</f>
        <v/>
      </c>
      <c r="X148" s="42"/>
      <c r="Y148" s="42"/>
      <c r="Z148" s="42"/>
      <c r="AA148" s="42"/>
      <c r="AB148" s="42"/>
      <c r="AC148" s="42"/>
      <c r="AD148" s="42"/>
      <c r="AE148" s="42"/>
      <c r="AF148" s="42"/>
      <c r="AG148" s="42"/>
      <c r="AH148" s="42"/>
      <c r="AI148" s="42"/>
      <c r="AJ148" s="42"/>
      <c r="AK148" s="42"/>
    </row>
    <row r="149">
      <c r="A149" s="20"/>
      <c r="B149" s="20"/>
      <c r="C149" s="20"/>
      <c r="D149" s="20"/>
      <c r="E149" s="20"/>
      <c r="F149" s="21"/>
      <c r="G149" s="20"/>
      <c r="H149" s="20"/>
      <c r="I149" s="20"/>
      <c r="J149" s="20"/>
      <c r="K149" s="20"/>
      <c r="L149" s="21"/>
      <c r="M149" s="33" t="str">
        <f>IFERROR(__xludf.DUMMYFUNCTION("IFS(W149=""Achat"",IFERROR(VALUE(X149),VALUE(REGEXREPLACE(T(X149),""[^0-9]"",""""))),W149=""Vente"",-IFERROR(VALUE(X149),VALUE(REGEXREPLACE(T(X149),""[^0-9]"",""""))),Y149=""Change"",0,Y149&lt;&gt;""Change"","""")"),"")</f>
        <v/>
      </c>
      <c r="N149" s="34" t="str">
        <f>IFERROR(__xludf.DUMMYFUNCTION("IF(Account!$F149&lt;&gt;"""", VALUE(REGEXREPLACE($I149, ""\,"", ""."")), """")"),"")</f>
        <v/>
      </c>
      <c r="O149" s="35" t="str">
        <f>IF(Account!$F149&lt;&gt;"", DATEVALUE(MID($A149,4,3) &amp; LEFT($A149,3) &amp; RIGHT($A149,4)) + TIMEVALUE($B149), "")</f>
        <v/>
      </c>
      <c r="P149" s="36" t="str">
        <f>IF(Account!$F149&lt;&gt;"", DATEVALUE(MID($C149,4,3) &amp; LEFT($C149,3) &amp; RIGHT($C149,4)), "")</f>
        <v/>
      </c>
      <c r="Q149" s="37" t="str">
        <f t="array" ref="Q149">IF($R149&lt;&gt;"",IFERROR(INDEX(ISIN!$B:$B,MATCH($R149,ISIN!$C:$C,0))),)</f>
        <v/>
      </c>
      <c r="R149" s="38" t="str">
        <f t="array" ref="R149">IF($E149&lt;&gt;"",IFERROR(INDEX(ISIN!$C:$C,MATCH($E149,ISIN!$A:$A,0)),IFERROR(INDEX($R150:$R1200,MATCH($K149,$K150:$K1200,0)))),IF(AND($Y149="change",$H149="EUR"),IF($O149=$O150,$R150,IF($O149=$O148,$R148)),IFERROR(INDEX($R150:$R1200,MATCH(SUBSTITUTE($I149,"-","",1),$K150:$K1200,0)))))</f>
        <v/>
      </c>
      <c r="S149" s="37" t="str">
        <f t="shared" si="1"/>
        <v/>
      </c>
      <c r="T149" s="39" t="str">
        <f t="shared" si="2"/>
        <v/>
      </c>
      <c r="U149" s="40" t="str">
        <f t="shared" si="3"/>
        <v/>
      </c>
      <c r="V149" s="34" t="str">
        <f t="shared" si="4"/>
        <v/>
      </c>
      <c r="W149" s="41" t="str">
        <f>IFERROR(__xludf.DUMMYFUNCTION(" IF(Account!$F149&lt;&gt;"""", SPLIT(Account!$F149, "" ""), """")"),"")</f>
        <v/>
      </c>
      <c r="X149" s="42"/>
      <c r="Y149" s="42"/>
      <c r="Z149" s="42"/>
      <c r="AA149" s="42"/>
      <c r="AB149" s="42"/>
      <c r="AC149" s="42"/>
      <c r="AD149" s="42"/>
      <c r="AE149" s="42"/>
      <c r="AF149" s="42"/>
      <c r="AG149" s="42"/>
      <c r="AH149" s="42"/>
      <c r="AI149" s="42"/>
      <c r="AJ149" s="42"/>
      <c r="AK149" s="42"/>
    </row>
    <row r="150">
      <c r="A150" s="20"/>
      <c r="B150" s="20"/>
      <c r="C150" s="20"/>
      <c r="D150" s="20"/>
      <c r="E150" s="20"/>
      <c r="F150" s="21"/>
      <c r="G150" s="20"/>
      <c r="H150" s="20"/>
      <c r="I150" s="20"/>
      <c r="J150" s="20"/>
      <c r="K150" s="20"/>
      <c r="L150" s="21"/>
      <c r="M150" s="33" t="str">
        <f>IFERROR(__xludf.DUMMYFUNCTION("IFS(W150=""Achat"",IFERROR(VALUE(X150),VALUE(REGEXREPLACE(T(X150),""[^0-9]"",""""))),W150=""Vente"",-IFERROR(VALUE(X150),VALUE(REGEXREPLACE(T(X150),""[^0-9]"",""""))),Y150=""Change"",0,Y150&lt;&gt;""Change"","""")"),"")</f>
        <v/>
      </c>
      <c r="N150" s="34" t="str">
        <f>IFERROR(__xludf.DUMMYFUNCTION("IF(Account!$F150&lt;&gt;"""", VALUE(REGEXREPLACE($I150, ""\,"", ""."")), """")"),"")</f>
        <v/>
      </c>
      <c r="O150" s="35" t="str">
        <f>IF(Account!$F150&lt;&gt;"", DATEVALUE(MID($A150,4,3) &amp; LEFT($A150,3) &amp; RIGHT($A150,4)) + TIMEVALUE($B150), "")</f>
        <v/>
      </c>
      <c r="P150" s="36" t="str">
        <f>IF(Account!$F150&lt;&gt;"", DATEVALUE(MID($C150,4,3) &amp; LEFT($C150,3) &amp; RIGHT($C150,4)), "")</f>
        <v/>
      </c>
      <c r="Q150" s="37" t="str">
        <f t="array" ref="Q150">IF($R150&lt;&gt;"",IFERROR(INDEX(ISIN!$B:$B,MATCH($R150,ISIN!$C:$C,0))),)</f>
        <v/>
      </c>
      <c r="R150" s="38" t="str">
        <f t="array" ref="R150">IF($E150&lt;&gt;"",IFERROR(INDEX(ISIN!$C:$C,MATCH($E150,ISIN!$A:$A,0)),IFERROR(INDEX($R151:$R1200,MATCH($K150,$K151:$K1200,0)))),IF(AND($Y150="change",$H150="EUR"),IF($O150=$O151,$R151,IF($O150=$O149,$R149)),IFERROR(INDEX($R151:$R1200,MATCH(SUBSTITUTE($I150,"-","",1),$K151:$K1200,0)))))</f>
        <v/>
      </c>
      <c r="S150" s="37" t="str">
        <f t="shared" si="1"/>
        <v/>
      </c>
      <c r="T150" s="39" t="str">
        <f t="shared" si="2"/>
        <v/>
      </c>
      <c r="U150" s="40" t="str">
        <f t="shared" si="3"/>
        <v/>
      </c>
      <c r="V150" s="34" t="str">
        <f t="shared" si="4"/>
        <v/>
      </c>
      <c r="W150" s="41" t="str">
        <f>IFERROR(__xludf.DUMMYFUNCTION(" IF(Account!$F150&lt;&gt;"""", SPLIT(Account!$F150, "" ""), """")"),"")</f>
        <v/>
      </c>
      <c r="X150" s="42"/>
      <c r="Y150" s="42"/>
      <c r="Z150" s="42"/>
      <c r="AA150" s="42"/>
      <c r="AB150" s="42"/>
      <c r="AC150" s="42"/>
      <c r="AD150" s="42"/>
      <c r="AE150" s="42"/>
      <c r="AF150" s="42"/>
      <c r="AG150" s="42"/>
      <c r="AH150" s="42"/>
      <c r="AI150" s="42"/>
      <c r="AJ150" s="42"/>
      <c r="AK150" s="42"/>
    </row>
    <row r="151">
      <c r="A151" s="20"/>
      <c r="B151" s="20"/>
      <c r="C151" s="20"/>
      <c r="D151" s="20"/>
      <c r="E151" s="20"/>
      <c r="F151" s="21"/>
      <c r="G151" s="20"/>
      <c r="H151" s="20"/>
      <c r="I151" s="20"/>
      <c r="J151" s="20"/>
      <c r="K151" s="20"/>
      <c r="L151" s="21"/>
      <c r="M151" s="33" t="str">
        <f>IFERROR(__xludf.DUMMYFUNCTION("IFS(W151=""Achat"",IFERROR(VALUE(X151),VALUE(REGEXREPLACE(T(X151),""[^0-9]"",""""))),W151=""Vente"",-IFERROR(VALUE(X151),VALUE(REGEXREPLACE(T(X151),""[^0-9]"",""""))),Y151=""Change"",0,Y151&lt;&gt;""Change"","""")"),"")</f>
        <v/>
      </c>
      <c r="N151" s="34" t="str">
        <f>IFERROR(__xludf.DUMMYFUNCTION("IF(Account!$F151&lt;&gt;"""", VALUE(REGEXREPLACE($I151, ""\,"", ""."")), """")"),"")</f>
        <v/>
      </c>
      <c r="O151" s="35" t="str">
        <f>IF(Account!$F151&lt;&gt;"", DATEVALUE(MID($A151,4,3) &amp; LEFT($A151,3) &amp; RIGHT($A151,4)) + TIMEVALUE($B151), "")</f>
        <v/>
      </c>
      <c r="P151" s="36" t="str">
        <f>IF(Account!$F151&lt;&gt;"", DATEVALUE(MID($C151,4,3) &amp; LEFT($C151,3) &amp; RIGHT($C151,4)), "")</f>
        <v/>
      </c>
      <c r="Q151" s="37" t="str">
        <f t="array" ref="Q151">IF($R151&lt;&gt;"",IFERROR(INDEX(ISIN!$B:$B,MATCH($R151,ISIN!$C:$C,0))),)</f>
        <v/>
      </c>
      <c r="R151" s="38" t="str">
        <f t="array" ref="R151">IF($E151&lt;&gt;"",IFERROR(INDEX(ISIN!$C:$C,MATCH($E151,ISIN!$A:$A,0)),IFERROR(INDEX($R152:$R1200,MATCH($K151,$K152:$K1200,0)))),IF(AND($Y151="change",$H151="EUR"),IF($O151=$O152,$R152,IF($O151=$O150,$R150)),IFERROR(INDEX($R152:$R1200,MATCH(SUBSTITUTE($I151,"-","",1),$K152:$K1200,0)))))</f>
        <v/>
      </c>
      <c r="S151" s="37" t="str">
        <f t="shared" si="1"/>
        <v/>
      </c>
      <c r="T151" s="39" t="str">
        <f t="shared" si="2"/>
        <v/>
      </c>
      <c r="U151" s="40" t="str">
        <f t="shared" si="3"/>
        <v/>
      </c>
      <c r="V151" s="34" t="str">
        <f t="shared" si="4"/>
        <v/>
      </c>
      <c r="W151" s="41" t="str">
        <f>IFERROR(__xludf.DUMMYFUNCTION(" IF(Account!$F151&lt;&gt;"""", SPLIT(Account!$F151, "" ""), """")"),"")</f>
        <v/>
      </c>
      <c r="X151" s="42"/>
      <c r="Y151" s="42"/>
      <c r="Z151" s="42"/>
      <c r="AA151" s="42"/>
      <c r="AB151" s="42"/>
      <c r="AC151" s="42"/>
      <c r="AD151" s="42"/>
      <c r="AE151" s="42"/>
      <c r="AF151" s="42"/>
      <c r="AG151" s="42"/>
      <c r="AH151" s="42"/>
      <c r="AI151" s="42"/>
      <c r="AJ151" s="42"/>
      <c r="AK151" s="42"/>
    </row>
    <row r="152">
      <c r="A152" s="20"/>
      <c r="B152" s="20"/>
      <c r="C152" s="20"/>
      <c r="D152" s="20"/>
      <c r="E152" s="20"/>
      <c r="F152" s="21"/>
      <c r="G152" s="20"/>
      <c r="H152" s="20"/>
      <c r="I152" s="20"/>
      <c r="J152" s="20"/>
      <c r="K152" s="20"/>
      <c r="L152" s="21"/>
      <c r="M152" s="33" t="str">
        <f>IFERROR(__xludf.DUMMYFUNCTION("IFS(W152=""Achat"",IFERROR(VALUE(X152),VALUE(REGEXREPLACE(T(X152),""[^0-9]"",""""))),W152=""Vente"",-IFERROR(VALUE(X152),VALUE(REGEXREPLACE(T(X152),""[^0-9]"",""""))),Y152=""Change"",0,Y152&lt;&gt;""Change"","""")"),"")</f>
        <v/>
      </c>
      <c r="N152" s="34" t="str">
        <f>IFERROR(__xludf.DUMMYFUNCTION("IF(Account!$F152&lt;&gt;"""", VALUE(REGEXREPLACE($I152, ""\,"", ""."")), """")"),"")</f>
        <v/>
      </c>
      <c r="O152" s="35" t="str">
        <f>IF(Account!$F152&lt;&gt;"", DATEVALUE(MID($A152,4,3) &amp; LEFT($A152,3) &amp; RIGHT($A152,4)) + TIMEVALUE($B152), "")</f>
        <v/>
      </c>
      <c r="P152" s="36" t="str">
        <f>IF(Account!$F152&lt;&gt;"", DATEVALUE(MID($C152,4,3) &amp; LEFT($C152,3) &amp; RIGHT($C152,4)), "")</f>
        <v/>
      </c>
      <c r="Q152" s="37" t="str">
        <f t="array" ref="Q152">IF($R152&lt;&gt;"",IFERROR(INDEX(ISIN!$B:$B,MATCH($R152,ISIN!$C:$C,0))),)</f>
        <v/>
      </c>
      <c r="R152" s="38" t="str">
        <f t="array" ref="R152">IF($E152&lt;&gt;"",IFERROR(INDEX(ISIN!$C:$C,MATCH($E152,ISIN!$A:$A,0)),IFERROR(INDEX($R153:$R1200,MATCH($K152,$K153:$K1200,0)))),IF(AND($Y152="change",$H152="EUR"),IF($O152=$O153,$R153,IF($O152=$O151,$R151)),IFERROR(INDEX($R153:$R1200,MATCH(SUBSTITUTE($I152,"-","",1),$K153:$K1200,0)))))</f>
        <v/>
      </c>
      <c r="S152" s="37" t="str">
        <f t="shared" si="1"/>
        <v/>
      </c>
      <c r="T152" s="39" t="str">
        <f t="shared" si="2"/>
        <v/>
      </c>
      <c r="U152" s="40" t="str">
        <f t="shared" si="3"/>
        <v/>
      </c>
      <c r="V152" s="34" t="str">
        <f t="shared" si="4"/>
        <v/>
      </c>
      <c r="W152" s="41" t="str">
        <f>IFERROR(__xludf.DUMMYFUNCTION(" IF(Account!$F152&lt;&gt;"""", SPLIT(Account!$F152, "" ""), """")"),"")</f>
        <v/>
      </c>
      <c r="X152" s="42"/>
      <c r="Y152" s="42"/>
      <c r="Z152" s="42"/>
      <c r="AA152" s="42"/>
      <c r="AB152" s="42"/>
      <c r="AC152" s="42"/>
      <c r="AD152" s="42"/>
      <c r="AE152" s="42"/>
      <c r="AF152" s="42"/>
      <c r="AG152" s="42"/>
      <c r="AH152" s="42"/>
      <c r="AI152" s="42"/>
      <c r="AJ152" s="42"/>
      <c r="AK152" s="42"/>
    </row>
    <row r="153">
      <c r="A153" s="20"/>
      <c r="B153" s="20"/>
      <c r="C153" s="20"/>
      <c r="D153" s="20"/>
      <c r="E153" s="20"/>
      <c r="F153" s="21"/>
      <c r="G153" s="20"/>
      <c r="H153" s="20"/>
      <c r="I153" s="20"/>
      <c r="J153" s="20"/>
      <c r="K153" s="20"/>
      <c r="L153" s="21"/>
      <c r="M153" s="33" t="str">
        <f>IFERROR(__xludf.DUMMYFUNCTION("IFS(W153=""Achat"",IFERROR(VALUE(X153),VALUE(REGEXREPLACE(T(X153),""[^0-9]"",""""))),W153=""Vente"",-IFERROR(VALUE(X153),VALUE(REGEXREPLACE(T(X153),""[^0-9]"",""""))),Y153=""Change"",0,Y153&lt;&gt;""Change"","""")"),"")</f>
        <v/>
      </c>
      <c r="N153" s="34" t="str">
        <f>IFERROR(__xludf.DUMMYFUNCTION("IF(Account!$F153&lt;&gt;"""", VALUE(REGEXREPLACE($I153, ""\,"", ""."")), """")"),"")</f>
        <v/>
      </c>
      <c r="O153" s="35" t="str">
        <f>IF(Account!$F153&lt;&gt;"", DATEVALUE(MID($A153,4,3) &amp; LEFT($A153,3) &amp; RIGHT($A153,4)) + TIMEVALUE($B153), "")</f>
        <v/>
      </c>
      <c r="P153" s="36" t="str">
        <f>IF(Account!$F153&lt;&gt;"", DATEVALUE(MID($C153,4,3) &amp; LEFT($C153,3) &amp; RIGHT($C153,4)), "")</f>
        <v/>
      </c>
      <c r="Q153" s="37" t="str">
        <f t="array" ref="Q153">IF($R153&lt;&gt;"",IFERROR(INDEX(ISIN!$B:$B,MATCH($R153,ISIN!$C:$C,0))),)</f>
        <v/>
      </c>
      <c r="R153" s="38" t="str">
        <f t="array" ref="R153">IF($E153&lt;&gt;"",IFERROR(INDEX(ISIN!$C:$C,MATCH($E153,ISIN!$A:$A,0)),IFERROR(INDEX($R154:$R1200,MATCH($K153,$K154:$K1200,0)))),IF(AND($Y153="change",$H153="EUR"),IF($O153=$O154,$R154,IF($O153=$O152,$R152)),IFERROR(INDEX($R154:$R1200,MATCH(SUBSTITUTE($I153,"-","",1),$K154:$K1200,0)))))</f>
        <v/>
      </c>
      <c r="S153" s="37" t="str">
        <f t="shared" si="1"/>
        <v/>
      </c>
      <c r="T153" s="39" t="str">
        <f t="shared" si="2"/>
        <v/>
      </c>
      <c r="U153" s="40" t="str">
        <f t="shared" si="3"/>
        <v/>
      </c>
      <c r="V153" s="34" t="str">
        <f t="shared" si="4"/>
        <v/>
      </c>
      <c r="W153" s="41" t="str">
        <f>IFERROR(__xludf.DUMMYFUNCTION(" IF(Account!$F153&lt;&gt;"""", SPLIT(Account!$F153, "" ""), """")"),"")</f>
        <v/>
      </c>
      <c r="X153" s="42"/>
      <c r="Y153" s="42"/>
      <c r="Z153" s="42"/>
      <c r="AA153" s="42"/>
      <c r="AB153" s="42"/>
      <c r="AC153" s="42"/>
      <c r="AD153" s="42"/>
      <c r="AE153" s="42"/>
      <c r="AF153" s="42"/>
      <c r="AG153" s="42"/>
      <c r="AH153" s="42"/>
      <c r="AI153" s="42"/>
      <c r="AJ153" s="42"/>
      <c r="AK153" s="42"/>
    </row>
    <row r="154">
      <c r="A154" s="20"/>
      <c r="B154" s="20"/>
      <c r="C154" s="20"/>
      <c r="D154" s="20"/>
      <c r="E154" s="20"/>
      <c r="F154" s="21"/>
      <c r="G154" s="20"/>
      <c r="H154" s="20"/>
      <c r="I154" s="20"/>
      <c r="J154" s="20"/>
      <c r="K154" s="20"/>
      <c r="L154" s="21"/>
      <c r="M154" s="33" t="str">
        <f>IFERROR(__xludf.DUMMYFUNCTION("IFS(W154=""Achat"",IFERROR(VALUE(X154),VALUE(REGEXREPLACE(T(X154),""[^0-9]"",""""))),W154=""Vente"",-IFERROR(VALUE(X154),VALUE(REGEXREPLACE(T(X154),""[^0-9]"",""""))),Y154=""Change"",0,Y154&lt;&gt;""Change"","""")"),"")</f>
        <v/>
      </c>
      <c r="N154" s="34" t="str">
        <f>IFERROR(__xludf.DUMMYFUNCTION("IF(Account!$F154&lt;&gt;"""", VALUE(REGEXREPLACE($I154, ""\,"", ""."")), """")"),"")</f>
        <v/>
      </c>
      <c r="O154" s="35" t="str">
        <f>IF(Account!$F154&lt;&gt;"", DATEVALUE(MID($A154,4,3) &amp; LEFT($A154,3) &amp; RIGHT($A154,4)) + TIMEVALUE($B154), "")</f>
        <v/>
      </c>
      <c r="P154" s="36" t="str">
        <f>IF(Account!$F154&lt;&gt;"", DATEVALUE(MID($C154,4,3) &amp; LEFT($C154,3) &amp; RIGHT($C154,4)), "")</f>
        <v/>
      </c>
      <c r="Q154" s="37" t="str">
        <f t="array" ref="Q154">IF($R154&lt;&gt;"",IFERROR(INDEX(ISIN!$B:$B,MATCH($R154,ISIN!$C:$C,0))),)</f>
        <v/>
      </c>
      <c r="R154" s="38" t="str">
        <f t="array" ref="R154">IF($E154&lt;&gt;"",IFERROR(INDEX(ISIN!$C:$C,MATCH($E154,ISIN!$A:$A,0)),IFERROR(INDEX($R155:$R1200,MATCH($K154,$K155:$K1200,0)))),IF(AND($Y154="change",$H154="EUR"),IF($O154=$O155,$R155,IF($O154=$O153,$R153)),IFERROR(INDEX($R155:$R1200,MATCH(SUBSTITUTE($I154,"-","",1),$K155:$K1200,0)))))</f>
        <v/>
      </c>
      <c r="S154" s="37" t="str">
        <f t="shared" si="1"/>
        <v/>
      </c>
      <c r="T154" s="39" t="str">
        <f t="shared" si="2"/>
        <v/>
      </c>
      <c r="U154" s="40" t="str">
        <f t="shared" si="3"/>
        <v/>
      </c>
      <c r="V154" s="34" t="str">
        <f t="shared" si="4"/>
        <v/>
      </c>
      <c r="W154" s="41" t="str">
        <f>IFERROR(__xludf.DUMMYFUNCTION(" IF(Account!$F154&lt;&gt;"""", SPLIT(Account!$F154, "" ""), """")"),"")</f>
        <v/>
      </c>
      <c r="X154" s="42"/>
      <c r="Y154" s="42"/>
      <c r="Z154" s="42"/>
      <c r="AA154" s="42"/>
      <c r="AB154" s="42"/>
      <c r="AC154" s="42"/>
      <c r="AD154" s="42"/>
      <c r="AE154" s="42"/>
      <c r="AF154" s="42"/>
      <c r="AG154" s="42"/>
      <c r="AH154" s="42"/>
      <c r="AI154" s="42"/>
      <c r="AJ154" s="42"/>
      <c r="AK154" s="42"/>
    </row>
    <row r="155">
      <c r="A155" s="20"/>
      <c r="B155" s="20"/>
      <c r="C155" s="20"/>
      <c r="D155" s="20"/>
      <c r="E155" s="20"/>
      <c r="F155" s="21"/>
      <c r="G155" s="20"/>
      <c r="H155" s="20"/>
      <c r="I155" s="20"/>
      <c r="J155" s="20"/>
      <c r="K155" s="20"/>
      <c r="L155" s="21"/>
      <c r="M155" s="33" t="str">
        <f>IFERROR(__xludf.DUMMYFUNCTION("IFS(W155=""Achat"",IFERROR(VALUE(X155),VALUE(REGEXREPLACE(T(X155),""[^0-9]"",""""))),W155=""Vente"",-IFERROR(VALUE(X155),VALUE(REGEXREPLACE(T(X155),""[^0-9]"",""""))),Y155=""Change"",0,Y155&lt;&gt;""Change"","""")"),"")</f>
        <v/>
      </c>
      <c r="N155" s="34" t="str">
        <f>IFERROR(__xludf.DUMMYFUNCTION("IF(Account!$F155&lt;&gt;"""", VALUE(REGEXREPLACE($I155, ""\,"", ""."")), """")"),"")</f>
        <v/>
      </c>
      <c r="O155" s="35" t="str">
        <f>IF(Account!$F155&lt;&gt;"", DATEVALUE(MID($A155,4,3) &amp; LEFT($A155,3) &amp; RIGHT($A155,4)) + TIMEVALUE($B155), "")</f>
        <v/>
      </c>
      <c r="P155" s="36" t="str">
        <f>IF(Account!$F155&lt;&gt;"", DATEVALUE(MID($C155,4,3) &amp; LEFT($C155,3) &amp; RIGHT($C155,4)), "")</f>
        <v/>
      </c>
      <c r="Q155" s="37" t="str">
        <f t="array" ref="Q155">IF($R155&lt;&gt;"",IFERROR(INDEX(ISIN!$B:$B,MATCH($R155,ISIN!$C:$C,0))),)</f>
        <v/>
      </c>
      <c r="R155" s="38" t="str">
        <f t="array" ref="R155">IF($E155&lt;&gt;"",IFERROR(INDEX(ISIN!$C:$C,MATCH($E155,ISIN!$A:$A,0)),IFERROR(INDEX($R156:$R1200,MATCH($K155,$K156:$K1200,0)))),IF(AND($Y155="change",$H155="EUR"),IF($O155=$O156,$R156,IF($O155=$O154,$R154)),IFERROR(INDEX($R156:$R1200,MATCH(SUBSTITUTE($I155,"-","",1),$K156:$K1200,0)))))</f>
        <v/>
      </c>
      <c r="S155" s="37" t="str">
        <f t="shared" si="1"/>
        <v/>
      </c>
      <c r="T155" s="39" t="str">
        <f t="shared" si="2"/>
        <v/>
      </c>
      <c r="U155" s="40" t="str">
        <f t="shared" si="3"/>
        <v/>
      </c>
      <c r="V155" s="34" t="str">
        <f t="shared" si="4"/>
        <v/>
      </c>
      <c r="W155" s="41" t="str">
        <f>IFERROR(__xludf.DUMMYFUNCTION(" IF(Account!$F155&lt;&gt;"""", SPLIT(Account!$F155, "" ""), """")"),"")</f>
        <v/>
      </c>
      <c r="X155" s="42"/>
      <c r="Y155" s="42"/>
      <c r="Z155" s="42"/>
      <c r="AA155" s="42"/>
      <c r="AB155" s="42"/>
      <c r="AC155" s="42"/>
      <c r="AD155" s="42"/>
      <c r="AE155" s="42"/>
      <c r="AF155" s="42"/>
      <c r="AG155" s="42"/>
      <c r="AH155" s="42"/>
      <c r="AI155" s="42"/>
      <c r="AJ155" s="42"/>
      <c r="AK155" s="42"/>
    </row>
    <row r="156">
      <c r="A156" s="20"/>
      <c r="B156" s="20"/>
      <c r="C156" s="20"/>
      <c r="D156" s="20"/>
      <c r="E156" s="20"/>
      <c r="F156" s="21"/>
      <c r="G156" s="20"/>
      <c r="H156" s="20"/>
      <c r="I156" s="20"/>
      <c r="J156" s="20"/>
      <c r="K156" s="20"/>
      <c r="L156" s="21"/>
      <c r="M156" s="33" t="str">
        <f>IFERROR(__xludf.DUMMYFUNCTION("IFS(W156=""Achat"",IFERROR(VALUE(X156),VALUE(REGEXREPLACE(T(X156),""[^0-9]"",""""))),W156=""Vente"",-IFERROR(VALUE(X156),VALUE(REGEXREPLACE(T(X156),""[^0-9]"",""""))),Y156=""Change"",0,Y156&lt;&gt;""Change"","""")"),"")</f>
        <v/>
      </c>
      <c r="N156" s="34" t="str">
        <f>IFERROR(__xludf.DUMMYFUNCTION("IF(Account!$F156&lt;&gt;"""", VALUE(REGEXREPLACE($I156, ""\,"", ""."")), """")"),"")</f>
        <v/>
      </c>
      <c r="O156" s="35" t="str">
        <f>IF(Account!$F156&lt;&gt;"", DATEVALUE(MID($A156,4,3) &amp; LEFT($A156,3) &amp; RIGHT($A156,4)) + TIMEVALUE($B156), "")</f>
        <v/>
      </c>
      <c r="P156" s="36" t="str">
        <f>IF(Account!$F156&lt;&gt;"", DATEVALUE(MID($C156,4,3) &amp; LEFT($C156,3) &amp; RIGHT($C156,4)), "")</f>
        <v/>
      </c>
      <c r="Q156" s="37" t="str">
        <f t="array" ref="Q156">IF($R156&lt;&gt;"",IFERROR(INDEX(ISIN!$B:$B,MATCH($R156,ISIN!$C:$C,0))),)</f>
        <v/>
      </c>
      <c r="R156" s="38" t="str">
        <f t="array" ref="R156">IF($E156&lt;&gt;"",IFERROR(INDEX(ISIN!$C:$C,MATCH($E156,ISIN!$A:$A,0)),IFERROR(INDEX($R157:$R1200,MATCH($K156,$K157:$K1200,0)))),IF(AND($Y156="change",$H156="EUR"),IF($O156=$O157,$R157,IF($O156=$O155,$R155)),IFERROR(INDEX($R157:$R1200,MATCH(SUBSTITUTE($I156,"-","",1),$K157:$K1200,0)))))</f>
        <v/>
      </c>
      <c r="S156" s="37" t="str">
        <f t="shared" si="1"/>
        <v/>
      </c>
      <c r="T156" s="39" t="str">
        <f t="shared" si="2"/>
        <v/>
      </c>
      <c r="U156" s="40" t="str">
        <f t="shared" si="3"/>
        <v/>
      </c>
      <c r="V156" s="34" t="str">
        <f t="shared" si="4"/>
        <v/>
      </c>
      <c r="W156" s="41" t="str">
        <f>IFERROR(__xludf.DUMMYFUNCTION(" IF(Account!$F156&lt;&gt;"""", SPLIT(Account!$F156, "" ""), """")"),"")</f>
        <v/>
      </c>
      <c r="X156" s="42"/>
      <c r="Y156" s="42"/>
      <c r="Z156" s="42"/>
      <c r="AA156" s="42"/>
      <c r="AB156" s="42"/>
      <c r="AC156" s="42"/>
      <c r="AD156" s="42"/>
      <c r="AE156" s="42"/>
      <c r="AF156" s="42"/>
      <c r="AG156" s="42"/>
      <c r="AH156" s="42"/>
      <c r="AI156" s="42"/>
      <c r="AJ156" s="42"/>
      <c r="AK156" s="42"/>
    </row>
    <row r="157">
      <c r="A157" s="20"/>
      <c r="B157" s="20"/>
      <c r="C157" s="20"/>
      <c r="D157" s="20"/>
      <c r="E157" s="20"/>
      <c r="F157" s="21"/>
      <c r="G157" s="20"/>
      <c r="H157" s="20"/>
      <c r="I157" s="20"/>
      <c r="J157" s="20"/>
      <c r="K157" s="20"/>
      <c r="L157" s="21"/>
      <c r="M157" s="33" t="str">
        <f>IFERROR(__xludf.DUMMYFUNCTION("IFS(W157=""Achat"",IFERROR(VALUE(X157),VALUE(REGEXREPLACE(T(X157),""[^0-9]"",""""))),W157=""Vente"",-IFERROR(VALUE(X157),VALUE(REGEXREPLACE(T(X157),""[^0-9]"",""""))),Y157=""Change"",0,Y157&lt;&gt;""Change"","""")"),"")</f>
        <v/>
      </c>
      <c r="N157" s="34" t="str">
        <f>IFERROR(__xludf.DUMMYFUNCTION("IF(Account!$F157&lt;&gt;"""", VALUE(REGEXREPLACE($I157, ""\,"", ""."")), """")"),"")</f>
        <v/>
      </c>
      <c r="O157" s="35" t="str">
        <f>IF(Account!$F157&lt;&gt;"", DATEVALUE(MID($A157,4,3) &amp; LEFT($A157,3) &amp; RIGHT($A157,4)) + TIMEVALUE($B157), "")</f>
        <v/>
      </c>
      <c r="P157" s="36" t="str">
        <f>IF(Account!$F157&lt;&gt;"", DATEVALUE(MID($C157,4,3) &amp; LEFT($C157,3) &amp; RIGHT($C157,4)), "")</f>
        <v/>
      </c>
      <c r="Q157" s="37" t="str">
        <f t="array" ref="Q157">IF($R157&lt;&gt;"",IFERROR(INDEX(ISIN!$B:$B,MATCH($R157,ISIN!$C:$C,0))),)</f>
        <v/>
      </c>
      <c r="R157" s="38" t="str">
        <f t="array" ref="R157">IF($E157&lt;&gt;"",IFERROR(INDEX(ISIN!$C:$C,MATCH($E157,ISIN!$A:$A,0)),IFERROR(INDEX($R158:$R1200,MATCH($K157,$K158:$K1200,0)))),IF(AND($Y157="change",$H157="EUR"),IF($O157=$O158,$R158,IF($O157=$O156,$R156)),IFERROR(INDEX($R158:$R1200,MATCH(SUBSTITUTE($I157,"-","",1),$K158:$K1200,0)))))</f>
        <v/>
      </c>
      <c r="S157" s="37" t="str">
        <f t="shared" si="1"/>
        <v/>
      </c>
      <c r="T157" s="39" t="str">
        <f t="shared" si="2"/>
        <v/>
      </c>
      <c r="U157" s="40" t="str">
        <f t="shared" si="3"/>
        <v/>
      </c>
      <c r="V157" s="34" t="str">
        <f t="shared" si="4"/>
        <v/>
      </c>
      <c r="W157" s="41" t="str">
        <f>IFERROR(__xludf.DUMMYFUNCTION(" IF(Account!$F157&lt;&gt;"""", SPLIT(Account!$F157, "" ""), """")"),"")</f>
        <v/>
      </c>
      <c r="X157" s="42"/>
      <c r="Y157" s="42"/>
      <c r="Z157" s="42"/>
      <c r="AA157" s="42"/>
      <c r="AB157" s="42"/>
      <c r="AC157" s="42"/>
      <c r="AD157" s="42"/>
      <c r="AE157" s="42"/>
      <c r="AF157" s="42"/>
      <c r="AG157" s="42"/>
      <c r="AH157" s="42"/>
      <c r="AI157" s="42"/>
      <c r="AJ157" s="42"/>
      <c r="AK157" s="42"/>
    </row>
    <row r="158">
      <c r="A158" s="20"/>
      <c r="B158" s="20"/>
      <c r="C158" s="20"/>
      <c r="D158" s="20"/>
      <c r="E158" s="20"/>
      <c r="F158" s="21"/>
      <c r="G158" s="20"/>
      <c r="H158" s="20"/>
      <c r="I158" s="20"/>
      <c r="J158" s="20"/>
      <c r="K158" s="20"/>
      <c r="L158" s="21"/>
      <c r="M158" s="33" t="str">
        <f>IFERROR(__xludf.DUMMYFUNCTION("IFS(W158=""Achat"",IFERROR(VALUE(X158),VALUE(REGEXREPLACE(T(X158),""[^0-9]"",""""))),W158=""Vente"",-IFERROR(VALUE(X158),VALUE(REGEXREPLACE(T(X158),""[^0-9]"",""""))),Y158=""Change"",0,Y158&lt;&gt;""Change"","""")"),"")</f>
        <v/>
      </c>
      <c r="N158" s="34" t="str">
        <f>IFERROR(__xludf.DUMMYFUNCTION("IF(Account!$F158&lt;&gt;"""", VALUE(REGEXREPLACE($I158, ""\,"", ""."")), """")"),"")</f>
        <v/>
      </c>
      <c r="O158" s="35" t="str">
        <f>IF(Account!$F158&lt;&gt;"", DATEVALUE(MID($A158,4,3) &amp; LEFT($A158,3) &amp; RIGHT($A158,4)) + TIMEVALUE($B158), "")</f>
        <v/>
      </c>
      <c r="P158" s="36" t="str">
        <f>IF(Account!$F158&lt;&gt;"", DATEVALUE(MID($C158,4,3) &amp; LEFT($C158,3) &amp; RIGHT($C158,4)), "")</f>
        <v/>
      </c>
      <c r="Q158" s="37" t="str">
        <f t="array" ref="Q158">IF($R158&lt;&gt;"",IFERROR(INDEX(ISIN!$B:$B,MATCH($R158,ISIN!$C:$C,0))),)</f>
        <v/>
      </c>
      <c r="R158" s="38" t="str">
        <f t="array" ref="R158">IF($E158&lt;&gt;"",IFERROR(INDEX(ISIN!$C:$C,MATCH($E158,ISIN!$A:$A,0)),IFERROR(INDEX($R159:$R1200,MATCH($K158,$K159:$K1200,0)))),IF(AND($Y158="change",$H158="EUR"),IF($O158=$O159,$R159,IF($O158=$O157,$R157)),IFERROR(INDEX($R159:$R1200,MATCH(SUBSTITUTE($I158,"-","",1),$K159:$K1200,0)))))</f>
        <v/>
      </c>
      <c r="S158" s="37" t="str">
        <f t="shared" si="1"/>
        <v/>
      </c>
      <c r="T158" s="39" t="str">
        <f t="shared" si="2"/>
        <v/>
      </c>
      <c r="U158" s="40" t="str">
        <f t="shared" si="3"/>
        <v/>
      </c>
      <c r="V158" s="34" t="str">
        <f t="shared" si="4"/>
        <v/>
      </c>
      <c r="W158" s="41" t="str">
        <f>IFERROR(__xludf.DUMMYFUNCTION(" IF(Account!$F158&lt;&gt;"""", SPLIT(Account!$F158, "" ""), """")"),"")</f>
        <v/>
      </c>
      <c r="X158" s="42"/>
      <c r="Y158" s="42"/>
      <c r="Z158" s="42"/>
      <c r="AA158" s="42"/>
      <c r="AB158" s="42"/>
      <c r="AC158" s="42"/>
      <c r="AD158" s="42"/>
      <c r="AE158" s="42"/>
      <c r="AF158" s="42"/>
      <c r="AG158" s="42"/>
      <c r="AH158" s="42"/>
      <c r="AI158" s="42"/>
      <c r="AJ158" s="42"/>
      <c r="AK158" s="42"/>
    </row>
    <row r="159">
      <c r="A159" s="20"/>
      <c r="B159" s="20"/>
      <c r="C159" s="20"/>
      <c r="D159" s="20"/>
      <c r="E159" s="20"/>
      <c r="F159" s="21"/>
      <c r="G159" s="20"/>
      <c r="H159" s="20"/>
      <c r="I159" s="20"/>
      <c r="J159" s="20"/>
      <c r="K159" s="20"/>
      <c r="L159" s="21"/>
      <c r="M159" s="33" t="str">
        <f>IFERROR(__xludf.DUMMYFUNCTION("IFS(W159=""Achat"",IFERROR(VALUE(X159),VALUE(REGEXREPLACE(T(X159),""[^0-9]"",""""))),W159=""Vente"",-IFERROR(VALUE(X159),VALUE(REGEXREPLACE(T(X159),""[^0-9]"",""""))),Y159=""Change"",0,Y159&lt;&gt;""Change"","""")"),"")</f>
        <v/>
      </c>
      <c r="N159" s="34" t="str">
        <f>IFERROR(__xludf.DUMMYFUNCTION("IF(Account!$F159&lt;&gt;"""", VALUE(REGEXREPLACE($I159, ""\,"", ""."")), """")"),"")</f>
        <v/>
      </c>
      <c r="O159" s="35" t="str">
        <f>IF(Account!$F159&lt;&gt;"", DATEVALUE(MID($A159,4,3) &amp; LEFT($A159,3) &amp; RIGHT($A159,4)) + TIMEVALUE($B159), "")</f>
        <v/>
      </c>
      <c r="P159" s="36" t="str">
        <f>IF(Account!$F159&lt;&gt;"", DATEVALUE(MID($C159,4,3) &amp; LEFT($C159,3) &amp; RIGHT($C159,4)), "")</f>
        <v/>
      </c>
      <c r="Q159" s="37" t="str">
        <f t="array" ref="Q159">IF($R159&lt;&gt;"",IFERROR(INDEX(ISIN!$B:$B,MATCH($R159,ISIN!$C:$C,0))),)</f>
        <v/>
      </c>
      <c r="R159" s="38" t="str">
        <f t="array" ref="R159">IF($E159&lt;&gt;"",IFERROR(INDEX(ISIN!$C:$C,MATCH($E159,ISIN!$A:$A,0)),IFERROR(INDEX($R160:$R1200,MATCH($K159,$K160:$K1200,0)))),IF(AND($Y159="change",$H159="EUR"),IF($O159=$O160,$R160,IF($O159=$O158,$R158)),IFERROR(INDEX($R160:$R1200,MATCH(SUBSTITUTE($I159,"-","",1),$K160:$K1200,0)))))</f>
        <v/>
      </c>
      <c r="S159" s="37" t="str">
        <f t="shared" si="1"/>
        <v/>
      </c>
      <c r="T159" s="39" t="str">
        <f t="shared" si="2"/>
        <v/>
      </c>
      <c r="U159" s="40" t="str">
        <f t="shared" si="3"/>
        <v/>
      </c>
      <c r="V159" s="34" t="str">
        <f t="shared" si="4"/>
        <v/>
      </c>
      <c r="W159" s="41" t="str">
        <f>IFERROR(__xludf.DUMMYFUNCTION(" IF(Account!$F159&lt;&gt;"""", SPLIT(Account!$F159, "" ""), """")"),"")</f>
        <v/>
      </c>
      <c r="X159" s="42"/>
      <c r="Y159" s="42"/>
      <c r="Z159" s="42"/>
      <c r="AA159" s="42"/>
      <c r="AB159" s="42"/>
      <c r="AC159" s="42"/>
      <c r="AD159" s="42"/>
      <c r="AE159" s="42"/>
      <c r="AF159" s="42"/>
      <c r="AG159" s="42"/>
      <c r="AH159" s="42"/>
      <c r="AI159" s="42"/>
      <c r="AJ159" s="42"/>
      <c r="AK159" s="42"/>
    </row>
    <row r="160">
      <c r="A160" s="20"/>
      <c r="B160" s="20"/>
      <c r="C160" s="20"/>
      <c r="D160" s="20"/>
      <c r="E160" s="20"/>
      <c r="F160" s="21"/>
      <c r="G160" s="20"/>
      <c r="H160" s="20"/>
      <c r="I160" s="20"/>
      <c r="J160" s="20"/>
      <c r="K160" s="20"/>
      <c r="L160" s="21"/>
      <c r="M160" s="33" t="str">
        <f>IFERROR(__xludf.DUMMYFUNCTION("IFS(W160=""Achat"",IFERROR(VALUE(X160),VALUE(REGEXREPLACE(T(X160),""[^0-9]"",""""))),W160=""Vente"",-IFERROR(VALUE(X160),VALUE(REGEXREPLACE(T(X160),""[^0-9]"",""""))),Y160=""Change"",0,Y160&lt;&gt;""Change"","""")"),"")</f>
        <v/>
      </c>
      <c r="N160" s="34" t="str">
        <f>IFERROR(__xludf.DUMMYFUNCTION("IF(Account!$F160&lt;&gt;"""", VALUE(REGEXREPLACE($I160, ""\,"", ""."")), """")"),"")</f>
        <v/>
      </c>
      <c r="O160" s="35" t="str">
        <f>IF(Account!$F160&lt;&gt;"", DATEVALUE(MID($A160,4,3) &amp; LEFT($A160,3) &amp; RIGHT($A160,4)) + TIMEVALUE($B160), "")</f>
        <v/>
      </c>
      <c r="P160" s="36" t="str">
        <f>IF(Account!$F160&lt;&gt;"", DATEVALUE(MID($C160,4,3) &amp; LEFT($C160,3) &amp; RIGHT($C160,4)), "")</f>
        <v/>
      </c>
      <c r="Q160" s="37" t="str">
        <f t="array" ref="Q160">IF($R160&lt;&gt;"",IFERROR(INDEX(ISIN!$B:$B,MATCH($R160,ISIN!$C:$C,0))),)</f>
        <v/>
      </c>
      <c r="R160" s="38" t="str">
        <f t="array" ref="R160">IF($E160&lt;&gt;"",IFERROR(INDEX(ISIN!$C:$C,MATCH($E160,ISIN!$A:$A,0)),IFERROR(INDEX($R161:$R1200,MATCH($K160,$K161:$K1200,0)))),IF(AND($Y160="change",$H160="EUR"),IF($O160=$O161,$R161,IF($O160=$O159,$R159)),IFERROR(INDEX($R161:$R1200,MATCH(SUBSTITUTE($I160,"-","",1),$K161:$K1200,0)))))</f>
        <v/>
      </c>
      <c r="S160" s="37" t="str">
        <f t="shared" si="1"/>
        <v/>
      </c>
      <c r="T160" s="39" t="str">
        <f t="shared" si="2"/>
        <v/>
      </c>
      <c r="U160" s="40" t="str">
        <f t="shared" si="3"/>
        <v/>
      </c>
      <c r="V160" s="34" t="str">
        <f t="shared" si="4"/>
        <v/>
      </c>
      <c r="W160" s="41" t="str">
        <f>IFERROR(__xludf.DUMMYFUNCTION(" IF(Account!$F160&lt;&gt;"""", SPLIT(Account!$F160, "" ""), """")"),"")</f>
        <v/>
      </c>
      <c r="X160" s="42"/>
      <c r="Y160" s="42"/>
      <c r="Z160" s="42"/>
      <c r="AA160" s="42"/>
      <c r="AB160" s="42"/>
      <c r="AC160" s="42"/>
      <c r="AD160" s="42"/>
      <c r="AE160" s="42"/>
      <c r="AF160" s="42"/>
      <c r="AG160" s="42"/>
      <c r="AH160" s="42"/>
      <c r="AI160" s="42"/>
      <c r="AJ160" s="42"/>
      <c r="AK160" s="42"/>
    </row>
    <row r="161">
      <c r="A161" s="20"/>
      <c r="B161" s="20"/>
      <c r="C161" s="20"/>
      <c r="D161" s="20"/>
      <c r="E161" s="20"/>
      <c r="F161" s="21"/>
      <c r="G161" s="20"/>
      <c r="H161" s="20"/>
      <c r="I161" s="20"/>
      <c r="J161" s="20"/>
      <c r="K161" s="20"/>
      <c r="L161" s="21"/>
      <c r="M161" s="33" t="str">
        <f>IFERROR(__xludf.DUMMYFUNCTION("IFS(W161=""Achat"",IFERROR(VALUE(X161),VALUE(REGEXREPLACE(T(X161),""[^0-9]"",""""))),W161=""Vente"",-IFERROR(VALUE(X161),VALUE(REGEXREPLACE(T(X161),""[^0-9]"",""""))),Y161=""Change"",0,Y161&lt;&gt;""Change"","""")"),"")</f>
        <v/>
      </c>
      <c r="N161" s="34" t="str">
        <f>IFERROR(__xludf.DUMMYFUNCTION("IF(Account!$F161&lt;&gt;"""", VALUE(REGEXREPLACE($I161, ""\,"", ""."")), """")"),"")</f>
        <v/>
      </c>
      <c r="O161" s="35" t="str">
        <f>IF(Account!$F161&lt;&gt;"", DATEVALUE(MID($A161,4,3) &amp; LEFT($A161,3) &amp; RIGHT($A161,4)) + TIMEVALUE($B161), "")</f>
        <v/>
      </c>
      <c r="P161" s="36" t="str">
        <f>IF(Account!$F161&lt;&gt;"", DATEVALUE(MID($C161,4,3) &amp; LEFT($C161,3) &amp; RIGHT($C161,4)), "")</f>
        <v/>
      </c>
      <c r="Q161" s="37" t="str">
        <f t="array" ref="Q161">IF($R161&lt;&gt;"",IFERROR(INDEX(ISIN!$B:$B,MATCH($R161,ISIN!$C:$C,0))),)</f>
        <v/>
      </c>
      <c r="R161" s="38" t="str">
        <f t="array" ref="R161">IF($E161&lt;&gt;"",IFERROR(INDEX(ISIN!$C:$C,MATCH($E161,ISIN!$A:$A,0)),IFERROR(INDEX($R162:$R1200,MATCH($K161,$K162:$K1200,0)))),IF(AND($Y161="change",$H161="EUR"),IF($O161=$O162,$R162,IF($O161=$O160,$R160)),IFERROR(INDEX($R162:$R1200,MATCH(SUBSTITUTE($I161,"-","",1),$K162:$K1200,0)))))</f>
        <v/>
      </c>
      <c r="S161" s="37" t="str">
        <f t="shared" si="1"/>
        <v/>
      </c>
      <c r="T161" s="39" t="str">
        <f t="shared" si="2"/>
        <v/>
      </c>
      <c r="U161" s="40" t="str">
        <f t="shared" si="3"/>
        <v/>
      </c>
      <c r="V161" s="34" t="str">
        <f t="shared" si="4"/>
        <v/>
      </c>
      <c r="W161" s="41" t="str">
        <f>IFERROR(__xludf.DUMMYFUNCTION(" IF(Account!$F161&lt;&gt;"""", SPLIT(Account!$F161, "" ""), """")"),"")</f>
        <v/>
      </c>
      <c r="X161" s="42"/>
      <c r="Y161" s="42"/>
      <c r="Z161" s="42"/>
      <c r="AA161" s="42"/>
      <c r="AB161" s="42"/>
      <c r="AC161" s="42"/>
      <c r="AD161" s="42"/>
      <c r="AE161" s="42"/>
      <c r="AF161" s="42"/>
      <c r="AG161" s="42"/>
      <c r="AH161" s="42"/>
      <c r="AI161" s="42"/>
      <c r="AJ161" s="42"/>
      <c r="AK161" s="42"/>
    </row>
    <row r="162">
      <c r="A162" s="20"/>
      <c r="B162" s="20"/>
      <c r="C162" s="20"/>
      <c r="D162" s="20"/>
      <c r="E162" s="20"/>
      <c r="F162" s="21"/>
      <c r="G162" s="20"/>
      <c r="H162" s="20"/>
      <c r="I162" s="20"/>
      <c r="J162" s="20"/>
      <c r="K162" s="20"/>
      <c r="L162" s="21"/>
      <c r="M162" s="33" t="str">
        <f>IFERROR(__xludf.DUMMYFUNCTION("IFS(W162=""Achat"",IFERROR(VALUE(X162),VALUE(REGEXREPLACE(T(X162),""[^0-9]"",""""))),W162=""Vente"",-IFERROR(VALUE(X162),VALUE(REGEXREPLACE(T(X162),""[^0-9]"",""""))),Y162=""Change"",0,Y162&lt;&gt;""Change"","""")"),"")</f>
        <v/>
      </c>
      <c r="N162" s="34" t="str">
        <f>IFERROR(__xludf.DUMMYFUNCTION("IF(Account!$F162&lt;&gt;"""", VALUE(REGEXREPLACE($I162, ""\,"", ""."")), """")"),"")</f>
        <v/>
      </c>
      <c r="O162" s="35" t="str">
        <f>IF(Account!$F162&lt;&gt;"", DATEVALUE(MID($A162,4,3) &amp; LEFT($A162,3) &amp; RIGHT($A162,4)) + TIMEVALUE($B162), "")</f>
        <v/>
      </c>
      <c r="P162" s="36" t="str">
        <f>IF(Account!$F162&lt;&gt;"", DATEVALUE(MID($C162,4,3) &amp; LEFT($C162,3) &amp; RIGHT($C162,4)), "")</f>
        <v/>
      </c>
      <c r="Q162" s="37" t="str">
        <f t="array" ref="Q162">IF($R162&lt;&gt;"",IFERROR(INDEX(ISIN!$B:$B,MATCH($R162,ISIN!$C:$C,0))),)</f>
        <v/>
      </c>
      <c r="R162" s="38" t="str">
        <f t="array" ref="R162">IF($E162&lt;&gt;"",IFERROR(INDEX(ISIN!$C:$C,MATCH($E162,ISIN!$A:$A,0)),IFERROR(INDEX($R163:$R1200,MATCH($K162,$K163:$K1200,0)))),IF(AND($Y162="change",$H162="EUR"),IF($O162=$O163,$R163,IF($O162=$O161,$R161)),IFERROR(INDEX($R163:$R1200,MATCH(SUBSTITUTE($I162,"-","",1),$K163:$K1200,0)))))</f>
        <v/>
      </c>
      <c r="S162" s="37" t="str">
        <f t="shared" si="1"/>
        <v/>
      </c>
      <c r="T162" s="39" t="str">
        <f t="shared" si="2"/>
        <v/>
      </c>
      <c r="U162" s="40" t="str">
        <f t="shared" si="3"/>
        <v/>
      </c>
      <c r="V162" s="34" t="str">
        <f t="shared" si="4"/>
        <v/>
      </c>
      <c r="W162" s="41" t="str">
        <f>IFERROR(__xludf.DUMMYFUNCTION(" IF(Account!$F162&lt;&gt;"""", SPLIT(Account!$F162, "" ""), """")"),"")</f>
        <v/>
      </c>
      <c r="X162" s="42"/>
      <c r="Y162" s="42"/>
      <c r="Z162" s="42"/>
      <c r="AA162" s="42"/>
      <c r="AB162" s="42"/>
      <c r="AC162" s="42"/>
      <c r="AD162" s="42"/>
      <c r="AE162" s="42"/>
      <c r="AF162" s="42"/>
      <c r="AG162" s="42"/>
      <c r="AH162" s="42"/>
      <c r="AI162" s="42"/>
      <c r="AJ162" s="42"/>
      <c r="AK162" s="42"/>
    </row>
    <row r="163">
      <c r="A163" s="20"/>
      <c r="B163" s="20"/>
      <c r="C163" s="20"/>
      <c r="D163" s="20"/>
      <c r="E163" s="20"/>
      <c r="F163" s="21"/>
      <c r="G163" s="20"/>
      <c r="H163" s="20"/>
      <c r="I163" s="20"/>
      <c r="J163" s="20"/>
      <c r="K163" s="20"/>
      <c r="L163" s="21"/>
      <c r="M163" s="33" t="str">
        <f>IFERROR(__xludf.DUMMYFUNCTION("IFS(W163=""Achat"",IFERROR(VALUE(X163),VALUE(REGEXREPLACE(T(X163),""[^0-9]"",""""))),W163=""Vente"",-IFERROR(VALUE(X163),VALUE(REGEXREPLACE(T(X163),""[^0-9]"",""""))),Y163=""Change"",0,Y163&lt;&gt;""Change"","""")"),"")</f>
        <v/>
      </c>
      <c r="N163" s="34" t="str">
        <f>IFERROR(__xludf.DUMMYFUNCTION("IF(Account!$F163&lt;&gt;"""", VALUE(REGEXREPLACE($I163, ""\,"", ""."")), """")"),"")</f>
        <v/>
      </c>
      <c r="O163" s="35" t="str">
        <f>IF(Account!$F163&lt;&gt;"", DATEVALUE(MID($A163,4,3) &amp; LEFT($A163,3) &amp; RIGHT($A163,4)) + TIMEVALUE($B163), "")</f>
        <v/>
      </c>
      <c r="P163" s="36" t="str">
        <f>IF(Account!$F163&lt;&gt;"", DATEVALUE(MID($C163,4,3) &amp; LEFT($C163,3) &amp; RIGHT($C163,4)), "")</f>
        <v/>
      </c>
      <c r="Q163" s="37" t="str">
        <f t="array" ref="Q163">IF($R163&lt;&gt;"",IFERROR(INDEX(ISIN!$B:$B,MATCH($R163,ISIN!$C:$C,0))),)</f>
        <v/>
      </c>
      <c r="R163" s="38" t="str">
        <f t="array" ref="R163">IF($E163&lt;&gt;"",IFERROR(INDEX(ISIN!$C:$C,MATCH($E163,ISIN!$A:$A,0)),IFERROR(INDEX($R164:$R1200,MATCH($K163,$K164:$K1200,0)))),IF(AND($Y163="change",$H163="EUR"),IF($O163=$O164,$R164,IF($O163=$O162,$R162)),IFERROR(INDEX($R164:$R1200,MATCH(SUBSTITUTE($I163,"-","",1),$K164:$K1200,0)))))</f>
        <v/>
      </c>
      <c r="S163" s="37" t="str">
        <f t="shared" si="1"/>
        <v/>
      </c>
      <c r="T163" s="39" t="str">
        <f t="shared" si="2"/>
        <v/>
      </c>
      <c r="U163" s="40" t="str">
        <f t="shared" si="3"/>
        <v/>
      </c>
      <c r="V163" s="34" t="str">
        <f t="shared" si="4"/>
        <v/>
      </c>
      <c r="W163" s="41" t="str">
        <f>IFERROR(__xludf.DUMMYFUNCTION(" IF(Account!$F163&lt;&gt;"""", SPLIT(Account!$F163, "" ""), """")"),"")</f>
        <v/>
      </c>
      <c r="X163" s="42"/>
      <c r="Y163" s="42"/>
      <c r="Z163" s="42"/>
      <c r="AA163" s="42"/>
      <c r="AB163" s="42"/>
      <c r="AC163" s="42"/>
      <c r="AD163" s="42"/>
      <c r="AE163" s="42"/>
      <c r="AF163" s="42"/>
      <c r="AG163" s="42"/>
      <c r="AH163" s="42"/>
      <c r="AI163" s="42"/>
      <c r="AJ163" s="42"/>
      <c r="AK163" s="42"/>
    </row>
    <row r="164">
      <c r="A164" s="20"/>
      <c r="B164" s="20"/>
      <c r="C164" s="20"/>
      <c r="D164" s="20"/>
      <c r="E164" s="20"/>
      <c r="F164" s="21"/>
      <c r="G164" s="20"/>
      <c r="H164" s="20"/>
      <c r="I164" s="20"/>
      <c r="J164" s="20"/>
      <c r="K164" s="20"/>
      <c r="L164" s="21"/>
      <c r="M164" s="33" t="str">
        <f>IFERROR(__xludf.DUMMYFUNCTION("IFS(W164=""Achat"",IFERROR(VALUE(X164),VALUE(REGEXREPLACE(T(X164),""[^0-9]"",""""))),W164=""Vente"",-IFERROR(VALUE(X164),VALUE(REGEXREPLACE(T(X164),""[^0-9]"",""""))),Y164=""Change"",0,Y164&lt;&gt;""Change"","""")"),"")</f>
        <v/>
      </c>
      <c r="N164" s="34" t="str">
        <f>IFERROR(__xludf.DUMMYFUNCTION("IF(Account!$F164&lt;&gt;"""", VALUE(REGEXREPLACE($I164, ""\,"", ""."")), """")"),"")</f>
        <v/>
      </c>
      <c r="O164" s="35" t="str">
        <f>IF(Account!$F164&lt;&gt;"", DATEVALUE(MID($A164,4,3) &amp; LEFT($A164,3) &amp; RIGHT($A164,4)) + TIMEVALUE($B164), "")</f>
        <v/>
      </c>
      <c r="P164" s="36" t="str">
        <f>IF(Account!$F164&lt;&gt;"", DATEVALUE(MID($C164,4,3) &amp; LEFT($C164,3) &amp; RIGHT($C164,4)), "")</f>
        <v/>
      </c>
      <c r="Q164" s="37" t="str">
        <f t="array" ref="Q164">IF($R164&lt;&gt;"",IFERROR(INDEX(ISIN!$B:$B,MATCH($R164,ISIN!$C:$C,0))),)</f>
        <v/>
      </c>
      <c r="R164" s="38" t="str">
        <f t="array" ref="R164">IF($E164&lt;&gt;"",IFERROR(INDEX(ISIN!$C:$C,MATCH($E164,ISIN!$A:$A,0)),IFERROR(INDEX($R165:$R1200,MATCH($K164,$K165:$K1200,0)))),IF(AND($Y164="change",$H164="EUR"),IF($O164=$O165,$R165,IF($O164=$O163,$R163)),IFERROR(INDEX($R165:$R1200,MATCH(SUBSTITUTE($I164,"-","",1),$K165:$K1200,0)))))</f>
        <v/>
      </c>
      <c r="S164" s="37" t="str">
        <f t="shared" si="1"/>
        <v/>
      </c>
      <c r="T164" s="39" t="str">
        <f t="shared" si="2"/>
        <v/>
      </c>
      <c r="U164" s="40" t="str">
        <f t="shared" si="3"/>
        <v/>
      </c>
      <c r="V164" s="34" t="str">
        <f t="shared" si="4"/>
        <v/>
      </c>
      <c r="W164" s="41" t="str">
        <f>IFERROR(__xludf.DUMMYFUNCTION(" IF(Account!$F164&lt;&gt;"""", SPLIT(Account!$F164, "" ""), """")"),"")</f>
        <v/>
      </c>
      <c r="X164" s="42"/>
      <c r="Y164" s="42"/>
      <c r="Z164" s="42"/>
      <c r="AA164" s="42"/>
      <c r="AB164" s="42"/>
      <c r="AC164" s="42"/>
      <c r="AD164" s="42"/>
      <c r="AE164" s="42"/>
      <c r="AF164" s="42"/>
      <c r="AG164" s="42"/>
      <c r="AH164" s="42"/>
      <c r="AI164" s="42"/>
      <c r="AJ164" s="42"/>
      <c r="AK164" s="42"/>
    </row>
    <row r="165">
      <c r="A165" s="20"/>
      <c r="B165" s="20"/>
      <c r="C165" s="20"/>
      <c r="D165" s="20"/>
      <c r="E165" s="20"/>
      <c r="F165" s="21"/>
      <c r="G165" s="45"/>
      <c r="H165" s="20"/>
      <c r="I165" s="20"/>
      <c r="J165" s="20"/>
      <c r="K165" s="20"/>
      <c r="L165" s="21"/>
      <c r="M165" s="33" t="str">
        <f>IFERROR(__xludf.DUMMYFUNCTION("IFS(W165=""Achat"",IFERROR(VALUE(X165),VALUE(REGEXREPLACE(T(X165),""[^0-9]"",""""))),W165=""Vente"",-IFERROR(VALUE(X165),VALUE(REGEXREPLACE(T(X165),""[^0-9]"",""""))),Y165=""Change"",0,Y165&lt;&gt;""Change"","""")"),"")</f>
        <v/>
      </c>
      <c r="N165" s="34" t="str">
        <f>IFERROR(__xludf.DUMMYFUNCTION("IF(Account!$F165&lt;&gt;"""", VALUE(REGEXREPLACE($I165, ""\,"", ""."")), """")"),"")</f>
        <v/>
      </c>
      <c r="O165" s="35" t="str">
        <f>IF(Account!$F165&lt;&gt;"", DATEVALUE(MID($A165,4,3) &amp; LEFT($A165,3) &amp; RIGHT($A165,4)) + TIMEVALUE($B165), "")</f>
        <v/>
      </c>
      <c r="P165" s="36" t="str">
        <f>IF(Account!$F165&lt;&gt;"", DATEVALUE(MID($C165,4,3) &amp; LEFT($C165,3) &amp; RIGHT($C165,4)), "")</f>
        <v/>
      </c>
      <c r="Q165" s="37" t="str">
        <f t="array" ref="Q165">IF($R165&lt;&gt;"",IFERROR(INDEX(ISIN!$B:$B,MATCH($R165,ISIN!$C:$C,0))),)</f>
        <v/>
      </c>
      <c r="R165" s="38" t="str">
        <f t="array" ref="R165">IF($E165&lt;&gt;"",IFERROR(INDEX(ISIN!$C:$C,MATCH($E165,ISIN!$A:$A,0)),IFERROR(INDEX($R166:$R1200,MATCH($K165,$K166:$K1200,0)))),IF(AND($Y165="change",$H165="EUR"),IF($O165=$O166,$R166,IF($O165=$O164,$R164)),IFERROR(INDEX($R166:$R1200,MATCH(SUBSTITUTE($I165,"-","",1),$K166:$K1200,0)))))</f>
        <v/>
      </c>
      <c r="S165" s="37" t="str">
        <f t="shared" si="1"/>
        <v/>
      </c>
      <c r="T165" s="39" t="str">
        <f t="shared" si="2"/>
        <v/>
      </c>
      <c r="U165" s="40" t="str">
        <f t="shared" si="3"/>
        <v/>
      </c>
      <c r="V165" s="34" t="str">
        <f t="shared" si="4"/>
        <v/>
      </c>
      <c r="W165" s="41" t="str">
        <f>IFERROR(__xludf.DUMMYFUNCTION(" IF(Account!$F165&lt;&gt;"""", SPLIT(Account!$F165, "" ""), """")"),"")</f>
        <v/>
      </c>
      <c r="X165" s="42"/>
      <c r="Y165" s="42"/>
      <c r="Z165" s="42"/>
      <c r="AA165" s="42"/>
      <c r="AB165" s="42"/>
      <c r="AC165" s="42"/>
      <c r="AD165" s="42"/>
      <c r="AE165" s="42"/>
      <c r="AF165" s="42"/>
      <c r="AG165" s="42"/>
      <c r="AH165" s="42"/>
      <c r="AI165" s="42"/>
      <c r="AJ165" s="42"/>
      <c r="AK165" s="42"/>
    </row>
    <row r="166">
      <c r="A166" s="20"/>
      <c r="B166" s="20"/>
      <c r="C166" s="20"/>
      <c r="D166" s="20"/>
      <c r="E166" s="20"/>
      <c r="F166" s="21"/>
      <c r="G166" s="20"/>
      <c r="H166" s="20"/>
      <c r="I166" s="20"/>
      <c r="J166" s="20"/>
      <c r="K166" s="20"/>
      <c r="L166" s="21"/>
      <c r="M166" s="33" t="str">
        <f>IFERROR(__xludf.DUMMYFUNCTION("IFS(W166=""Achat"",IFERROR(VALUE(X166),VALUE(REGEXREPLACE(T(X166),""[^0-9]"",""""))),W166=""Vente"",-IFERROR(VALUE(X166),VALUE(REGEXREPLACE(T(X166),""[^0-9]"",""""))),Y166=""Change"",0,Y166&lt;&gt;""Change"","""")"),"")</f>
        <v/>
      </c>
      <c r="N166" s="34" t="str">
        <f>IFERROR(__xludf.DUMMYFUNCTION("IF(Account!$F166&lt;&gt;"""", VALUE(REGEXREPLACE($I166, ""\,"", ""."")), """")"),"")</f>
        <v/>
      </c>
      <c r="O166" s="35" t="str">
        <f>IF(Account!$F166&lt;&gt;"", DATEVALUE(MID($A166,4,3) &amp; LEFT($A166,3) &amp; RIGHT($A166,4)) + TIMEVALUE($B166), "")</f>
        <v/>
      </c>
      <c r="P166" s="36" t="str">
        <f>IF(Account!$F166&lt;&gt;"", DATEVALUE(MID($C166,4,3) &amp; LEFT($C166,3) &amp; RIGHT($C166,4)), "")</f>
        <v/>
      </c>
      <c r="Q166" s="37" t="str">
        <f t="array" ref="Q166">IF($R166&lt;&gt;"",IFERROR(INDEX(ISIN!$B:$B,MATCH($R166,ISIN!$C:$C,0))),)</f>
        <v/>
      </c>
      <c r="R166" s="38" t="str">
        <f t="array" ref="R166">IF($E166&lt;&gt;"",IFERROR(INDEX(ISIN!$C:$C,MATCH($E166,ISIN!$A:$A,0)),IFERROR(INDEX($R167:$R1200,MATCH($K166,$K167:$K1200,0)))),IF(AND($Y166="change",$H166="EUR"),IF($O166=$O167,$R167,IF($O166=$O165,$R165)),IFERROR(INDEX($R167:$R1200,MATCH(SUBSTITUTE($I166,"-","",1),$K167:$K1200,0)))))</f>
        <v/>
      </c>
      <c r="S166" s="37" t="str">
        <f t="shared" si="1"/>
        <v/>
      </c>
      <c r="T166" s="39" t="str">
        <f t="shared" si="2"/>
        <v/>
      </c>
      <c r="U166" s="40" t="str">
        <f t="shared" si="3"/>
        <v/>
      </c>
      <c r="V166" s="34" t="str">
        <f t="shared" si="4"/>
        <v/>
      </c>
      <c r="W166" s="41" t="str">
        <f>IFERROR(__xludf.DUMMYFUNCTION(" IF(Account!$F166&lt;&gt;"""", SPLIT(Account!$F166, "" ""), """")"),"")</f>
        <v/>
      </c>
      <c r="X166" s="42"/>
      <c r="Y166" s="42"/>
      <c r="Z166" s="42"/>
      <c r="AA166" s="42"/>
      <c r="AB166" s="42"/>
      <c r="AC166" s="42"/>
      <c r="AD166" s="42"/>
      <c r="AE166" s="42"/>
      <c r="AF166" s="42"/>
      <c r="AG166" s="42"/>
      <c r="AH166" s="42"/>
      <c r="AI166" s="42"/>
      <c r="AJ166" s="42"/>
      <c r="AK166" s="42"/>
    </row>
    <row r="167">
      <c r="A167" s="20"/>
      <c r="B167" s="20"/>
      <c r="C167" s="20"/>
      <c r="D167" s="20"/>
      <c r="E167" s="20"/>
      <c r="F167" s="21"/>
      <c r="G167" s="45"/>
      <c r="H167" s="20"/>
      <c r="I167" s="20"/>
      <c r="J167" s="20"/>
      <c r="K167" s="20"/>
      <c r="L167" s="21"/>
      <c r="M167" s="33" t="str">
        <f>IFERROR(__xludf.DUMMYFUNCTION("IFS(W167=""Achat"",IFERROR(VALUE(X167),VALUE(REGEXREPLACE(T(X167),""[^0-9]"",""""))),W167=""Vente"",-IFERROR(VALUE(X167),VALUE(REGEXREPLACE(T(X167),""[^0-9]"",""""))),Y167=""Change"",0,Y167&lt;&gt;""Change"","""")"),"")</f>
        <v/>
      </c>
      <c r="N167" s="34" t="str">
        <f>IFERROR(__xludf.DUMMYFUNCTION("IF(Account!$F167&lt;&gt;"""", VALUE(REGEXREPLACE($I167, ""\,"", ""."")), """")"),"")</f>
        <v/>
      </c>
      <c r="O167" s="35" t="str">
        <f>IF(Account!$F167&lt;&gt;"", DATEVALUE(MID($A167,4,3) &amp; LEFT($A167,3) &amp; RIGHT($A167,4)) + TIMEVALUE($B167), "")</f>
        <v/>
      </c>
      <c r="P167" s="36" t="str">
        <f>IF(Account!$F167&lt;&gt;"", DATEVALUE(MID($C167,4,3) &amp; LEFT($C167,3) &amp; RIGHT($C167,4)), "")</f>
        <v/>
      </c>
      <c r="Q167" s="37" t="str">
        <f t="array" ref="Q167">IF($R167&lt;&gt;"",IFERROR(INDEX(ISIN!$B:$B,MATCH($R167,ISIN!$C:$C,0))),)</f>
        <v/>
      </c>
      <c r="R167" s="38" t="str">
        <f t="array" ref="R167">IF($E167&lt;&gt;"",IFERROR(INDEX(ISIN!$C:$C,MATCH($E167,ISIN!$A:$A,0)),IFERROR(INDEX($R168:$R1200,MATCH($K167,$K168:$K1200,0)))),IF(AND($Y167="change",$H167="EUR"),IF($O167=$O168,$R168,IF($O167=$O166,$R166)),IFERROR(INDEX($R168:$R1200,MATCH(SUBSTITUTE($I167,"-","",1),$K168:$K1200,0)))))</f>
        <v/>
      </c>
      <c r="S167" s="37" t="str">
        <f t="shared" si="1"/>
        <v/>
      </c>
      <c r="T167" s="39" t="str">
        <f t="shared" si="2"/>
        <v/>
      </c>
      <c r="U167" s="40" t="str">
        <f t="shared" si="3"/>
        <v/>
      </c>
      <c r="V167" s="34" t="str">
        <f t="shared" si="4"/>
        <v/>
      </c>
      <c r="W167" s="41" t="str">
        <f>IFERROR(__xludf.DUMMYFUNCTION(" IF(Account!$F167&lt;&gt;"""", SPLIT(Account!$F167, "" ""), """")"),"")</f>
        <v/>
      </c>
      <c r="X167" s="42"/>
      <c r="Y167" s="42"/>
      <c r="Z167" s="42"/>
      <c r="AA167" s="42"/>
      <c r="AB167" s="42"/>
      <c r="AC167" s="42"/>
      <c r="AD167" s="42"/>
      <c r="AE167" s="42"/>
      <c r="AF167" s="42"/>
      <c r="AG167" s="42"/>
      <c r="AH167" s="42"/>
      <c r="AI167" s="42"/>
      <c r="AJ167" s="42"/>
      <c r="AK167" s="42"/>
    </row>
    <row r="168">
      <c r="A168" s="20"/>
      <c r="B168" s="20"/>
      <c r="C168" s="20"/>
      <c r="D168" s="20"/>
      <c r="E168" s="20"/>
      <c r="F168" s="21"/>
      <c r="G168" s="20"/>
      <c r="H168" s="20"/>
      <c r="I168" s="20"/>
      <c r="J168" s="20"/>
      <c r="K168" s="20"/>
      <c r="L168" s="21"/>
      <c r="M168" s="33" t="str">
        <f>IFERROR(__xludf.DUMMYFUNCTION("IFS(W168=""Achat"",IFERROR(VALUE(X168),VALUE(REGEXREPLACE(T(X168),""[^0-9]"",""""))),W168=""Vente"",-IFERROR(VALUE(X168),VALUE(REGEXREPLACE(T(X168),""[^0-9]"",""""))),Y168=""Change"",0,Y168&lt;&gt;""Change"","""")"),"")</f>
        <v/>
      </c>
      <c r="N168" s="34" t="str">
        <f>IFERROR(__xludf.DUMMYFUNCTION("IF(Account!$F168&lt;&gt;"""", VALUE(REGEXREPLACE($I168, ""\,"", ""."")), """")"),"")</f>
        <v/>
      </c>
      <c r="O168" s="35" t="str">
        <f>IF(Account!$F168&lt;&gt;"", DATEVALUE(MID($A168,4,3) &amp; LEFT($A168,3) &amp; RIGHT($A168,4)) + TIMEVALUE($B168), "")</f>
        <v/>
      </c>
      <c r="P168" s="36" t="str">
        <f>IF(Account!$F168&lt;&gt;"", DATEVALUE(MID($C168,4,3) &amp; LEFT($C168,3) &amp; RIGHT($C168,4)), "")</f>
        <v/>
      </c>
      <c r="Q168" s="37" t="str">
        <f t="array" ref="Q168">IF($R168&lt;&gt;"",IFERROR(INDEX(ISIN!$B:$B,MATCH($R168,ISIN!$C:$C,0))),)</f>
        <v/>
      </c>
      <c r="R168" s="38" t="str">
        <f t="array" ref="R168">IF($E168&lt;&gt;"",IFERROR(INDEX(ISIN!$C:$C,MATCH($E168,ISIN!$A:$A,0)),IFERROR(INDEX($R169:$R1200,MATCH($K168,$K169:$K1200,0)))),IF(AND($Y168="change",$H168="EUR"),IF($O168=$O169,$R169,IF($O168=$O167,$R167)),IFERROR(INDEX($R169:$R1200,MATCH(SUBSTITUTE($I168,"-","",1),$K169:$K1200,0)))))</f>
        <v/>
      </c>
      <c r="S168" s="37" t="str">
        <f t="shared" si="1"/>
        <v/>
      </c>
      <c r="T168" s="39" t="str">
        <f t="shared" si="2"/>
        <v/>
      </c>
      <c r="U168" s="40" t="str">
        <f t="shared" si="3"/>
        <v/>
      </c>
      <c r="V168" s="34" t="str">
        <f t="shared" si="4"/>
        <v/>
      </c>
      <c r="W168" s="41" t="str">
        <f>IFERROR(__xludf.DUMMYFUNCTION(" IF(Account!$F168&lt;&gt;"""", SPLIT(Account!$F168, "" ""), """")"),"")</f>
        <v/>
      </c>
      <c r="X168" s="42"/>
      <c r="Y168" s="42"/>
      <c r="Z168" s="42"/>
      <c r="AA168" s="42"/>
      <c r="AB168" s="42"/>
      <c r="AC168" s="42"/>
      <c r="AD168" s="42"/>
      <c r="AE168" s="42"/>
      <c r="AF168" s="42"/>
      <c r="AG168" s="42"/>
      <c r="AH168" s="42"/>
      <c r="AI168" s="42"/>
      <c r="AJ168" s="42"/>
      <c r="AK168" s="42"/>
    </row>
    <row r="169">
      <c r="A169" s="20"/>
      <c r="B169" s="20"/>
      <c r="C169" s="20"/>
      <c r="D169" s="20"/>
      <c r="E169" s="20"/>
      <c r="F169" s="21"/>
      <c r="G169" s="20"/>
      <c r="H169" s="20"/>
      <c r="I169" s="20"/>
      <c r="J169" s="20"/>
      <c r="K169" s="20"/>
      <c r="L169" s="21"/>
      <c r="M169" s="33" t="str">
        <f>IFERROR(__xludf.DUMMYFUNCTION("IFS(W169=""Achat"",IFERROR(VALUE(X169),VALUE(REGEXREPLACE(T(X169),""[^0-9]"",""""))),W169=""Vente"",-IFERROR(VALUE(X169),VALUE(REGEXREPLACE(T(X169),""[^0-9]"",""""))),Y169=""Change"",0,Y169&lt;&gt;""Change"","""")"),"")</f>
        <v/>
      </c>
      <c r="N169" s="34" t="str">
        <f>IFERROR(__xludf.DUMMYFUNCTION("IF(Account!$F169&lt;&gt;"""", VALUE(REGEXREPLACE($I169, ""\,"", ""."")), """")"),"")</f>
        <v/>
      </c>
      <c r="O169" s="35" t="str">
        <f>IF(Account!$F169&lt;&gt;"", DATEVALUE(MID($A169,4,3) &amp; LEFT($A169,3) &amp; RIGHT($A169,4)) + TIMEVALUE($B169), "")</f>
        <v/>
      </c>
      <c r="P169" s="36" t="str">
        <f>IF(Account!$F169&lt;&gt;"", DATEVALUE(MID($C169,4,3) &amp; LEFT($C169,3) &amp; RIGHT($C169,4)), "")</f>
        <v/>
      </c>
      <c r="Q169" s="37" t="str">
        <f t="array" ref="Q169">IF($R169&lt;&gt;"",IFERROR(INDEX(ISIN!$B:$B,MATCH($R169,ISIN!$C:$C,0))),)</f>
        <v/>
      </c>
      <c r="R169" s="38" t="str">
        <f t="array" ref="R169">IF($E169&lt;&gt;"",IFERROR(INDEX(ISIN!$C:$C,MATCH($E169,ISIN!$A:$A,0)),IFERROR(INDEX($R170:$R1200,MATCH($K169,$K170:$K1200,0)))),IF(AND($Y169="change",$H169="EUR"),IF($O169=$O170,$R170,IF($O169=$O168,$R168)),IFERROR(INDEX($R170:$R1200,MATCH(SUBSTITUTE($I169,"-","",1),$K170:$K1200,0)))))</f>
        <v/>
      </c>
      <c r="S169" s="37" t="str">
        <f t="shared" si="1"/>
        <v/>
      </c>
      <c r="T169" s="39" t="str">
        <f t="shared" si="2"/>
        <v/>
      </c>
      <c r="U169" s="40" t="str">
        <f t="shared" si="3"/>
        <v/>
      </c>
      <c r="V169" s="34" t="str">
        <f t="shared" si="4"/>
        <v/>
      </c>
      <c r="W169" s="41" t="str">
        <f>IFERROR(__xludf.DUMMYFUNCTION(" IF(Account!$F169&lt;&gt;"""", SPLIT(Account!$F169, "" ""), """")"),"")</f>
        <v/>
      </c>
      <c r="X169" s="42"/>
      <c r="Y169" s="42"/>
      <c r="Z169" s="42"/>
      <c r="AA169" s="42"/>
      <c r="AB169" s="42"/>
      <c r="AC169" s="42"/>
      <c r="AD169" s="42"/>
      <c r="AE169" s="42"/>
      <c r="AF169" s="42"/>
      <c r="AG169" s="42"/>
      <c r="AH169" s="42"/>
      <c r="AI169" s="42"/>
      <c r="AJ169" s="42"/>
      <c r="AK169" s="42"/>
    </row>
    <row r="170">
      <c r="A170" s="20"/>
      <c r="B170" s="20"/>
      <c r="C170" s="20"/>
      <c r="D170" s="20"/>
      <c r="E170" s="20"/>
      <c r="F170" s="21"/>
      <c r="G170" s="20"/>
      <c r="H170" s="20"/>
      <c r="I170" s="20"/>
      <c r="J170" s="20"/>
      <c r="K170" s="20"/>
      <c r="L170" s="21"/>
      <c r="M170" s="33" t="str">
        <f>IFERROR(__xludf.DUMMYFUNCTION("IFS(W170=""Achat"",IFERROR(VALUE(X170),VALUE(REGEXREPLACE(T(X170),""[^0-9]"",""""))),W170=""Vente"",-IFERROR(VALUE(X170),VALUE(REGEXREPLACE(T(X170),""[^0-9]"",""""))),Y170=""Change"",0,Y170&lt;&gt;""Change"","""")"),"")</f>
        <v/>
      </c>
      <c r="N170" s="34" t="str">
        <f>IFERROR(__xludf.DUMMYFUNCTION("IF(Account!$F170&lt;&gt;"""", VALUE(REGEXREPLACE($I170, ""\,"", ""."")), """")"),"")</f>
        <v/>
      </c>
      <c r="O170" s="35" t="str">
        <f>IF(Account!$F170&lt;&gt;"", DATEVALUE(MID($A170,4,3) &amp; LEFT($A170,3) &amp; RIGHT($A170,4)) + TIMEVALUE($B170), "")</f>
        <v/>
      </c>
      <c r="P170" s="36" t="str">
        <f>IF(Account!$F170&lt;&gt;"", DATEVALUE(MID($C170,4,3) &amp; LEFT($C170,3) &amp; RIGHT($C170,4)), "")</f>
        <v/>
      </c>
      <c r="Q170" s="37" t="str">
        <f t="array" ref="Q170">IF($R170&lt;&gt;"",IFERROR(INDEX(ISIN!$B:$B,MATCH($R170,ISIN!$C:$C,0))),)</f>
        <v/>
      </c>
      <c r="R170" s="38" t="str">
        <f t="array" ref="R170">IF($E170&lt;&gt;"",IFERROR(INDEX(ISIN!$C:$C,MATCH($E170,ISIN!$A:$A,0)),IFERROR(INDEX($R171:$R1200,MATCH($K170,$K171:$K1200,0)))),IF(AND($Y170="change",$H170="EUR"),IF($O170=$O171,$R171,IF($O170=$O169,$R169)),IFERROR(INDEX($R171:$R1200,MATCH(SUBSTITUTE($I170,"-","",1),$K171:$K1200,0)))))</f>
        <v/>
      </c>
      <c r="S170" s="37" t="str">
        <f t="shared" si="1"/>
        <v/>
      </c>
      <c r="T170" s="39" t="str">
        <f t="shared" si="2"/>
        <v/>
      </c>
      <c r="U170" s="40" t="str">
        <f t="shared" si="3"/>
        <v/>
      </c>
      <c r="V170" s="34" t="str">
        <f t="shared" si="4"/>
        <v/>
      </c>
      <c r="W170" s="41" t="str">
        <f>IFERROR(__xludf.DUMMYFUNCTION(" IF(Account!$F170&lt;&gt;"""", SPLIT(Account!$F170, "" ""), """")"),"")</f>
        <v/>
      </c>
      <c r="X170" s="42"/>
      <c r="Y170" s="42"/>
      <c r="Z170" s="42"/>
      <c r="AA170" s="42"/>
      <c r="AB170" s="42"/>
      <c r="AC170" s="42"/>
      <c r="AD170" s="42"/>
      <c r="AE170" s="42"/>
      <c r="AF170" s="42"/>
      <c r="AG170" s="42"/>
      <c r="AH170" s="42"/>
      <c r="AI170" s="42"/>
      <c r="AJ170" s="42"/>
      <c r="AK170" s="42"/>
    </row>
    <row r="171">
      <c r="A171" s="20"/>
      <c r="B171" s="20"/>
      <c r="C171" s="20"/>
      <c r="D171" s="20"/>
      <c r="E171" s="20"/>
      <c r="F171" s="21"/>
      <c r="G171" s="45"/>
      <c r="H171" s="20"/>
      <c r="I171" s="20"/>
      <c r="J171" s="20"/>
      <c r="K171" s="20"/>
      <c r="L171" s="21"/>
      <c r="M171" s="33" t="str">
        <f>IFERROR(__xludf.DUMMYFUNCTION("IFS(W171=""Achat"",IFERROR(VALUE(X171),VALUE(REGEXREPLACE(T(X171),""[^0-9]"",""""))),W171=""Vente"",-IFERROR(VALUE(X171),VALUE(REGEXREPLACE(T(X171),""[^0-9]"",""""))),Y171=""Change"",0,Y171&lt;&gt;""Change"","""")"),"")</f>
        <v/>
      </c>
      <c r="N171" s="34" t="str">
        <f>IFERROR(__xludf.DUMMYFUNCTION("IF(Account!$F171&lt;&gt;"""", VALUE(REGEXREPLACE($I171, ""\,"", ""."")), """")"),"")</f>
        <v/>
      </c>
      <c r="O171" s="35" t="str">
        <f>IF(Account!$F171&lt;&gt;"", DATEVALUE(MID($A171,4,3) &amp; LEFT($A171,3) &amp; RIGHT($A171,4)) + TIMEVALUE($B171), "")</f>
        <v/>
      </c>
      <c r="P171" s="36" t="str">
        <f>IF(Account!$F171&lt;&gt;"", DATEVALUE(MID($C171,4,3) &amp; LEFT($C171,3) &amp; RIGHT($C171,4)), "")</f>
        <v/>
      </c>
      <c r="Q171" s="37" t="str">
        <f t="array" ref="Q171">IF($R171&lt;&gt;"",IFERROR(INDEX(ISIN!$B:$B,MATCH($R171,ISIN!$C:$C,0))),)</f>
        <v/>
      </c>
      <c r="R171" s="38" t="str">
        <f t="array" ref="R171">IF($E171&lt;&gt;"",IFERROR(INDEX(ISIN!$C:$C,MATCH($E171,ISIN!$A:$A,0)),IFERROR(INDEX($R172:$R1200,MATCH($K171,$K172:$K1200,0)))),IF(AND($Y171="change",$H171="EUR"),IF($O171=$O172,$R172,IF($O171=$O170,$R170)),IFERROR(INDEX($R172:$R1200,MATCH(SUBSTITUTE($I171,"-","",1),$K172:$K1200,0)))))</f>
        <v/>
      </c>
      <c r="S171" s="37" t="str">
        <f t="shared" si="1"/>
        <v/>
      </c>
      <c r="T171" s="39" t="str">
        <f t="shared" si="2"/>
        <v/>
      </c>
      <c r="U171" s="40" t="str">
        <f t="shared" si="3"/>
        <v/>
      </c>
      <c r="V171" s="34" t="str">
        <f t="shared" si="4"/>
        <v/>
      </c>
      <c r="W171" s="41" t="str">
        <f>IFERROR(__xludf.DUMMYFUNCTION(" IF(Account!$F171&lt;&gt;"""", SPLIT(Account!$F171, "" ""), """")"),"")</f>
        <v/>
      </c>
      <c r="X171" s="42"/>
      <c r="Y171" s="42"/>
      <c r="Z171" s="42"/>
      <c r="AA171" s="42"/>
      <c r="AB171" s="42"/>
      <c r="AC171" s="42"/>
      <c r="AD171" s="42"/>
      <c r="AE171" s="42"/>
      <c r="AF171" s="42"/>
      <c r="AG171" s="42"/>
      <c r="AH171" s="42"/>
      <c r="AI171" s="42"/>
      <c r="AJ171" s="42"/>
      <c r="AK171" s="42"/>
    </row>
    <row r="172">
      <c r="A172" s="20"/>
      <c r="B172" s="20"/>
      <c r="C172" s="20"/>
      <c r="D172" s="20"/>
      <c r="E172" s="20"/>
      <c r="F172" s="21"/>
      <c r="G172" s="20"/>
      <c r="H172" s="20"/>
      <c r="I172" s="20"/>
      <c r="J172" s="20"/>
      <c r="K172" s="20"/>
      <c r="L172" s="21"/>
      <c r="M172" s="33" t="str">
        <f>IFERROR(__xludf.DUMMYFUNCTION("IFS(W172=""Achat"",IFERROR(VALUE(X172),VALUE(REGEXREPLACE(T(X172),""[^0-9]"",""""))),W172=""Vente"",-IFERROR(VALUE(X172),VALUE(REGEXREPLACE(T(X172),""[^0-9]"",""""))),Y172=""Change"",0,Y172&lt;&gt;""Change"","""")"),"")</f>
        <v/>
      </c>
      <c r="N172" s="34" t="str">
        <f>IFERROR(__xludf.DUMMYFUNCTION("IF(Account!$F172&lt;&gt;"""", VALUE(REGEXREPLACE($I172, ""\,"", ""."")), """")"),"")</f>
        <v/>
      </c>
      <c r="O172" s="35" t="str">
        <f>IF(Account!$F172&lt;&gt;"", DATEVALUE(MID($A172,4,3) &amp; LEFT($A172,3) &amp; RIGHT($A172,4)) + TIMEVALUE($B172), "")</f>
        <v/>
      </c>
      <c r="P172" s="36" t="str">
        <f>IF(Account!$F172&lt;&gt;"", DATEVALUE(MID($C172,4,3) &amp; LEFT($C172,3) &amp; RIGHT($C172,4)), "")</f>
        <v/>
      </c>
      <c r="Q172" s="37" t="str">
        <f t="array" ref="Q172">IF($R172&lt;&gt;"",IFERROR(INDEX(ISIN!$B:$B,MATCH($R172,ISIN!$C:$C,0))),)</f>
        <v/>
      </c>
      <c r="R172" s="38" t="str">
        <f t="array" ref="R172">IF($E172&lt;&gt;"",IFERROR(INDEX(ISIN!$C:$C,MATCH($E172,ISIN!$A:$A,0)),IFERROR(INDEX($R173:$R1200,MATCH($K172,$K173:$K1200,0)))),IF(AND($Y172="change",$H172="EUR"),IF($O172=$O173,$R173,IF($O172=$O171,$R171)),IFERROR(INDEX($R173:$R1200,MATCH(SUBSTITUTE($I172,"-","",1),$K173:$K1200,0)))))</f>
        <v/>
      </c>
      <c r="S172" s="37" t="str">
        <f t="shared" si="1"/>
        <v/>
      </c>
      <c r="T172" s="39" t="str">
        <f t="shared" si="2"/>
        <v/>
      </c>
      <c r="U172" s="40" t="str">
        <f t="shared" si="3"/>
        <v/>
      </c>
      <c r="V172" s="34" t="str">
        <f t="shared" si="4"/>
        <v/>
      </c>
      <c r="W172" s="41" t="str">
        <f>IFERROR(__xludf.DUMMYFUNCTION(" IF(Account!$F172&lt;&gt;"""", SPLIT(Account!$F172, "" ""), """")"),"")</f>
        <v/>
      </c>
      <c r="X172" s="42"/>
      <c r="Y172" s="42"/>
      <c r="Z172" s="42"/>
      <c r="AA172" s="42"/>
      <c r="AB172" s="42"/>
      <c r="AC172" s="42"/>
      <c r="AD172" s="42"/>
      <c r="AE172" s="42"/>
      <c r="AF172" s="42"/>
      <c r="AG172" s="42"/>
      <c r="AH172" s="42"/>
      <c r="AI172" s="42"/>
      <c r="AJ172" s="42"/>
      <c r="AK172" s="42"/>
    </row>
    <row r="173">
      <c r="A173" s="20"/>
      <c r="B173" s="20"/>
      <c r="C173" s="20"/>
      <c r="D173" s="20"/>
      <c r="E173" s="20"/>
      <c r="F173" s="21"/>
      <c r="G173" s="20"/>
      <c r="H173" s="20"/>
      <c r="I173" s="20"/>
      <c r="J173" s="20"/>
      <c r="K173" s="20"/>
      <c r="L173" s="21"/>
      <c r="M173" s="33" t="str">
        <f>IFERROR(__xludf.DUMMYFUNCTION("IFS(W173=""Achat"",IFERROR(VALUE(X173),VALUE(REGEXREPLACE(T(X173),""[^0-9]"",""""))),W173=""Vente"",-IFERROR(VALUE(X173),VALUE(REGEXREPLACE(T(X173),""[^0-9]"",""""))),Y173=""Change"",0,Y173&lt;&gt;""Change"","""")"),"")</f>
        <v/>
      </c>
      <c r="N173" s="34" t="str">
        <f>IFERROR(__xludf.DUMMYFUNCTION("IF(Account!$F173&lt;&gt;"""", VALUE(REGEXREPLACE($I173, ""\,"", ""."")), """")"),"")</f>
        <v/>
      </c>
      <c r="O173" s="35" t="str">
        <f>IF(Account!$F173&lt;&gt;"", DATEVALUE(MID($A173,4,3) &amp; LEFT($A173,3) &amp; RIGHT($A173,4)) + TIMEVALUE($B173), "")</f>
        <v/>
      </c>
      <c r="P173" s="36" t="str">
        <f>IF(Account!$F173&lt;&gt;"", DATEVALUE(MID($C173,4,3) &amp; LEFT($C173,3) &amp; RIGHT($C173,4)), "")</f>
        <v/>
      </c>
      <c r="Q173" s="37" t="str">
        <f t="array" ref="Q173">IF($R173&lt;&gt;"",IFERROR(INDEX(ISIN!$B:$B,MATCH($R173,ISIN!$C:$C,0))),)</f>
        <v/>
      </c>
      <c r="R173" s="38" t="str">
        <f t="array" ref="R173">IF($E173&lt;&gt;"",IFERROR(INDEX(ISIN!$C:$C,MATCH($E173,ISIN!$A:$A,0)),IFERROR(INDEX($R174:$R1200,MATCH($K173,$K174:$K1200,0)))),IF(AND($Y173="change",$H173="EUR"),IF($O173=$O174,$R174,IF($O173=$O172,$R172)),IFERROR(INDEX($R174:$R1200,MATCH(SUBSTITUTE($I173,"-","",1),$K174:$K1200,0)))))</f>
        <v/>
      </c>
      <c r="S173" s="37" t="str">
        <f t="shared" si="1"/>
        <v/>
      </c>
      <c r="T173" s="39" t="str">
        <f t="shared" si="2"/>
        <v/>
      </c>
      <c r="U173" s="40" t="str">
        <f t="shared" si="3"/>
        <v/>
      </c>
      <c r="V173" s="34" t="str">
        <f t="shared" si="4"/>
        <v/>
      </c>
      <c r="W173" s="41" t="str">
        <f>IFERROR(__xludf.DUMMYFUNCTION(" IF(Account!$F173&lt;&gt;"""", SPLIT(Account!$F173, "" ""), """")"),"")</f>
        <v/>
      </c>
      <c r="X173" s="42"/>
      <c r="Y173" s="42"/>
      <c r="Z173" s="42"/>
      <c r="AA173" s="42"/>
      <c r="AB173" s="42"/>
      <c r="AC173" s="42"/>
      <c r="AD173" s="42"/>
      <c r="AE173" s="42"/>
      <c r="AF173" s="42"/>
      <c r="AG173" s="42"/>
      <c r="AH173" s="42"/>
      <c r="AI173" s="42"/>
      <c r="AJ173" s="42"/>
      <c r="AK173" s="42"/>
    </row>
    <row r="174">
      <c r="A174" s="20"/>
      <c r="B174" s="20"/>
      <c r="C174" s="20"/>
      <c r="D174" s="20"/>
      <c r="E174" s="20"/>
      <c r="F174" s="21"/>
      <c r="G174" s="20"/>
      <c r="H174" s="20"/>
      <c r="I174" s="20"/>
      <c r="J174" s="20"/>
      <c r="K174" s="20"/>
      <c r="L174" s="21"/>
      <c r="M174" s="33" t="str">
        <f>IFERROR(__xludf.DUMMYFUNCTION("IFS(W174=""Achat"",IFERROR(VALUE(X174),VALUE(REGEXREPLACE(T(X174),""[^0-9]"",""""))),W174=""Vente"",-IFERROR(VALUE(X174),VALUE(REGEXREPLACE(T(X174),""[^0-9]"",""""))),Y174=""Change"",0,Y174&lt;&gt;""Change"","""")"),"")</f>
        <v/>
      </c>
      <c r="N174" s="34" t="str">
        <f>IFERROR(__xludf.DUMMYFUNCTION("IF(Account!$F174&lt;&gt;"""", VALUE(REGEXREPLACE($I174, ""\,"", ""."")), """")"),"")</f>
        <v/>
      </c>
      <c r="O174" s="35" t="str">
        <f>IF(Account!$F174&lt;&gt;"", DATEVALUE(MID($A174,4,3) &amp; LEFT($A174,3) &amp; RIGHT($A174,4)) + TIMEVALUE($B174), "")</f>
        <v/>
      </c>
      <c r="P174" s="36" t="str">
        <f>IF(Account!$F174&lt;&gt;"", DATEVALUE(MID($C174,4,3) &amp; LEFT($C174,3) &amp; RIGHT($C174,4)), "")</f>
        <v/>
      </c>
      <c r="Q174" s="37" t="str">
        <f t="array" ref="Q174">IF($R174&lt;&gt;"",IFERROR(INDEX(ISIN!$B:$B,MATCH($R174,ISIN!$C:$C,0))),)</f>
        <v/>
      </c>
      <c r="R174" s="38" t="str">
        <f t="array" ref="R174">IF($E174&lt;&gt;"",IFERROR(INDEX(ISIN!$C:$C,MATCH($E174,ISIN!$A:$A,0)),IFERROR(INDEX($R175:$R1200,MATCH($K174,$K175:$K1200,0)))),IF(AND($Y174="change",$H174="EUR"),IF($O174=$O175,$R175,IF($O174=$O173,$R173)),IFERROR(INDEX($R175:$R1200,MATCH(SUBSTITUTE($I174,"-","",1),$K175:$K1200,0)))))</f>
        <v/>
      </c>
      <c r="S174" s="37" t="str">
        <f t="shared" si="1"/>
        <v/>
      </c>
      <c r="T174" s="39" t="str">
        <f t="shared" si="2"/>
        <v/>
      </c>
      <c r="U174" s="40" t="str">
        <f t="shared" si="3"/>
        <v/>
      </c>
      <c r="V174" s="34" t="str">
        <f t="shared" si="4"/>
        <v/>
      </c>
      <c r="W174" s="41" t="str">
        <f>IFERROR(__xludf.DUMMYFUNCTION(" IF(Account!$F174&lt;&gt;"""", SPLIT(Account!$F174, "" ""), """")"),"")</f>
        <v/>
      </c>
      <c r="X174" s="42"/>
      <c r="Y174" s="42"/>
      <c r="Z174" s="42"/>
      <c r="AA174" s="42"/>
      <c r="AB174" s="42"/>
      <c r="AC174" s="42"/>
      <c r="AD174" s="42"/>
      <c r="AE174" s="42"/>
      <c r="AF174" s="42"/>
      <c r="AG174" s="42"/>
      <c r="AH174" s="42"/>
      <c r="AI174" s="42"/>
      <c r="AJ174" s="42"/>
      <c r="AK174" s="42"/>
    </row>
    <row r="175">
      <c r="A175" s="20"/>
      <c r="B175" s="20"/>
      <c r="C175" s="20"/>
      <c r="D175" s="20"/>
      <c r="E175" s="20"/>
      <c r="F175" s="21"/>
      <c r="G175" s="20"/>
      <c r="H175" s="20"/>
      <c r="I175" s="20"/>
      <c r="J175" s="20"/>
      <c r="K175" s="20"/>
      <c r="L175" s="21"/>
      <c r="M175" s="33" t="str">
        <f>IFERROR(__xludf.DUMMYFUNCTION("IFS(W175=""Achat"",IFERROR(VALUE(X175),VALUE(REGEXREPLACE(T(X175),""[^0-9]"",""""))),W175=""Vente"",-IFERROR(VALUE(X175),VALUE(REGEXREPLACE(T(X175),""[^0-9]"",""""))),Y175=""Change"",0,Y175&lt;&gt;""Change"","""")"),"")</f>
        <v/>
      </c>
      <c r="N175" s="34" t="str">
        <f>IFERROR(__xludf.DUMMYFUNCTION("IF(Account!$F175&lt;&gt;"""", VALUE(REGEXREPLACE($I175, ""\,"", ""."")), """")"),"")</f>
        <v/>
      </c>
      <c r="O175" s="35" t="str">
        <f>IF(Account!$F175&lt;&gt;"", DATEVALUE(MID($A175,4,3) &amp; LEFT($A175,3) &amp; RIGHT($A175,4)) + TIMEVALUE($B175), "")</f>
        <v/>
      </c>
      <c r="P175" s="36" t="str">
        <f>IF(Account!$F175&lt;&gt;"", DATEVALUE(MID($C175,4,3) &amp; LEFT($C175,3) &amp; RIGHT($C175,4)), "")</f>
        <v/>
      </c>
      <c r="Q175" s="37" t="str">
        <f t="array" ref="Q175">IF($R175&lt;&gt;"",IFERROR(INDEX(ISIN!$B:$B,MATCH($R175,ISIN!$C:$C,0))),)</f>
        <v/>
      </c>
      <c r="R175" s="38" t="str">
        <f t="array" ref="R175">IF($E175&lt;&gt;"",IFERROR(INDEX(ISIN!$C:$C,MATCH($E175,ISIN!$A:$A,0)),IFERROR(INDEX($R176:$R1200,MATCH($K175,$K176:$K1200,0)))),IF(AND($Y175="change",$H175="EUR"),IF($O175=$O176,$R176,IF($O175=$O174,$R174)),IFERROR(INDEX($R176:$R1200,MATCH(SUBSTITUTE($I175,"-","",1),$K176:$K1200,0)))))</f>
        <v/>
      </c>
      <c r="S175" s="37" t="str">
        <f t="shared" si="1"/>
        <v/>
      </c>
      <c r="T175" s="39" t="str">
        <f t="shared" si="2"/>
        <v/>
      </c>
      <c r="U175" s="40" t="str">
        <f t="shared" si="3"/>
        <v/>
      </c>
      <c r="V175" s="34" t="str">
        <f t="shared" si="4"/>
        <v/>
      </c>
      <c r="W175" s="41" t="str">
        <f>IFERROR(__xludf.DUMMYFUNCTION(" IF(Account!$F175&lt;&gt;"""", SPLIT(Account!$F175, "" ""), """")"),"")</f>
        <v/>
      </c>
      <c r="X175" s="42"/>
      <c r="Y175" s="42"/>
      <c r="Z175" s="42"/>
      <c r="AA175" s="42"/>
      <c r="AB175" s="42"/>
      <c r="AC175" s="42"/>
      <c r="AD175" s="42"/>
      <c r="AE175" s="42"/>
      <c r="AF175" s="42"/>
      <c r="AG175" s="42"/>
      <c r="AH175" s="42"/>
      <c r="AI175" s="42"/>
      <c r="AJ175" s="42"/>
      <c r="AK175" s="42"/>
    </row>
    <row r="176">
      <c r="A176" s="20"/>
      <c r="B176" s="20"/>
      <c r="C176" s="20"/>
      <c r="D176" s="20"/>
      <c r="E176" s="20"/>
      <c r="F176" s="21"/>
      <c r="G176" s="20"/>
      <c r="H176" s="20"/>
      <c r="I176" s="20"/>
      <c r="J176" s="20"/>
      <c r="K176" s="20"/>
      <c r="L176" s="21"/>
      <c r="M176" s="33" t="str">
        <f>IFERROR(__xludf.DUMMYFUNCTION("IFS(W176=""Achat"",IFERROR(VALUE(X176),VALUE(REGEXREPLACE(T(X176),""[^0-9]"",""""))),W176=""Vente"",-IFERROR(VALUE(X176),VALUE(REGEXREPLACE(T(X176),""[^0-9]"",""""))),Y176=""Change"",0,Y176&lt;&gt;""Change"","""")"),"")</f>
        <v/>
      </c>
      <c r="N176" s="34" t="str">
        <f>IFERROR(__xludf.DUMMYFUNCTION("IF(Account!$F176&lt;&gt;"""", VALUE(REGEXREPLACE($I176, ""\,"", ""."")), """")"),"")</f>
        <v/>
      </c>
      <c r="O176" s="35" t="str">
        <f>IF(Account!$F176&lt;&gt;"", DATEVALUE(MID($A176,4,3) &amp; LEFT($A176,3) &amp; RIGHT($A176,4)) + TIMEVALUE($B176), "")</f>
        <v/>
      </c>
      <c r="P176" s="36" t="str">
        <f>IF(Account!$F176&lt;&gt;"", DATEVALUE(MID($C176,4,3) &amp; LEFT($C176,3) &amp; RIGHT($C176,4)), "")</f>
        <v/>
      </c>
      <c r="Q176" s="37" t="str">
        <f t="array" ref="Q176">IF($R176&lt;&gt;"",IFERROR(INDEX(ISIN!$B:$B,MATCH($R176,ISIN!$C:$C,0))),)</f>
        <v/>
      </c>
      <c r="R176" s="38" t="str">
        <f t="array" ref="R176">IF($E176&lt;&gt;"",IFERROR(INDEX(ISIN!$C:$C,MATCH($E176,ISIN!$A:$A,0)),IFERROR(INDEX($R177:$R1200,MATCH($K176,$K177:$K1200,0)))),IF(AND($Y176="change",$H176="EUR"),IF($O176=$O177,$R177,IF($O176=$O175,$R175)),IFERROR(INDEX($R177:$R1200,MATCH(SUBSTITUTE($I176,"-","",1),$K177:$K1200,0)))))</f>
        <v/>
      </c>
      <c r="S176" s="37" t="str">
        <f t="shared" si="1"/>
        <v/>
      </c>
      <c r="T176" s="39" t="str">
        <f t="shared" si="2"/>
        <v/>
      </c>
      <c r="U176" s="40" t="str">
        <f t="shared" si="3"/>
        <v/>
      </c>
      <c r="V176" s="34" t="str">
        <f t="shared" si="4"/>
        <v/>
      </c>
      <c r="W176" s="41" t="str">
        <f>IFERROR(__xludf.DUMMYFUNCTION(" IF(Account!$F176&lt;&gt;"""", SPLIT(Account!$F176, "" ""), """")"),"")</f>
        <v/>
      </c>
      <c r="X176" s="42"/>
      <c r="Y176" s="42"/>
      <c r="Z176" s="42"/>
      <c r="AA176" s="42"/>
      <c r="AB176" s="42"/>
      <c r="AC176" s="42"/>
      <c r="AD176" s="42"/>
      <c r="AE176" s="42"/>
      <c r="AF176" s="42"/>
      <c r="AG176" s="42"/>
      <c r="AH176" s="42"/>
      <c r="AI176" s="42"/>
      <c r="AJ176" s="42"/>
      <c r="AK176" s="42"/>
    </row>
    <row r="177">
      <c r="A177" s="20"/>
      <c r="B177" s="20"/>
      <c r="C177" s="20"/>
      <c r="D177" s="20"/>
      <c r="E177" s="20"/>
      <c r="F177" s="21"/>
      <c r="G177" s="45"/>
      <c r="H177" s="20"/>
      <c r="I177" s="20"/>
      <c r="J177" s="20"/>
      <c r="K177" s="20"/>
      <c r="L177" s="21"/>
      <c r="M177" s="33" t="str">
        <f>IFERROR(__xludf.DUMMYFUNCTION("IFS(W177=""Achat"",IFERROR(VALUE(X177),VALUE(REGEXREPLACE(T(X177),""[^0-9]"",""""))),W177=""Vente"",-IFERROR(VALUE(X177),VALUE(REGEXREPLACE(T(X177),""[^0-9]"",""""))),Y177=""Change"",0,Y177&lt;&gt;""Change"","""")"),"")</f>
        <v/>
      </c>
      <c r="N177" s="34" t="str">
        <f>IFERROR(__xludf.DUMMYFUNCTION("IF(Account!$F177&lt;&gt;"""", VALUE(REGEXREPLACE($I177, ""\,"", ""."")), """")"),"")</f>
        <v/>
      </c>
      <c r="O177" s="35" t="str">
        <f>IF(Account!$F177&lt;&gt;"", DATEVALUE(MID($A177,4,3) &amp; LEFT($A177,3) &amp; RIGHT($A177,4)) + TIMEVALUE($B177), "")</f>
        <v/>
      </c>
      <c r="P177" s="36" t="str">
        <f>IF(Account!$F177&lt;&gt;"", DATEVALUE(MID($C177,4,3) &amp; LEFT($C177,3) &amp; RIGHT($C177,4)), "")</f>
        <v/>
      </c>
      <c r="Q177" s="37" t="str">
        <f t="array" ref="Q177">IF($R177&lt;&gt;"",IFERROR(INDEX(ISIN!$B:$B,MATCH($R177,ISIN!$C:$C,0))),)</f>
        <v/>
      </c>
      <c r="R177" s="38" t="str">
        <f t="array" ref="R177">IF($E177&lt;&gt;"",IFERROR(INDEX(ISIN!$C:$C,MATCH($E177,ISIN!$A:$A,0)),IFERROR(INDEX($R178:$R1200,MATCH($K177,$K178:$K1200,0)))),IF(AND($Y177="change",$H177="EUR"),IF($O177=$O178,$R178,IF($O177=$O176,$R176)),IFERROR(INDEX($R178:$R1200,MATCH(SUBSTITUTE($I177,"-","",1),$K178:$K1200,0)))))</f>
        <v/>
      </c>
      <c r="S177" s="37" t="str">
        <f t="shared" si="1"/>
        <v/>
      </c>
      <c r="T177" s="39" t="str">
        <f t="shared" si="2"/>
        <v/>
      </c>
      <c r="U177" s="40" t="str">
        <f t="shared" si="3"/>
        <v/>
      </c>
      <c r="V177" s="34" t="str">
        <f t="shared" si="4"/>
        <v/>
      </c>
      <c r="W177" s="41" t="str">
        <f>IFERROR(__xludf.DUMMYFUNCTION(" IF(Account!$F177&lt;&gt;"""", SPLIT(Account!$F177, "" ""), """")"),"")</f>
        <v/>
      </c>
      <c r="X177" s="42"/>
      <c r="Y177" s="42"/>
      <c r="Z177" s="42"/>
      <c r="AA177" s="42"/>
      <c r="AB177" s="42"/>
      <c r="AC177" s="42"/>
      <c r="AD177" s="42"/>
      <c r="AE177" s="42"/>
      <c r="AF177" s="42"/>
      <c r="AG177" s="42"/>
      <c r="AH177" s="42"/>
      <c r="AI177" s="42"/>
      <c r="AJ177" s="42"/>
      <c r="AK177" s="42"/>
    </row>
    <row r="178">
      <c r="A178" s="20"/>
      <c r="B178" s="20"/>
      <c r="C178" s="20"/>
      <c r="D178" s="20"/>
      <c r="E178" s="20"/>
      <c r="F178" s="21"/>
      <c r="G178" s="20"/>
      <c r="H178" s="20"/>
      <c r="I178" s="20"/>
      <c r="J178" s="20"/>
      <c r="K178" s="20"/>
      <c r="L178" s="21"/>
      <c r="M178" s="33" t="str">
        <f>IFERROR(__xludf.DUMMYFUNCTION("IFS(W178=""Achat"",IFERROR(VALUE(X178),VALUE(REGEXREPLACE(T(X178),""[^0-9]"",""""))),W178=""Vente"",-IFERROR(VALUE(X178),VALUE(REGEXREPLACE(T(X178),""[^0-9]"",""""))),Y178=""Change"",0,Y178&lt;&gt;""Change"","""")"),"")</f>
        <v/>
      </c>
      <c r="N178" s="34" t="str">
        <f>IFERROR(__xludf.DUMMYFUNCTION("IF(Account!$F178&lt;&gt;"""", VALUE(REGEXREPLACE($I178, ""\,"", ""."")), """")"),"")</f>
        <v/>
      </c>
      <c r="O178" s="35" t="str">
        <f>IF(Account!$F178&lt;&gt;"", DATEVALUE(MID($A178,4,3) &amp; LEFT($A178,3) &amp; RIGHT($A178,4)) + TIMEVALUE($B178), "")</f>
        <v/>
      </c>
      <c r="P178" s="36" t="str">
        <f>IF(Account!$F178&lt;&gt;"", DATEVALUE(MID($C178,4,3) &amp; LEFT($C178,3) &amp; RIGHT($C178,4)), "")</f>
        <v/>
      </c>
      <c r="Q178" s="37" t="str">
        <f t="array" ref="Q178">IF($R178&lt;&gt;"",IFERROR(INDEX(ISIN!$B:$B,MATCH($R178,ISIN!$C:$C,0))),)</f>
        <v/>
      </c>
      <c r="R178" s="38" t="str">
        <f t="array" ref="R178">IF($E178&lt;&gt;"",IFERROR(INDEX(ISIN!$C:$C,MATCH($E178,ISIN!$A:$A,0)),IFERROR(INDEX($R179:$R1200,MATCH($K178,$K179:$K1200,0)))),IF(AND($Y178="change",$H178="EUR"),IF($O178=$O179,$R179,IF($O178=$O177,$R177)),IFERROR(INDEX($R179:$R1200,MATCH(SUBSTITUTE($I178,"-","",1),$K179:$K1200,0)))))</f>
        <v/>
      </c>
      <c r="S178" s="37" t="str">
        <f t="shared" si="1"/>
        <v/>
      </c>
      <c r="T178" s="39" t="str">
        <f t="shared" si="2"/>
        <v/>
      </c>
      <c r="U178" s="40" t="str">
        <f t="shared" si="3"/>
        <v/>
      </c>
      <c r="V178" s="34" t="str">
        <f t="shared" si="4"/>
        <v/>
      </c>
      <c r="W178" s="41" t="str">
        <f>IFERROR(__xludf.DUMMYFUNCTION(" IF(Account!$F178&lt;&gt;"""", SPLIT(Account!$F178, "" ""), """")"),"")</f>
        <v/>
      </c>
      <c r="X178" s="42"/>
      <c r="Y178" s="42"/>
      <c r="Z178" s="42"/>
      <c r="AA178" s="42"/>
      <c r="AB178" s="42"/>
      <c r="AC178" s="42"/>
      <c r="AD178" s="42"/>
      <c r="AE178" s="42"/>
      <c r="AF178" s="42"/>
      <c r="AG178" s="42"/>
      <c r="AH178" s="42"/>
      <c r="AI178" s="42"/>
      <c r="AJ178" s="42"/>
      <c r="AK178" s="42"/>
    </row>
    <row r="179">
      <c r="A179" s="20"/>
      <c r="B179" s="20"/>
      <c r="C179" s="20"/>
      <c r="D179" s="20"/>
      <c r="E179" s="20"/>
      <c r="F179" s="21"/>
      <c r="G179" s="20"/>
      <c r="H179" s="20"/>
      <c r="I179" s="20"/>
      <c r="J179" s="20"/>
      <c r="K179" s="20"/>
      <c r="L179" s="21"/>
      <c r="M179" s="33" t="str">
        <f>IFERROR(__xludf.DUMMYFUNCTION("IFS(W179=""Achat"",IFERROR(VALUE(X179),VALUE(REGEXREPLACE(T(X179),""[^0-9]"",""""))),W179=""Vente"",-IFERROR(VALUE(X179),VALUE(REGEXREPLACE(T(X179),""[^0-9]"",""""))),Y179=""Change"",0,Y179&lt;&gt;""Change"","""")"),"")</f>
        <v/>
      </c>
      <c r="N179" s="34" t="str">
        <f>IFERROR(__xludf.DUMMYFUNCTION("IF(Account!$F179&lt;&gt;"""", VALUE(REGEXREPLACE($I179, ""\,"", ""."")), """")"),"")</f>
        <v/>
      </c>
      <c r="O179" s="35" t="str">
        <f>IF(Account!$F179&lt;&gt;"", DATEVALUE(MID($A179,4,3) &amp; LEFT($A179,3) &amp; RIGHT($A179,4)) + TIMEVALUE($B179), "")</f>
        <v/>
      </c>
      <c r="P179" s="36" t="str">
        <f>IF(Account!$F179&lt;&gt;"", DATEVALUE(MID($C179,4,3) &amp; LEFT($C179,3) &amp; RIGHT($C179,4)), "")</f>
        <v/>
      </c>
      <c r="Q179" s="37" t="str">
        <f t="array" ref="Q179">IF($R179&lt;&gt;"",IFERROR(INDEX(ISIN!$B:$B,MATCH($R179,ISIN!$C:$C,0))),)</f>
        <v/>
      </c>
      <c r="R179" s="38" t="str">
        <f t="array" ref="R179">IF($E179&lt;&gt;"",IFERROR(INDEX(ISIN!$C:$C,MATCH($E179,ISIN!$A:$A,0)),IFERROR(INDEX($R180:$R1200,MATCH($K179,$K180:$K1200,0)))),IF(AND($Y179="change",$H179="EUR"),IF($O179=$O180,$R180,IF($O179=$O178,$R178)),IFERROR(INDEX($R180:$R1200,MATCH(SUBSTITUTE($I179,"-","",1),$K180:$K1200,0)))))</f>
        <v/>
      </c>
      <c r="S179" s="37" t="str">
        <f t="shared" si="1"/>
        <v/>
      </c>
      <c r="T179" s="39" t="str">
        <f t="shared" si="2"/>
        <v/>
      </c>
      <c r="U179" s="40" t="str">
        <f t="shared" si="3"/>
        <v/>
      </c>
      <c r="V179" s="34" t="str">
        <f t="shared" si="4"/>
        <v/>
      </c>
      <c r="W179" s="41" t="str">
        <f>IFERROR(__xludf.DUMMYFUNCTION(" IF(Account!$F179&lt;&gt;"""", SPLIT(Account!$F179, "" ""), """")"),"")</f>
        <v/>
      </c>
      <c r="X179" s="42"/>
      <c r="Y179" s="42"/>
      <c r="Z179" s="42"/>
      <c r="AA179" s="42"/>
      <c r="AB179" s="42"/>
      <c r="AC179" s="42"/>
      <c r="AD179" s="42"/>
      <c r="AE179" s="42"/>
      <c r="AF179" s="42"/>
      <c r="AG179" s="42"/>
      <c r="AH179" s="42"/>
      <c r="AI179" s="42"/>
      <c r="AJ179" s="42"/>
      <c r="AK179" s="42"/>
    </row>
    <row r="180">
      <c r="A180" s="20"/>
      <c r="B180" s="20"/>
      <c r="C180" s="20"/>
      <c r="D180" s="20"/>
      <c r="E180" s="20"/>
      <c r="F180" s="21"/>
      <c r="G180" s="20"/>
      <c r="H180" s="20"/>
      <c r="I180" s="20"/>
      <c r="J180" s="20"/>
      <c r="K180" s="20"/>
      <c r="L180" s="21"/>
      <c r="M180" s="33" t="str">
        <f>IFERROR(__xludf.DUMMYFUNCTION("IFS(W180=""Achat"",IFERROR(VALUE(X180),VALUE(REGEXREPLACE(T(X180),""[^0-9]"",""""))),W180=""Vente"",-IFERROR(VALUE(X180),VALUE(REGEXREPLACE(T(X180),""[^0-9]"",""""))),Y180=""Change"",0,Y180&lt;&gt;""Change"","""")"),"")</f>
        <v/>
      </c>
      <c r="N180" s="34" t="str">
        <f>IFERROR(__xludf.DUMMYFUNCTION("IF(Account!$F180&lt;&gt;"""", VALUE(REGEXREPLACE($I180, ""\,"", ""."")), """")"),"")</f>
        <v/>
      </c>
      <c r="O180" s="35" t="str">
        <f>IF(Account!$F180&lt;&gt;"", DATEVALUE(MID($A180,4,3) &amp; LEFT($A180,3) &amp; RIGHT($A180,4)) + TIMEVALUE($B180), "")</f>
        <v/>
      </c>
      <c r="P180" s="36" t="str">
        <f>IF(Account!$F180&lt;&gt;"", DATEVALUE(MID($C180,4,3) &amp; LEFT($C180,3) &amp; RIGHT($C180,4)), "")</f>
        <v/>
      </c>
      <c r="Q180" s="37" t="str">
        <f t="array" ref="Q180">IF($R180&lt;&gt;"",IFERROR(INDEX(ISIN!$B:$B,MATCH($R180,ISIN!$C:$C,0))),)</f>
        <v/>
      </c>
      <c r="R180" s="38" t="str">
        <f t="array" ref="R180">IF($E180&lt;&gt;"",IFERROR(INDEX(ISIN!$C:$C,MATCH($E180,ISIN!$A:$A,0)),IFERROR(INDEX($R181:$R1200,MATCH($K180,$K181:$K1200,0)))),IF(AND($Y180="change",$H180="EUR"),IF($O180=$O181,$R181,IF($O180=$O179,$R179)),IFERROR(INDEX($R181:$R1200,MATCH(SUBSTITUTE($I180,"-","",1),$K181:$K1200,0)))))</f>
        <v/>
      </c>
      <c r="S180" s="37" t="str">
        <f t="shared" si="1"/>
        <v/>
      </c>
      <c r="T180" s="39" t="str">
        <f t="shared" si="2"/>
        <v/>
      </c>
      <c r="U180" s="40" t="str">
        <f t="shared" si="3"/>
        <v/>
      </c>
      <c r="V180" s="34" t="str">
        <f t="shared" si="4"/>
        <v/>
      </c>
      <c r="W180" s="41" t="str">
        <f>IFERROR(__xludf.DUMMYFUNCTION(" IF(Account!$F180&lt;&gt;"""", SPLIT(Account!$F180, "" ""), """")"),"")</f>
        <v/>
      </c>
      <c r="X180" s="42"/>
      <c r="Y180" s="42"/>
      <c r="Z180" s="42"/>
      <c r="AA180" s="42"/>
      <c r="AB180" s="42"/>
      <c r="AC180" s="42"/>
      <c r="AD180" s="42"/>
      <c r="AE180" s="42"/>
      <c r="AF180" s="42"/>
      <c r="AG180" s="42"/>
      <c r="AH180" s="42"/>
      <c r="AI180" s="42"/>
      <c r="AJ180" s="42"/>
      <c r="AK180" s="42"/>
    </row>
    <row r="181">
      <c r="A181" s="20"/>
      <c r="B181" s="20"/>
      <c r="C181" s="20"/>
      <c r="D181" s="20"/>
      <c r="E181" s="20"/>
      <c r="F181" s="21"/>
      <c r="G181" s="20"/>
      <c r="H181" s="20"/>
      <c r="I181" s="20"/>
      <c r="J181" s="20"/>
      <c r="K181" s="20"/>
      <c r="L181" s="21"/>
      <c r="M181" s="33" t="str">
        <f>IFERROR(__xludf.DUMMYFUNCTION("IFS(W181=""Achat"",IFERROR(VALUE(X181),VALUE(REGEXREPLACE(T(X181),""[^0-9]"",""""))),W181=""Vente"",-IFERROR(VALUE(X181),VALUE(REGEXREPLACE(T(X181),""[^0-9]"",""""))),Y181=""Change"",0,Y181&lt;&gt;""Change"","""")"),"")</f>
        <v/>
      </c>
      <c r="N181" s="34" t="str">
        <f>IFERROR(__xludf.DUMMYFUNCTION("IF(Account!$F181&lt;&gt;"""", VALUE(REGEXREPLACE($I181, ""\,"", ""."")), """")"),"")</f>
        <v/>
      </c>
      <c r="O181" s="35" t="str">
        <f>IF(Account!$F181&lt;&gt;"", DATEVALUE(MID($A181,4,3) &amp; LEFT($A181,3) &amp; RIGHT($A181,4)) + TIMEVALUE($B181), "")</f>
        <v/>
      </c>
      <c r="P181" s="36" t="str">
        <f>IF(Account!$F181&lt;&gt;"", DATEVALUE(MID($C181,4,3) &amp; LEFT($C181,3) &amp; RIGHT($C181,4)), "")</f>
        <v/>
      </c>
      <c r="Q181" s="37" t="str">
        <f t="array" ref="Q181">IF($R181&lt;&gt;"",IFERROR(INDEX(ISIN!$B:$B,MATCH($R181,ISIN!$C:$C,0))),)</f>
        <v/>
      </c>
      <c r="R181" s="38" t="str">
        <f t="array" ref="R181">IF($E181&lt;&gt;"",IFERROR(INDEX(ISIN!$C:$C,MATCH($E181,ISIN!$A:$A,0)),IFERROR(INDEX($R182:$R1200,MATCH($K181,$K182:$K1200,0)))),IF(AND($Y181="change",$H181="EUR"),IF($O181=$O182,$R182,IF($O181=$O180,$R180)),IFERROR(INDEX($R182:$R1200,MATCH(SUBSTITUTE($I181,"-","",1),$K182:$K1200,0)))))</f>
        <v/>
      </c>
      <c r="S181" s="37" t="str">
        <f t="shared" si="1"/>
        <v/>
      </c>
      <c r="T181" s="39" t="str">
        <f t="shared" si="2"/>
        <v/>
      </c>
      <c r="U181" s="40" t="str">
        <f t="shared" si="3"/>
        <v/>
      </c>
      <c r="V181" s="34" t="str">
        <f t="shared" si="4"/>
        <v/>
      </c>
      <c r="W181" s="41" t="str">
        <f>IFERROR(__xludf.DUMMYFUNCTION(" IF(Account!$F181&lt;&gt;"""", SPLIT(Account!$F181, "" ""), """")"),"")</f>
        <v/>
      </c>
      <c r="X181" s="42"/>
      <c r="Y181" s="42"/>
      <c r="Z181" s="42"/>
      <c r="AA181" s="42"/>
      <c r="AB181" s="42"/>
      <c r="AC181" s="42"/>
      <c r="AD181" s="42"/>
      <c r="AE181" s="42"/>
      <c r="AF181" s="42"/>
      <c r="AG181" s="42"/>
      <c r="AH181" s="42"/>
      <c r="AI181" s="42"/>
      <c r="AJ181" s="42"/>
      <c r="AK181" s="42"/>
    </row>
    <row r="182">
      <c r="A182" s="20"/>
      <c r="B182" s="20"/>
      <c r="C182" s="20"/>
      <c r="D182" s="20"/>
      <c r="E182" s="20"/>
      <c r="F182" s="21"/>
      <c r="G182" s="20"/>
      <c r="H182" s="20"/>
      <c r="I182" s="20"/>
      <c r="J182" s="20"/>
      <c r="K182" s="20"/>
      <c r="L182" s="21"/>
      <c r="M182" s="33" t="str">
        <f>IFERROR(__xludf.DUMMYFUNCTION("IFS(W182=""Achat"",IFERROR(VALUE(X182),VALUE(REGEXREPLACE(T(X182),""[^0-9]"",""""))),W182=""Vente"",-IFERROR(VALUE(X182),VALUE(REGEXREPLACE(T(X182),""[^0-9]"",""""))),Y182=""Change"",0,Y182&lt;&gt;""Change"","""")"),"")</f>
        <v/>
      </c>
      <c r="N182" s="34" t="str">
        <f>IFERROR(__xludf.DUMMYFUNCTION("IF(Account!$F182&lt;&gt;"""", VALUE(REGEXREPLACE($I182, ""\,"", ""."")), """")"),"")</f>
        <v/>
      </c>
      <c r="O182" s="35" t="str">
        <f>IF(Account!$F182&lt;&gt;"", DATEVALUE(MID($A182,4,3) &amp; LEFT($A182,3) &amp; RIGHT($A182,4)) + TIMEVALUE($B182), "")</f>
        <v/>
      </c>
      <c r="P182" s="36" t="str">
        <f>IF(Account!$F182&lt;&gt;"", DATEVALUE(MID($C182,4,3) &amp; LEFT($C182,3) &amp; RIGHT($C182,4)), "")</f>
        <v/>
      </c>
      <c r="Q182" s="37" t="str">
        <f t="array" ref="Q182">IF($R182&lt;&gt;"",IFERROR(INDEX(ISIN!$B:$B,MATCH($R182,ISIN!$C:$C,0))),)</f>
        <v/>
      </c>
      <c r="R182" s="38" t="str">
        <f t="array" ref="R182">IF($E182&lt;&gt;"",IFERROR(INDEX(ISIN!$C:$C,MATCH($E182,ISIN!$A:$A,0)),IFERROR(INDEX($R183:$R1200,MATCH($K182,$K183:$K1200,0)))),IF(AND($Y182="change",$H182="EUR"),IF($O182=$O183,$R183,IF($O182=$O181,$R181)),IFERROR(INDEX($R183:$R1200,MATCH(SUBSTITUTE($I182,"-","",1),$K183:$K1200,0)))))</f>
        <v/>
      </c>
      <c r="S182" s="37" t="str">
        <f t="shared" si="1"/>
        <v/>
      </c>
      <c r="T182" s="39" t="str">
        <f t="shared" si="2"/>
        <v/>
      </c>
      <c r="U182" s="40" t="str">
        <f t="shared" si="3"/>
        <v/>
      </c>
      <c r="V182" s="34" t="str">
        <f t="shared" si="4"/>
        <v/>
      </c>
      <c r="W182" s="41" t="str">
        <f>IFERROR(__xludf.DUMMYFUNCTION(" IF(Account!$F182&lt;&gt;"""", SPLIT(Account!$F182, "" ""), """")"),"")</f>
        <v/>
      </c>
      <c r="X182" s="42"/>
      <c r="Y182" s="42"/>
      <c r="Z182" s="42"/>
      <c r="AA182" s="42"/>
      <c r="AB182" s="42"/>
      <c r="AC182" s="42"/>
      <c r="AD182" s="42"/>
      <c r="AE182" s="42"/>
      <c r="AF182" s="42"/>
      <c r="AG182" s="42"/>
      <c r="AH182" s="42"/>
      <c r="AI182" s="42"/>
      <c r="AJ182" s="42"/>
      <c r="AK182" s="42"/>
    </row>
    <row r="183">
      <c r="A183" s="20"/>
      <c r="B183" s="20"/>
      <c r="C183" s="20"/>
      <c r="D183" s="20"/>
      <c r="E183" s="20"/>
      <c r="F183" s="21"/>
      <c r="G183" s="20"/>
      <c r="H183" s="20"/>
      <c r="I183" s="20"/>
      <c r="J183" s="20"/>
      <c r="K183" s="20"/>
      <c r="L183" s="21"/>
      <c r="M183" s="33" t="str">
        <f>IFERROR(__xludf.DUMMYFUNCTION("IFS(W183=""Achat"",IFERROR(VALUE(X183),VALUE(REGEXREPLACE(T(X183),""[^0-9]"",""""))),W183=""Vente"",-IFERROR(VALUE(X183),VALUE(REGEXREPLACE(T(X183),""[^0-9]"",""""))),Y183=""Change"",0,Y183&lt;&gt;""Change"","""")"),"")</f>
        <v/>
      </c>
      <c r="N183" s="34" t="str">
        <f>IFERROR(__xludf.DUMMYFUNCTION("IF(Account!$F183&lt;&gt;"""", VALUE(REGEXREPLACE($I183, ""\,"", ""."")), """")"),"")</f>
        <v/>
      </c>
      <c r="O183" s="35" t="str">
        <f>IF(Account!$F183&lt;&gt;"", DATEVALUE(MID($A183,4,3) &amp; LEFT($A183,3) &amp; RIGHT($A183,4)) + TIMEVALUE($B183), "")</f>
        <v/>
      </c>
      <c r="P183" s="36" t="str">
        <f>IF(Account!$F183&lt;&gt;"", DATEVALUE(MID($C183,4,3) &amp; LEFT($C183,3) &amp; RIGHT($C183,4)), "")</f>
        <v/>
      </c>
      <c r="Q183" s="37" t="str">
        <f t="array" ref="Q183">IF($R183&lt;&gt;"",IFERROR(INDEX(ISIN!$B:$B,MATCH($R183,ISIN!$C:$C,0))),)</f>
        <v/>
      </c>
      <c r="R183" s="38" t="str">
        <f t="array" ref="R183">IF($E183&lt;&gt;"",IFERROR(INDEX(ISIN!$C:$C,MATCH($E183,ISIN!$A:$A,0)),IFERROR(INDEX($R184:$R1200,MATCH($K183,$K184:$K1200,0)))),IF(AND($Y183="change",$H183="EUR"),IF($O183=$O184,$R184,IF($O183=$O182,$R182)),IFERROR(INDEX($R184:$R1200,MATCH(SUBSTITUTE($I183,"-","",1),$K184:$K1200,0)))))</f>
        <v/>
      </c>
      <c r="S183" s="37" t="str">
        <f t="shared" si="1"/>
        <v/>
      </c>
      <c r="T183" s="39" t="str">
        <f t="shared" si="2"/>
        <v/>
      </c>
      <c r="U183" s="40" t="str">
        <f t="shared" si="3"/>
        <v/>
      </c>
      <c r="V183" s="34" t="str">
        <f t="shared" si="4"/>
        <v/>
      </c>
      <c r="W183" s="41" t="str">
        <f>IFERROR(__xludf.DUMMYFUNCTION(" IF(Account!$F183&lt;&gt;"""", SPLIT(Account!$F183, "" ""), """")"),"")</f>
        <v/>
      </c>
      <c r="X183" s="42"/>
      <c r="Y183" s="42"/>
      <c r="Z183" s="42"/>
      <c r="AA183" s="42"/>
      <c r="AB183" s="42"/>
      <c r="AC183" s="42"/>
      <c r="AD183" s="42"/>
      <c r="AE183" s="42"/>
      <c r="AF183" s="42"/>
      <c r="AG183" s="42"/>
      <c r="AH183" s="42"/>
      <c r="AI183" s="42"/>
      <c r="AJ183" s="42"/>
      <c r="AK183" s="42"/>
    </row>
    <row r="184">
      <c r="A184" s="20"/>
      <c r="B184" s="20"/>
      <c r="C184" s="20"/>
      <c r="D184" s="20"/>
      <c r="E184" s="20"/>
      <c r="F184" s="21"/>
      <c r="G184" s="20"/>
      <c r="H184" s="20"/>
      <c r="I184" s="20"/>
      <c r="J184" s="20"/>
      <c r="K184" s="20"/>
      <c r="L184" s="21"/>
      <c r="M184" s="33" t="str">
        <f>IFERROR(__xludf.DUMMYFUNCTION("IFS(W184=""Achat"",IFERROR(VALUE(X184),VALUE(REGEXREPLACE(T(X184),""[^0-9]"",""""))),W184=""Vente"",-IFERROR(VALUE(X184),VALUE(REGEXREPLACE(T(X184),""[^0-9]"",""""))),Y184=""Change"",0,Y184&lt;&gt;""Change"","""")"),"")</f>
        <v/>
      </c>
      <c r="N184" s="34" t="str">
        <f>IFERROR(__xludf.DUMMYFUNCTION("IF(Account!$F184&lt;&gt;"""", VALUE(REGEXREPLACE($I184, ""\,"", ""."")), """")"),"")</f>
        <v/>
      </c>
      <c r="O184" s="35" t="str">
        <f>IF(Account!$F184&lt;&gt;"", DATEVALUE(MID($A184,4,3) &amp; LEFT($A184,3) &amp; RIGHT($A184,4)) + TIMEVALUE($B184), "")</f>
        <v/>
      </c>
      <c r="P184" s="36" t="str">
        <f>IF(Account!$F184&lt;&gt;"", DATEVALUE(MID($C184,4,3) &amp; LEFT($C184,3) &amp; RIGHT($C184,4)), "")</f>
        <v/>
      </c>
      <c r="Q184" s="37" t="str">
        <f t="array" ref="Q184">IF($R184&lt;&gt;"",IFERROR(INDEX(ISIN!$B:$B,MATCH($R184,ISIN!$C:$C,0))),)</f>
        <v/>
      </c>
      <c r="R184" s="38" t="str">
        <f t="array" ref="R184">IF($E184&lt;&gt;"",IFERROR(INDEX(ISIN!$C:$C,MATCH($E184,ISIN!$A:$A,0)),IFERROR(INDEX($R185:$R1200,MATCH($K184,$K185:$K1200,0)))),IF(AND($Y184="change",$H184="EUR"),IF($O184=$O185,$R185,IF($O184=$O183,$R183)),IFERROR(INDEX($R185:$R1200,MATCH(SUBSTITUTE($I184,"-","",1),$K185:$K1200,0)))))</f>
        <v/>
      </c>
      <c r="S184" s="37" t="str">
        <f t="shared" si="1"/>
        <v/>
      </c>
      <c r="T184" s="39" t="str">
        <f t="shared" si="2"/>
        <v/>
      </c>
      <c r="U184" s="40" t="str">
        <f t="shared" si="3"/>
        <v/>
      </c>
      <c r="V184" s="34" t="str">
        <f t="shared" si="4"/>
        <v/>
      </c>
      <c r="W184" s="41" t="str">
        <f>IFERROR(__xludf.DUMMYFUNCTION(" IF(Account!$F184&lt;&gt;"""", SPLIT(Account!$F184, "" ""), """")"),"")</f>
        <v/>
      </c>
      <c r="X184" s="42"/>
      <c r="Y184" s="42"/>
      <c r="Z184" s="42"/>
      <c r="AA184" s="42"/>
      <c r="AB184" s="42"/>
      <c r="AC184" s="42"/>
      <c r="AD184" s="42"/>
      <c r="AE184" s="42"/>
      <c r="AF184" s="42"/>
      <c r="AG184" s="42"/>
      <c r="AH184" s="42"/>
      <c r="AI184" s="42"/>
      <c r="AJ184" s="42"/>
      <c r="AK184" s="42"/>
    </row>
    <row r="185">
      <c r="A185" s="20"/>
      <c r="B185" s="20"/>
      <c r="C185" s="20"/>
      <c r="D185" s="20"/>
      <c r="E185" s="20"/>
      <c r="F185" s="21"/>
      <c r="G185" s="20"/>
      <c r="H185" s="20"/>
      <c r="I185" s="20"/>
      <c r="J185" s="20"/>
      <c r="K185" s="20"/>
      <c r="L185" s="21"/>
      <c r="M185" s="33" t="str">
        <f>IFERROR(__xludf.DUMMYFUNCTION("IFS(W185=""Achat"",IFERROR(VALUE(X185),VALUE(REGEXREPLACE(T(X185),""[^0-9]"",""""))),W185=""Vente"",-IFERROR(VALUE(X185),VALUE(REGEXREPLACE(T(X185),""[^0-9]"",""""))),Y185=""Change"",0,Y185&lt;&gt;""Change"","""")"),"")</f>
        <v/>
      </c>
      <c r="N185" s="34" t="str">
        <f>IFERROR(__xludf.DUMMYFUNCTION("IF(Account!$F185&lt;&gt;"""", VALUE(REGEXREPLACE($I185, ""\,"", ""."")), """")"),"")</f>
        <v/>
      </c>
      <c r="O185" s="35" t="str">
        <f>IF(Account!$F185&lt;&gt;"", DATEVALUE(MID($A185,4,3) &amp; LEFT($A185,3) &amp; RIGHT($A185,4)) + TIMEVALUE($B185), "")</f>
        <v/>
      </c>
      <c r="P185" s="36" t="str">
        <f>IF(Account!$F185&lt;&gt;"", DATEVALUE(MID($C185,4,3) &amp; LEFT($C185,3) &amp; RIGHT($C185,4)), "")</f>
        <v/>
      </c>
      <c r="Q185" s="37" t="str">
        <f t="array" ref="Q185">IF($R185&lt;&gt;"",IFERROR(INDEX(ISIN!$B:$B,MATCH($R185,ISIN!$C:$C,0))),)</f>
        <v/>
      </c>
      <c r="R185" s="38" t="str">
        <f t="array" ref="R185">IF($E185&lt;&gt;"",IFERROR(INDEX(ISIN!$C:$C,MATCH($E185,ISIN!$A:$A,0)),IFERROR(INDEX($R186:$R1200,MATCH($K185,$K186:$K1200,0)))),IF(AND($Y185="change",$H185="EUR"),IF($O185=$O186,$R186,IF($O185=$O184,$R184)),IFERROR(INDEX($R186:$R1200,MATCH(SUBSTITUTE($I185,"-","",1),$K186:$K1200,0)))))</f>
        <v/>
      </c>
      <c r="S185" s="37" t="str">
        <f t="shared" si="1"/>
        <v/>
      </c>
      <c r="T185" s="39" t="str">
        <f t="shared" si="2"/>
        <v/>
      </c>
      <c r="U185" s="40" t="str">
        <f t="shared" si="3"/>
        <v/>
      </c>
      <c r="V185" s="34" t="str">
        <f t="shared" si="4"/>
        <v/>
      </c>
      <c r="W185" s="41" t="str">
        <f>IFERROR(__xludf.DUMMYFUNCTION(" IF(Account!$F185&lt;&gt;"""", SPLIT(Account!$F185, "" ""), """")"),"")</f>
        <v/>
      </c>
      <c r="X185" s="42"/>
      <c r="Y185" s="42"/>
      <c r="Z185" s="42"/>
      <c r="AA185" s="42"/>
      <c r="AB185" s="42"/>
      <c r="AC185" s="42"/>
      <c r="AD185" s="42"/>
      <c r="AE185" s="42"/>
      <c r="AF185" s="42"/>
      <c r="AG185" s="42"/>
      <c r="AH185" s="42"/>
      <c r="AI185" s="42"/>
      <c r="AJ185" s="42"/>
      <c r="AK185" s="42"/>
    </row>
    <row r="186">
      <c r="A186" s="20"/>
      <c r="B186" s="20"/>
      <c r="C186" s="20"/>
      <c r="D186" s="20"/>
      <c r="E186" s="20"/>
      <c r="F186" s="21"/>
      <c r="G186" s="20"/>
      <c r="H186" s="20"/>
      <c r="I186" s="20"/>
      <c r="J186" s="20"/>
      <c r="K186" s="20"/>
      <c r="L186" s="21"/>
      <c r="M186" s="33" t="str">
        <f>IFERROR(__xludf.DUMMYFUNCTION("IFS(W186=""Achat"",IFERROR(VALUE(X186),VALUE(REGEXREPLACE(T(X186),""[^0-9]"",""""))),W186=""Vente"",-IFERROR(VALUE(X186),VALUE(REGEXREPLACE(T(X186),""[^0-9]"",""""))),Y186=""Change"",0,Y186&lt;&gt;""Change"","""")"),"")</f>
        <v/>
      </c>
      <c r="N186" s="34" t="str">
        <f>IFERROR(__xludf.DUMMYFUNCTION("IF(Account!$F186&lt;&gt;"""", VALUE(REGEXREPLACE($I186, ""\,"", ""."")), """")"),"")</f>
        <v/>
      </c>
      <c r="O186" s="35" t="str">
        <f>IF(Account!$F186&lt;&gt;"", DATEVALUE(MID($A186,4,3) &amp; LEFT($A186,3) &amp; RIGHT($A186,4)) + TIMEVALUE($B186), "")</f>
        <v/>
      </c>
      <c r="P186" s="36" t="str">
        <f>IF(Account!$F186&lt;&gt;"", DATEVALUE(MID($C186,4,3) &amp; LEFT($C186,3) &amp; RIGHT($C186,4)), "")</f>
        <v/>
      </c>
      <c r="Q186" s="37" t="str">
        <f t="array" ref="Q186">IF($R186&lt;&gt;"",IFERROR(INDEX(ISIN!$B:$B,MATCH($R186,ISIN!$C:$C,0))),)</f>
        <v/>
      </c>
      <c r="R186" s="38" t="str">
        <f t="array" ref="R186">IF($E186&lt;&gt;"",IFERROR(INDEX(ISIN!$C:$C,MATCH($E186,ISIN!$A:$A,0)),IFERROR(INDEX($R187:$R1200,MATCH($K186,$K187:$K1200,0)))),IF(AND($Y186="change",$H186="EUR"),IF($O186=$O187,$R187,IF($O186=$O185,$R185)),IFERROR(INDEX($R187:$R1200,MATCH(SUBSTITUTE($I186,"-","",1),$K187:$K1200,0)))))</f>
        <v/>
      </c>
      <c r="S186" s="37" t="str">
        <f t="shared" si="1"/>
        <v/>
      </c>
      <c r="T186" s="39" t="str">
        <f t="shared" si="2"/>
        <v/>
      </c>
      <c r="U186" s="40" t="str">
        <f t="shared" si="3"/>
        <v/>
      </c>
      <c r="V186" s="34" t="str">
        <f t="shared" si="4"/>
        <v/>
      </c>
      <c r="W186" s="41" t="str">
        <f>IFERROR(__xludf.DUMMYFUNCTION(" IF(Account!$F186&lt;&gt;"""", SPLIT(Account!$F186, "" ""), """")"),"")</f>
        <v/>
      </c>
      <c r="X186" s="42"/>
      <c r="Y186" s="42"/>
      <c r="Z186" s="42"/>
      <c r="AA186" s="42"/>
      <c r="AB186" s="42"/>
      <c r="AC186" s="42"/>
      <c r="AD186" s="42"/>
      <c r="AE186" s="42"/>
      <c r="AF186" s="42"/>
      <c r="AG186" s="42"/>
      <c r="AH186" s="42"/>
      <c r="AI186" s="42"/>
      <c r="AJ186" s="42"/>
      <c r="AK186" s="42"/>
    </row>
    <row r="187">
      <c r="A187" s="20"/>
      <c r="B187" s="20"/>
      <c r="C187" s="20"/>
      <c r="D187" s="20"/>
      <c r="E187" s="20"/>
      <c r="F187" s="21"/>
      <c r="G187" s="20"/>
      <c r="H187" s="20"/>
      <c r="I187" s="20"/>
      <c r="J187" s="20"/>
      <c r="K187" s="20"/>
      <c r="L187" s="21"/>
      <c r="M187" s="33" t="str">
        <f>IFERROR(__xludf.DUMMYFUNCTION("IFS(W187=""Achat"",IFERROR(VALUE(X187),VALUE(REGEXREPLACE(T(X187),""[^0-9]"",""""))),W187=""Vente"",-IFERROR(VALUE(X187),VALUE(REGEXREPLACE(T(X187),""[^0-9]"",""""))),Y187=""Change"",0,Y187&lt;&gt;""Change"","""")"),"")</f>
        <v/>
      </c>
      <c r="N187" s="34" t="str">
        <f>IFERROR(__xludf.DUMMYFUNCTION("IF(Account!$F187&lt;&gt;"""", VALUE(REGEXREPLACE($I187, ""\,"", ""."")), """")"),"")</f>
        <v/>
      </c>
      <c r="O187" s="35" t="str">
        <f>IF(Account!$F187&lt;&gt;"", DATEVALUE(MID($A187,4,3) &amp; LEFT($A187,3) &amp; RIGHT($A187,4)) + TIMEVALUE($B187), "")</f>
        <v/>
      </c>
      <c r="P187" s="36" t="str">
        <f>IF(Account!$F187&lt;&gt;"", DATEVALUE(MID($C187,4,3) &amp; LEFT($C187,3) &amp; RIGHT($C187,4)), "")</f>
        <v/>
      </c>
      <c r="Q187" s="37" t="str">
        <f t="array" ref="Q187">IF($R187&lt;&gt;"",IFERROR(INDEX(ISIN!$B:$B,MATCH($R187,ISIN!$C:$C,0))),)</f>
        <v/>
      </c>
      <c r="R187" s="38" t="str">
        <f t="array" ref="R187">IF($E187&lt;&gt;"",IFERROR(INDEX(ISIN!$C:$C,MATCH($E187,ISIN!$A:$A,0)),IFERROR(INDEX($R188:$R1200,MATCH($K187,$K188:$K1200,0)))),IF(AND($Y187="change",$H187="EUR"),IF($O187=$O188,$R188,IF($O187=$O186,$R186)),IFERROR(INDEX($R188:$R1200,MATCH(SUBSTITUTE($I187,"-","",1),$K188:$K1200,0)))))</f>
        <v/>
      </c>
      <c r="S187" s="37" t="str">
        <f t="shared" si="1"/>
        <v/>
      </c>
      <c r="T187" s="39" t="str">
        <f t="shared" si="2"/>
        <v/>
      </c>
      <c r="U187" s="40" t="str">
        <f t="shared" si="3"/>
        <v/>
      </c>
      <c r="V187" s="34" t="str">
        <f t="shared" si="4"/>
        <v/>
      </c>
      <c r="W187" s="41" t="str">
        <f>IFERROR(__xludf.DUMMYFUNCTION(" IF(Account!$F187&lt;&gt;"""", SPLIT(Account!$F187, "" ""), """")"),"")</f>
        <v/>
      </c>
      <c r="X187" s="42"/>
      <c r="Y187" s="42"/>
      <c r="Z187" s="42"/>
      <c r="AA187" s="42"/>
      <c r="AB187" s="42"/>
      <c r="AC187" s="42"/>
      <c r="AD187" s="42"/>
      <c r="AE187" s="42"/>
      <c r="AF187" s="42"/>
      <c r="AG187" s="42"/>
      <c r="AH187" s="42"/>
      <c r="AI187" s="42"/>
      <c r="AJ187" s="42"/>
      <c r="AK187" s="42"/>
    </row>
    <row r="188">
      <c r="A188" s="20"/>
      <c r="B188" s="20"/>
      <c r="C188" s="20"/>
      <c r="D188" s="20"/>
      <c r="E188" s="20"/>
      <c r="F188" s="21"/>
      <c r="G188" s="20"/>
      <c r="H188" s="20"/>
      <c r="I188" s="20"/>
      <c r="J188" s="20"/>
      <c r="K188" s="20"/>
      <c r="L188" s="21"/>
      <c r="M188" s="33" t="str">
        <f>IFERROR(__xludf.DUMMYFUNCTION("IFS(W188=""Achat"",IFERROR(VALUE(X188),VALUE(REGEXREPLACE(T(X188),""[^0-9]"",""""))),W188=""Vente"",-IFERROR(VALUE(X188),VALUE(REGEXREPLACE(T(X188),""[^0-9]"",""""))),Y188=""Change"",0,Y188&lt;&gt;""Change"","""")"),"")</f>
        <v/>
      </c>
      <c r="N188" s="34" t="str">
        <f>IFERROR(__xludf.DUMMYFUNCTION("IF(Account!$F188&lt;&gt;"""", VALUE(REGEXREPLACE($I188, ""\,"", ""."")), """")"),"")</f>
        <v/>
      </c>
      <c r="O188" s="35" t="str">
        <f>IF(Account!$F188&lt;&gt;"", DATEVALUE(MID($A188,4,3) &amp; LEFT($A188,3) &amp; RIGHT($A188,4)) + TIMEVALUE($B188), "")</f>
        <v/>
      </c>
      <c r="P188" s="36" t="str">
        <f>IF(Account!$F188&lt;&gt;"", DATEVALUE(MID($C188,4,3) &amp; LEFT($C188,3) &amp; RIGHT($C188,4)), "")</f>
        <v/>
      </c>
      <c r="Q188" s="37" t="str">
        <f t="array" ref="Q188">IF($R188&lt;&gt;"",IFERROR(INDEX(ISIN!$B:$B,MATCH($R188,ISIN!$C:$C,0))),)</f>
        <v/>
      </c>
      <c r="R188" s="38" t="str">
        <f t="array" ref="R188">IF($E188&lt;&gt;"",IFERROR(INDEX(ISIN!$C:$C,MATCH($E188,ISIN!$A:$A,0)),IFERROR(INDEX($R189:$R1200,MATCH($K188,$K189:$K1200,0)))),IF(AND($Y188="change",$H188="EUR"),IF($O188=$O189,$R189,IF($O188=$O187,$R187)),IFERROR(INDEX($R189:$R1200,MATCH(SUBSTITUTE($I188,"-","",1),$K189:$K1200,0)))))</f>
        <v/>
      </c>
      <c r="S188" s="37" t="str">
        <f t="shared" si="1"/>
        <v/>
      </c>
      <c r="T188" s="39" t="str">
        <f t="shared" si="2"/>
        <v/>
      </c>
      <c r="U188" s="40" t="str">
        <f t="shared" si="3"/>
        <v/>
      </c>
      <c r="V188" s="34" t="str">
        <f t="shared" si="4"/>
        <v/>
      </c>
      <c r="W188" s="41" t="str">
        <f>IFERROR(__xludf.DUMMYFUNCTION(" IF(Account!$F188&lt;&gt;"""", SPLIT(Account!$F188, "" ""), """")"),"")</f>
        <v/>
      </c>
      <c r="X188" s="42"/>
      <c r="Y188" s="42"/>
      <c r="Z188" s="42"/>
      <c r="AA188" s="42"/>
      <c r="AB188" s="42"/>
      <c r="AC188" s="42"/>
      <c r="AD188" s="42"/>
      <c r="AE188" s="42"/>
      <c r="AF188" s="42"/>
      <c r="AG188" s="42"/>
      <c r="AH188" s="42"/>
      <c r="AI188" s="42"/>
      <c r="AJ188" s="42"/>
      <c r="AK188" s="42"/>
    </row>
    <row r="189">
      <c r="A189" s="20"/>
      <c r="B189" s="20"/>
      <c r="C189" s="20"/>
      <c r="D189" s="20"/>
      <c r="E189" s="20"/>
      <c r="F189" s="21"/>
      <c r="G189" s="20"/>
      <c r="H189" s="20"/>
      <c r="I189" s="20"/>
      <c r="J189" s="20"/>
      <c r="K189" s="20"/>
      <c r="L189" s="21"/>
      <c r="M189" s="33" t="str">
        <f>IFERROR(__xludf.DUMMYFUNCTION("IFS(W189=""Achat"",IFERROR(VALUE(X189),VALUE(REGEXREPLACE(T(X189),""[^0-9]"",""""))),W189=""Vente"",-IFERROR(VALUE(X189),VALUE(REGEXREPLACE(T(X189),""[^0-9]"",""""))),Y189=""Change"",0,Y189&lt;&gt;""Change"","""")"),"")</f>
        <v/>
      </c>
      <c r="N189" s="34" t="str">
        <f>IFERROR(__xludf.DUMMYFUNCTION("IF(Account!$F189&lt;&gt;"""", VALUE(REGEXREPLACE($I189, ""\,"", ""."")), """")"),"")</f>
        <v/>
      </c>
      <c r="O189" s="35" t="str">
        <f>IF(Account!$F189&lt;&gt;"", DATEVALUE(MID($A189,4,3) &amp; LEFT($A189,3) &amp; RIGHT($A189,4)) + TIMEVALUE($B189), "")</f>
        <v/>
      </c>
      <c r="P189" s="36" t="str">
        <f>IF(Account!$F189&lt;&gt;"", DATEVALUE(MID($C189,4,3) &amp; LEFT($C189,3) &amp; RIGHT($C189,4)), "")</f>
        <v/>
      </c>
      <c r="Q189" s="37" t="str">
        <f t="array" ref="Q189">IF($R189&lt;&gt;"",IFERROR(INDEX(ISIN!$B:$B,MATCH($R189,ISIN!$C:$C,0))),)</f>
        <v/>
      </c>
      <c r="R189" s="38" t="str">
        <f t="array" ref="R189">IF($E189&lt;&gt;"",IFERROR(INDEX(ISIN!$C:$C,MATCH($E189,ISIN!$A:$A,0)),IFERROR(INDEX($R190:$R1200,MATCH($K189,$K190:$K1200,0)))),IF(AND($Y189="change",$H189="EUR"),IF($O189=$O190,$R190,IF($O189=$O188,$R188)),IFERROR(INDEX($R190:$R1200,MATCH(SUBSTITUTE($I189,"-","",1),$K190:$K1200,0)))))</f>
        <v/>
      </c>
      <c r="S189" s="37" t="str">
        <f t="shared" si="1"/>
        <v/>
      </c>
      <c r="T189" s="39" t="str">
        <f t="shared" si="2"/>
        <v/>
      </c>
      <c r="U189" s="40" t="str">
        <f t="shared" si="3"/>
        <v/>
      </c>
      <c r="V189" s="34" t="str">
        <f t="shared" si="4"/>
        <v/>
      </c>
      <c r="W189" s="41" t="str">
        <f>IFERROR(__xludf.DUMMYFUNCTION(" IF(Account!$F189&lt;&gt;"""", SPLIT(Account!$F189, "" ""), """")"),"")</f>
        <v/>
      </c>
      <c r="X189" s="42"/>
      <c r="Y189" s="42"/>
      <c r="Z189" s="42"/>
      <c r="AA189" s="42"/>
      <c r="AB189" s="42"/>
      <c r="AC189" s="42"/>
      <c r="AD189" s="42"/>
      <c r="AE189" s="42"/>
      <c r="AF189" s="42"/>
      <c r="AG189" s="42"/>
      <c r="AH189" s="42"/>
      <c r="AI189" s="42"/>
      <c r="AJ189" s="42"/>
      <c r="AK189" s="42"/>
    </row>
    <row r="190">
      <c r="A190" s="20"/>
      <c r="B190" s="20"/>
      <c r="C190" s="20"/>
      <c r="D190" s="20"/>
      <c r="E190" s="20"/>
      <c r="F190" s="21"/>
      <c r="G190" s="20"/>
      <c r="H190" s="20"/>
      <c r="I190" s="20"/>
      <c r="J190" s="20"/>
      <c r="K190" s="20"/>
      <c r="L190" s="21"/>
      <c r="M190" s="33" t="str">
        <f>IFERROR(__xludf.DUMMYFUNCTION("IFS(W190=""Achat"",IFERROR(VALUE(X190),VALUE(REGEXREPLACE(T(X190),""[^0-9]"",""""))),W190=""Vente"",-IFERROR(VALUE(X190),VALUE(REGEXREPLACE(T(X190),""[^0-9]"",""""))),Y190=""Change"",0,Y190&lt;&gt;""Change"","""")"),"")</f>
        <v/>
      </c>
      <c r="N190" s="34" t="str">
        <f>IFERROR(__xludf.DUMMYFUNCTION("IF(Account!$F190&lt;&gt;"""", VALUE(REGEXREPLACE($I190, ""\,"", ""."")), """")"),"")</f>
        <v/>
      </c>
      <c r="O190" s="35" t="str">
        <f>IF(Account!$F190&lt;&gt;"", DATEVALUE(MID($A190,4,3) &amp; LEFT($A190,3) &amp; RIGHT($A190,4)) + TIMEVALUE($B190), "")</f>
        <v/>
      </c>
      <c r="P190" s="36" t="str">
        <f>IF(Account!$F190&lt;&gt;"", DATEVALUE(MID($C190,4,3) &amp; LEFT($C190,3) &amp; RIGHT($C190,4)), "")</f>
        <v/>
      </c>
      <c r="Q190" s="37" t="str">
        <f t="array" ref="Q190">IF($R190&lt;&gt;"",IFERROR(INDEX(ISIN!$B:$B,MATCH($R190,ISIN!$C:$C,0))),)</f>
        <v/>
      </c>
      <c r="R190" s="38" t="str">
        <f t="array" ref="R190">IF($E190&lt;&gt;"",IFERROR(INDEX(ISIN!$C:$C,MATCH($E190,ISIN!$A:$A,0)),IFERROR(INDEX($R191:$R1200,MATCH($K190,$K191:$K1200,0)))),IF(AND($Y190="change",$H190="EUR"),IF($O190=$O191,$R191,IF($O190=$O189,$R189)),IFERROR(INDEX($R191:$R1200,MATCH(SUBSTITUTE($I190,"-","",1),$K191:$K1200,0)))))</f>
        <v/>
      </c>
      <c r="S190" s="37" t="str">
        <f t="shared" si="1"/>
        <v/>
      </c>
      <c r="T190" s="39" t="str">
        <f t="shared" si="2"/>
        <v/>
      </c>
      <c r="U190" s="40" t="str">
        <f t="shared" si="3"/>
        <v/>
      </c>
      <c r="V190" s="34" t="str">
        <f t="shared" si="4"/>
        <v/>
      </c>
      <c r="W190" s="41" t="str">
        <f>IFERROR(__xludf.DUMMYFUNCTION(" IF(Account!$F190&lt;&gt;"""", SPLIT(Account!$F190, "" ""), """")"),"")</f>
        <v/>
      </c>
      <c r="X190" s="42"/>
      <c r="Y190" s="42"/>
      <c r="Z190" s="42"/>
      <c r="AA190" s="42"/>
      <c r="AB190" s="42"/>
      <c r="AC190" s="42"/>
      <c r="AD190" s="42"/>
      <c r="AE190" s="42"/>
      <c r="AF190" s="42"/>
      <c r="AG190" s="42"/>
      <c r="AH190" s="42"/>
      <c r="AI190" s="42"/>
      <c r="AJ190" s="42"/>
      <c r="AK190" s="42"/>
    </row>
    <row r="191">
      <c r="A191" s="20"/>
      <c r="B191" s="20"/>
      <c r="C191" s="20"/>
      <c r="D191" s="20"/>
      <c r="E191" s="20"/>
      <c r="F191" s="21"/>
      <c r="G191" s="20"/>
      <c r="H191" s="20"/>
      <c r="I191" s="20"/>
      <c r="J191" s="20"/>
      <c r="K191" s="20"/>
      <c r="L191" s="21"/>
      <c r="M191" s="33" t="str">
        <f>IFERROR(__xludf.DUMMYFUNCTION("IFS(W191=""Achat"",IFERROR(VALUE(X191),VALUE(REGEXREPLACE(T(X191),""[^0-9]"",""""))),W191=""Vente"",-IFERROR(VALUE(X191),VALUE(REGEXREPLACE(T(X191),""[^0-9]"",""""))),Y191=""Change"",0,Y191&lt;&gt;""Change"","""")"),"")</f>
        <v/>
      </c>
      <c r="N191" s="34" t="str">
        <f>IFERROR(__xludf.DUMMYFUNCTION("IF(Account!$F191&lt;&gt;"""", VALUE(REGEXREPLACE($I191, ""\,"", ""."")), """")"),"")</f>
        <v/>
      </c>
      <c r="O191" s="35" t="str">
        <f>IF(Account!$F191&lt;&gt;"", DATEVALUE(MID($A191,4,3) &amp; LEFT($A191,3) &amp; RIGHT($A191,4)) + TIMEVALUE($B191), "")</f>
        <v/>
      </c>
      <c r="P191" s="36" t="str">
        <f>IF(Account!$F191&lt;&gt;"", DATEVALUE(MID($C191,4,3) &amp; LEFT($C191,3) &amp; RIGHT($C191,4)), "")</f>
        <v/>
      </c>
      <c r="Q191" s="37" t="str">
        <f t="array" ref="Q191">IF($R191&lt;&gt;"",IFERROR(INDEX(ISIN!$B:$B,MATCH($R191,ISIN!$C:$C,0))),)</f>
        <v/>
      </c>
      <c r="R191" s="38" t="str">
        <f t="array" ref="R191">IF($E191&lt;&gt;"",IFERROR(INDEX(ISIN!$C:$C,MATCH($E191,ISIN!$A:$A,0)),IFERROR(INDEX($R192:$R1200,MATCH($K191,$K192:$K1200,0)))),IF(AND($Y191="change",$H191="EUR"),IF($O191=$O192,$R192,IF($O191=$O190,$R190)),IFERROR(INDEX($R192:$R1200,MATCH(SUBSTITUTE($I191,"-","",1),$K192:$K1200,0)))))</f>
        <v/>
      </c>
      <c r="S191" s="37" t="str">
        <f t="shared" si="1"/>
        <v/>
      </c>
      <c r="T191" s="39" t="str">
        <f t="shared" si="2"/>
        <v/>
      </c>
      <c r="U191" s="40" t="str">
        <f t="shared" si="3"/>
        <v/>
      </c>
      <c r="V191" s="34" t="str">
        <f t="shared" si="4"/>
        <v/>
      </c>
      <c r="W191" s="41" t="str">
        <f>IFERROR(__xludf.DUMMYFUNCTION(" IF(Account!$F191&lt;&gt;"""", SPLIT(Account!$F191, "" ""), """")"),"")</f>
        <v/>
      </c>
      <c r="X191" s="42"/>
      <c r="Y191" s="42"/>
      <c r="Z191" s="42"/>
      <c r="AA191" s="42"/>
      <c r="AB191" s="42"/>
      <c r="AC191" s="42"/>
      <c r="AD191" s="42"/>
      <c r="AE191" s="42"/>
      <c r="AF191" s="42"/>
      <c r="AG191" s="42"/>
      <c r="AH191" s="42"/>
      <c r="AI191" s="42"/>
      <c r="AJ191" s="42"/>
      <c r="AK191" s="42"/>
    </row>
    <row r="192">
      <c r="A192" s="20"/>
      <c r="B192" s="20"/>
      <c r="C192" s="20"/>
      <c r="D192" s="20"/>
      <c r="E192" s="20"/>
      <c r="F192" s="21"/>
      <c r="G192" s="45"/>
      <c r="H192" s="20"/>
      <c r="I192" s="20"/>
      <c r="J192" s="20"/>
      <c r="K192" s="20"/>
      <c r="L192" s="21"/>
      <c r="M192" s="33" t="str">
        <f>IFERROR(__xludf.DUMMYFUNCTION("IFS(W192=""Achat"",IFERROR(VALUE(X192),VALUE(REGEXREPLACE(T(X192),""[^0-9]"",""""))),W192=""Vente"",-IFERROR(VALUE(X192),VALUE(REGEXREPLACE(T(X192),""[^0-9]"",""""))),Y192=""Change"",0,Y192&lt;&gt;""Change"","""")"),"")</f>
        <v/>
      </c>
      <c r="N192" s="34" t="str">
        <f>IFERROR(__xludf.DUMMYFUNCTION("IF(Account!$F192&lt;&gt;"""", VALUE(REGEXREPLACE($I192, ""\,"", ""."")), """")"),"")</f>
        <v/>
      </c>
      <c r="O192" s="35" t="str">
        <f>IF(Account!$F192&lt;&gt;"", DATEVALUE(MID($A192,4,3) &amp; LEFT($A192,3) &amp; RIGHT($A192,4)) + TIMEVALUE($B192), "")</f>
        <v/>
      </c>
      <c r="P192" s="36" t="str">
        <f>IF(Account!$F192&lt;&gt;"", DATEVALUE(MID($C192,4,3) &amp; LEFT($C192,3) &amp; RIGHT($C192,4)), "")</f>
        <v/>
      </c>
      <c r="Q192" s="37" t="str">
        <f t="array" ref="Q192">IF($R192&lt;&gt;"",IFERROR(INDEX(ISIN!$B:$B,MATCH($R192,ISIN!$C:$C,0))),)</f>
        <v/>
      </c>
      <c r="R192" s="38" t="str">
        <f t="array" ref="R192">IF($E192&lt;&gt;"",IFERROR(INDEX(ISIN!$C:$C,MATCH($E192,ISIN!$A:$A,0)),IFERROR(INDEX($R193:$R1200,MATCH($K192,$K193:$K1200,0)))),IF(AND($Y192="change",$H192="EUR"),IF($O192=$O193,$R193,IF($O192=$O191,$R191)),IFERROR(INDEX($R193:$R1200,MATCH(SUBSTITUTE($I192,"-","",1),$K193:$K1200,0)))))</f>
        <v/>
      </c>
      <c r="S192" s="37" t="str">
        <f t="shared" si="1"/>
        <v/>
      </c>
      <c r="T192" s="39" t="str">
        <f t="shared" si="2"/>
        <v/>
      </c>
      <c r="U192" s="40" t="str">
        <f t="shared" si="3"/>
        <v/>
      </c>
      <c r="V192" s="34" t="str">
        <f t="shared" si="4"/>
        <v/>
      </c>
      <c r="W192" s="41" t="str">
        <f>IFERROR(__xludf.DUMMYFUNCTION(" IF(Account!$F192&lt;&gt;"""", SPLIT(Account!$F192, "" ""), """")"),"")</f>
        <v/>
      </c>
      <c r="X192" s="42"/>
      <c r="Y192" s="42"/>
      <c r="Z192" s="42"/>
      <c r="AA192" s="42"/>
      <c r="AB192" s="42"/>
      <c r="AC192" s="42"/>
      <c r="AD192" s="42"/>
      <c r="AE192" s="42"/>
      <c r="AF192" s="42"/>
      <c r="AG192" s="42"/>
      <c r="AH192" s="42"/>
      <c r="AI192" s="42"/>
      <c r="AJ192" s="42"/>
      <c r="AK192" s="42"/>
    </row>
    <row r="193">
      <c r="A193" s="20"/>
      <c r="B193" s="20"/>
      <c r="C193" s="20"/>
      <c r="D193" s="20"/>
      <c r="E193" s="20"/>
      <c r="F193" s="21"/>
      <c r="G193" s="20"/>
      <c r="H193" s="20"/>
      <c r="I193" s="20"/>
      <c r="J193" s="20"/>
      <c r="K193" s="20"/>
      <c r="L193" s="21"/>
      <c r="M193" s="33" t="str">
        <f>IFERROR(__xludf.DUMMYFUNCTION("IFS(W193=""Achat"",IFERROR(VALUE(X193),VALUE(REGEXREPLACE(T(X193),""[^0-9]"",""""))),W193=""Vente"",-IFERROR(VALUE(X193),VALUE(REGEXREPLACE(T(X193),""[^0-9]"",""""))),Y193=""Change"",0,Y193&lt;&gt;""Change"","""")"),"")</f>
        <v/>
      </c>
      <c r="N193" s="34" t="str">
        <f>IFERROR(__xludf.DUMMYFUNCTION("IF(Account!$F193&lt;&gt;"""", VALUE(REGEXREPLACE($I193, ""\,"", ""."")), """")"),"")</f>
        <v/>
      </c>
      <c r="O193" s="35" t="str">
        <f>IF(Account!$F193&lt;&gt;"", DATEVALUE(MID($A193,4,3) &amp; LEFT($A193,3) &amp; RIGHT($A193,4)) + TIMEVALUE($B193), "")</f>
        <v/>
      </c>
      <c r="P193" s="36" t="str">
        <f>IF(Account!$F193&lt;&gt;"", DATEVALUE(MID($C193,4,3) &amp; LEFT($C193,3) &amp; RIGHT($C193,4)), "")</f>
        <v/>
      </c>
      <c r="Q193" s="37" t="str">
        <f t="array" ref="Q193">IF($R193&lt;&gt;"",IFERROR(INDEX(ISIN!$B:$B,MATCH($R193,ISIN!$C:$C,0))),)</f>
        <v/>
      </c>
      <c r="R193" s="38" t="str">
        <f t="array" ref="R193">IF($E193&lt;&gt;"",IFERROR(INDEX(ISIN!$C:$C,MATCH($E193,ISIN!$A:$A,0)),IFERROR(INDEX($R194:$R1200,MATCH($K193,$K194:$K1200,0)))),IF(AND($Y193="change",$H193="EUR"),IF($O193=$O194,$R194,IF($O193=$O192,$R192)),IFERROR(INDEX($R194:$R1200,MATCH(SUBSTITUTE($I193,"-","",1),$K194:$K1200,0)))))</f>
        <v/>
      </c>
      <c r="S193" s="37" t="str">
        <f t="shared" si="1"/>
        <v/>
      </c>
      <c r="T193" s="39" t="str">
        <f t="shared" si="2"/>
        <v/>
      </c>
      <c r="U193" s="40" t="str">
        <f t="shared" si="3"/>
        <v/>
      </c>
      <c r="V193" s="34" t="str">
        <f t="shared" si="4"/>
        <v/>
      </c>
      <c r="W193" s="41" t="str">
        <f>IFERROR(__xludf.DUMMYFUNCTION(" IF(Account!$F193&lt;&gt;"""", SPLIT(Account!$F193, "" ""), """")"),"")</f>
        <v/>
      </c>
      <c r="X193" s="42"/>
      <c r="Y193" s="42"/>
      <c r="Z193" s="42"/>
      <c r="AA193" s="42"/>
      <c r="AB193" s="42"/>
      <c r="AC193" s="42"/>
      <c r="AD193" s="42"/>
      <c r="AE193" s="42"/>
      <c r="AF193" s="42"/>
      <c r="AG193" s="42"/>
      <c r="AH193" s="42"/>
      <c r="AI193" s="42"/>
      <c r="AJ193" s="42"/>
      <c r="AK193" s="42"/>
    </row>
    <row r="194">
      <c r="A194" s="20"/>
      <c r="B194" s="20"/>
      <c r="C194" s="20"/>
      <c r="D194" s="20"/>
      <c r="E194" s="20"/>
      <c r="F194" s="21"/>
      <c r="G194" s="45"/>
      <c r="H194" s="20"/>
      <c r="I194" s="20"/>
      <c r="J194" s="20"/>
      <c r="K194" s="20"/>
      <c r="L194" s="21"/>
      <c r="M194" s="33" t="str">
        <f>IFERROR(__xludf.DUMMYFUNCTION("IFS(W194=""Achat"",IFERROR(VALUE(X194),VALUE(REGEXREPLACE(T(X194),""[^0-9]"",""""))),W194=""Vente"",-IFERROR(VALUE(X194),VALUE(REGEXREPLACE(T(X194),""[^0-9]"",""""))),Y194=""Change"",0,Y194&lt;&gt;""Change"","""")"),"")</f>
        <v/>
      </c>
      <c r="N194" s="34" t="str">
        <f>IFERROR(__xludf.DUMMYFUNCTION("IF(Account!$F194&lt;&gt;"""", VALUE(REGEXREPLACE($I194, ""\,"", ""."")), """")"),"")</f>
        <v/>
      </c>
      <c r="O194" s="35" t="str">
        <f>IF(Account!$F194&lt;&gt;"", DATEVALUE(MID($A194,4,3) &amp; LEFT($A194,3) &amp; RIGHT($A194,4)) + TIMEVALUE($B194), "")</f>
        <v/>
      </c>
      <c r="P194" s="36" t="str">
        <f>IF(Account!$F194&lt;&gt;"", DATEVALUE(MID($C194,4,3) &amp; LEFT($C194,3) &amp; RIGHT($C194,4)), "")</f>
        <v/>
      </c>
      <c r="Q194" s="37" t="str">
        <f t="array" ref="Q194">IF($R194&lt;&gt;"",IFERROR(INDEX(ISIN!$B:$B,MATCH($R194,ISIN!$C:$C,0))),)</f>
        <v/>
      </c>
      <c r="R194" s="38" t="str">
        <f t="array" ref="R194">IF($E194&lt;&gt;"",IFERROR(INDEX(ISIN!$C:$C,MATCH($E194,ISIN!$A:$A,0)),IFERROR(INDEX($R195:$R1200,MATCH($K194,$K195:$K1200,0)))),IF(AND($Y194="change",$H194="EUR"),IF($O194=$O195,$R195,IF($O194=$O193,$R193)),IFERROR(INDEX($R195:$R1200,MATCH(SUBSTITUTE($I194,"-","",1),$K195:$K1200,0)))))</f>
        <v/>
      </c>
      <c r="S194" s="37" t="str">
        <f t="shared" si="1"/>
        <v/>
      </c>
      <c r="T194" s="39" t="str">
        <f t="shared" si="2"/>
        <v/>
      </c>
      <c r="U194" s="40" t="str">
        <f t="shared" si="3"/>
        <v/>
      </c>
      <c r="V194" s="34" t="str">
        <f t="shared" si="4"/>
        <v/>
      </c>
      <c r="W194" s="41" t="str">
        <f>IFERROR(__xludf.DUMMYFUNCTION(" IF(Account!$F194&lt;&gt;"""", SPLIT(Account!$F194, "" ""), """")"),"")</f>
        <v/>
      </c>
      <c r="X194" s="42"/>
      <c r="Y194" s="42"/>
      <c r="Z194" s="42"/>
      <c r="AA194" s="42"/>
      <c r="AB194" s="42"/>
      <c r="AC194" s="42"/>
      <c r="AD194" s="42"/>
      <c r="AE194" s="42"/>
      <c r="AF194" s="42"/>
      <c r="AG194" s="42"/>
      <c r="AH194" s="42"/>
      <c r="AI194" s="42"/>
      <c r="AJ194" s="42"/>
      <c r="AK194" s="42"/>
    </row>
    <row r="195">
      <c r="A195" s="20"/>
      <c r="B195" s="20"/>
      <c r="C195" s="20"/>
      <c r="D195" s="20"/>
      <c r="E195" s="20"/>
      <c r="F195" s="21"/>
      <c r="G195" s="20"/>
      <c r="H195" s="20"/>
      <c r="I195" s="20"/>
      <c r="J195" s="20"/>
      <c r="K195" s="20"/>
      <c r="L195" s="21"/>
      <c r="M195" s="33" t="str">
        <f>IFERROR(__xludf.DUMMYFUNCTION("IFS(W195=""Achat"",IFERROR(VALUE(X195),VALUE(REGEXREPLACE(T(X195),""[^0-9]"",""""))),W195=""Vente"",-IFERROR(VALUE(X195),VALUE(REGEXREPLACE(T(X195),""[^0-9]"",""""))),Y195=""Change"",0,Y195&lt;&gt;""Change"","""")"),"")</f>
        <v/>
      </c>
      <c r="N195" s="34" t="str">
        <f>IFERROR(__xludf.DUMMYFUNCTION("IF(Account!$F195&lt;&gt;"""", VALUE(REGEXREPLACE($I195, ""\,"", ""."")), """")"),"")</f>
        <v/>
      </c>
      <c r="O195" s="35" t="str">
        <f>IF(Account!$F195&lt;&gt;"", DATEVALUE(MID($A195,4,3) &amp; LEFT($A195,3) &amp; RIGHT($A195,4)) + TIMEVALUE($B195), "")</f>
        <v/>
      </c>
      <c r="P195" s="36" t="str">
        <f>IF(Account!$F195&lt;&gt;"", DATEVALUE(MID($C195,4,3) &amp; LEFT($C195,3) &amp; RIGHT($C195,4)), "")</f>
        <v/>
      </c>
      <c r="Q195" s="37" t="str">
        <f t="array" ref="Q195">IF($R195&lt;&gt;"",IFERROR(INDEX(ISIN!$B:$B,MATCH($R195,ISIN!$C:$C,0))),)</f>
        <v/>
      </c>
      <c r="R195" s="38" t="str">
        <f t="array" ref="R195">IF($E195&lt;&gt;"",IFERROR(INDEX(ISIN!$C:$C,MATCH($E195,ISIN!$A:$A,0)),IFERROR(INDEX($R196:$R1200,MATCH($K195,$K196:$K1200,0)))),IF(AND($Y195="change",$H195="EUR"),IF($O195=$O196,$R196,IF($O195=$O194,$R194)),IFERROR(INDEX($R196:$R1200,MATCH(SUBSTITUTE($I195,"-","",1),$K196:$K1200,0)))))</f>
        <v/>
      </c>
      <c r="S195" s="37" t="str">
        <f t="shared" si="1"/>
        <v/>
      </c>
      <c r="T195" s="39" t="str">
        <f t="shared" si="2"/>
        <v/>
      </c>
      <c r="U195" s="40" t="str">
        <f t="shared" si="3"/>
        <v/>
      </c>
      <c r="V195" s="34" t="str">
        <f t="shared" si="4"/>
        <v/>
      </c>
      <c r="W195" s="41" t="str">
        <f>IFERROR(__xludf.DUMMYFUNCTION(" IF(Account!$F195&lt;&gt;"""", SPLIT(Account!$F195, "" ""), """")"),"")</f>
        <v/>
      </c>
      <c r="X195" s="42"/>
      <c r="Y195" s="42"/>
      <c r="Z195" s="42"/>
      <c r="AA195" s="42"/>
      <c r="AB195" s="42"/>
      <c r="AC195" s="42"/>
      <c r="AD195" s="42"/>
      <c r="AE195" s="42"/>
      <c r="AF195" s="42"/>
      <c r="AG195" s="42"/>
      <c r="AH195" s="42"/>
      <c r="AI195" s="42"/>
      <c r="AJ195" s="42"/>
      <c r="AK195" s="42"/>
    </row>
    <row r="196">
      <c r="A196" s="20"/>
      <c r="B196" s="20"/>
      <c r="C196" s="20"/>
      <c r="D196" s="20"/>
      <c r="E196" s="20"/>
      <c r="F196" s="21"/>
      <c r="G196" s="45"/>
      <c r="H196" s="20"/>
      <c r="I196" s="20"/>
      <c r="J196" s="20"/>
      <c r="K196" s="20"/>
      <c r="L196" s="21"/>
      <c r="M196" s="33" t="str">
        <f>IFERROR(__xludf.DUMMYFUNCTION("IFS(W196=""Achat"",IFERROR(VALUE(X196),VALUE(REGEXREPLACE(T(X196),""[^0-9]"",""""))),W196=""Vente"",-IFERROR(VALUE(X196),VALUE(REGEXREPLACE(T(X196),""[^0-9]"",""""))),Y196=""Change"",0,Y196&lt;&gt;""Change"","""")"),"")</f>
        <v/>
      </c>
      <c r="N196" s="34" t="str">
        <f>IFERROR(__xludf.DUMMYFUNCTION("IF(Account!$F196&lt;&gt;"""", VALUE(REGEXREPLACE($I196, ""\,"", ""."")), """")"),"")</f>
        <v/>
      </c>
      <c r="O196" s="35" t="str">
        <f>IF(Account!$F196&lt;&gt;"", DATEVALUE(MID($A196,4,3) &amp; LEFT($A196,3) &amp; RIGHT($A196,4)) + TIMEVALUE($B196), "")</f>
        <v/>
      </c>
      <c r="P196" s="36" t="str">
        <f>IF(Account!$F196&lt;&gt;"", DATEVALUE(MID($C196,4,3) &amp; LEFT($C196,3) &amp; RIGHT($C196,4)), "")</f>
        <v/>
      </c>
      <c r="Q196" s="37" t="str">
        <f t="array" ref="Q196">IF($R196&lt;&gt;"",IFERROR(INDEX(ISIN!$B:$B,MATCH($R196,ISIN!$C:$C,0))),)</f>
        <v/>
      </c>
      <c r="R196" s="38" t="str">
        <f t="array" ref="R196">IF($E196&lt;&gt;"",IFERROR(INDEX(ISIN!$C:$C,MATCH($E196,ISIN!$A:$A,0)),IFERROR(INDEX($R197:$R1200,MATCH($K196,$K197:$K1200,0)))),IF(AND($Y196="change",$H196="EUR"),IF($O196=$O197,$R197,IF($O196=$O195,$R195)),IFERROR(INDEX($R197:$R1200,MATCH(SUBSTITUTE($I196,"-","",1),$K197:$K1200,0)))))</f>
        <v/>
      </c>
      <c r="S196" s="37" t="str">
        <f t="shared" si="1"/>
        <v/>
      </c>
      <c r="T196" s="39" t="str">
        <f t="shared" si="2"/>
        <v/>
      </c>
      <c r="U196" s="40" t="str">
        <f t="shared" si="3"/>
        <v/>
      </c>
      <c r="V196" s="34" t="str">
        <f t="shared" si="4"/>
        <v/>
      </c>
      <c r="W196" s="41" t="str">
        <f>IFERROR(__xludf.DUMMYFUNCTION(" IF(Account!$F196&lt;&gt;"""", SPLIT(Account!$F196, "" ""), """")"),"")</f>
        <v/>
      </c>
      <c r="X196" s="42"/>
      <c r="Y196" s="42"/>
      <c r="Z196" s="42"/>
      <c r="AA196" s="42"/>
      <c r="AB196" s="42"/>
      <c r="AC196" s="42"/>
      <c r="AD196" s="42"/>
      <c r="AE196" s="42"/>
      <c r="AF196" s="42"/>
      <c r="AG196" s="42"/>
      <c r="AH196" s="42"/>
      <c r="AI196" s="42"/>
      <c r="AJ196" s="42"/>
      <c r="AK196" s="42"/>
    </row>
    <row r="197">
      <c r="A197" s="20"/>
      <c r="B197" s="20"/>
      <c r="C197" s="20"/>
      <c r="D197" s="20"/>
      <c r="E197" s="20"/>
      <c r="F197" s="21"/>
      <c r="G197" s="20"/>
      <c r="H197" s="20"/>
      <c r="I197" s="20"/>
      <c r="J197" s="20"/>
      <c r="K197" s="20"/>
      <c r="L197" s="21"/>
      <c r="M197" s="33" t="str">
        <f>IFERROR(__xludf.DUMMYFUNCTION("IFS(W197=""Achat"",IFERROR(VALUE(X197),VALUE(REGEXREPLACE(T(X197),""[^0-9]"",""""))),W197=""Vente"",-IFERROR(VALUE(X197),VALUE(REGEXREPLACE(T(X197),""[^0-9]"",""""))),Y197=""Change"",0,Y197&lt;&gt;""Change"","""")"),"")</f>
        <v/>
      </c>
      <c r="N197" s="34" t="str">
        <f>IFERROR(__xludf.DUMMYFUNCTION("IF(Account!$F197&lt;&gt;"""", VALUE(REGEXREPLACE($I197, ""\,"", ""."")), """")"),"")</f>
        <v/>
      </c>
      <c r="O197" s="35" t="str">
        <f>IF(Account!$F197&lt;&gt;"", DATEVALUE(MID($A197,4,3) &amp; LEFT($A197,3) &amp; RIGHT($A197,4)) + TIMEVALUE($B197), "")</f>
        <v/>
      </c>
      <c r="P197" s="36" t="str">
        <f>IF(Account!$F197&lt;&gt;"", DATEVALUE(MID($C197,4,3) &amp; LEFT($C197,3) &amp; RIGHT($C197,4)), "")</f>
        <v/>
      </c>
      <c r="Q197" s="37" t="str">
        <f t="array" ref="Q197">IF($R197&lt;&gt;"",IFERROR(INDEX(ISIN!$B:$B,MATCH($R197,ISIN!$C:$C,0))),)</f>
        <v/>
      </c>
      <c r="R197" s="38" t="str">
        <f t="array" ref="R197">IF($E197&lt;&gt;"",IFERROR(INDEX(ISIN!$C:$C,MATCH($E197,ISIN!$A:$A,0)),IFERROR(INDEX($R198:$R1200,MATCH($K197,$K198:$K1200,0)))),IF(AND($Y197="change",$H197="EUR"),IF($O197=$O198,$R198,IF($O197=$O196,$R196)),IFERROR(INDEX($R198:$R1200,MATCH(SUBSTITUTE($I197,"-","",1),$K198:$K1200,0)))))</f>
        <v/>
      </c>
      <c r="S197" s="37" t="str">
        <f t="shared" si="1"/>
        <v/>
      </c>
      <c r="T197" s="39" t="str">
        <f t="shared" si="2"/>
        <v/>
      </c>
      <c r="U197" s="40" t="str">
        <f t="shared" si="3"/>
        <v/>
      </c>
      <c r="V197" s="34" t="str">
        <f t="shared" si="4"/>
        <v/>
      </c>
      <c r="W197" s="41" t="str">
        <f>IFERROR(__xludf.DUMMYFUNCTION(" IF(Account!$F197&lt;&gt;"""", SPLIT(Account!$F197, "" ""), """")"),"")</f>
        <v/>
      </c>
      <c r="X197" s="42"/>
      <c r="Y197" s="42"/>
      <c r="Z197" s="42"/>
      <c r="AA197" s="42"/>
      <c r="AB197" s="42"/>
      <c r="AC197" s="42"/>
      <c r="AD197" s="42"/>
      <c r="AE197" s="42"/>
      <c r="AF197" s="42"/>
      <c r="AG197" s="42"/>
      <c r="AH197" s="42"/>
      <c r="AI197" s="42"/>
      <c r="AJ197" s="42"/>
      <c r="AK197" s="42"/>
    </row>
    <row r="198">
      <c r="A198" s="20"/>
      <c r="B198" s="20"/>
      <c r="C198" s="20"/>
      <c r="D198" s="20"/>
      <c r="E198" s="20"/>
      <c r="F198" s="21"/>
      <c r="G198" s="45"/>
      <c r="H198" s="20"/>
      <c r="I198" s="20"/>
      <c r="J198" s="20"/>
      <c r="K198" s="20"/>
      <c r="L198" s="21"/>
      <c r="M198" s="33" t="str">
        <f>IFERROR(__xludf.DUMMYFUNCTION("IFS(W198=""Achat"",IFERROR(VALUE(X198),VALUE(REGEXREPLACE(T(X198),""[^0-9]"",""""))),W198=""Vente"",-IFERROR(VALUE(X198),VALUE(REGEXREPLACE(T(X198),""[^0-9]"",""""))),Y198=""Change"",0,Y198&lt;&gt;""Change"","""")"),"")</f>
        <v/>
      </c>
      <c r="N198" s="34" t="str">
        <f>IFERROR(__xludf.DUMMYFUNCTION("IF(Account!$F198&lt;&gt;"""", VALUE(REGEXREPLACE($I198, ""\,"", ""."")), """")"),"")</f>
        <v/>
      </c>
      <c r="O198" s="35" t="str">
        <f>IF(Account!$F198&lt;&gt;"", DATEVALUE(MID($A198,4,3) &amp; LEFT($A198,3) &amp; RIGHT($A198,4)) + TIMEVALUE($B198), "")</f>
        <v/>
      </c>
      <c r="P198" s="36" t="str">
        <f>IF(Account!$F198&lt;&gt;"", DATEVALUE(MID($C198,4,3) &amp; LEFT($C198,3) &amp; RIGHT($C198,4)), "")</f>
        <v/>
      </c>
      <c r="Q198" s="37" t="str">
        <f t="array" ref="Q198">IF($R198&lt;&gt;"",IFERROR(INDEX(ISIN!$B:$B,MATCH($R198,ISIN!$C:$C,0))),)</f>
        <v/>
      </c>
      <c r="R198" s="38" t="str">
        <f t="array" ref="R198">IF($E198&lt;&gt;"",IFERROR(INDEX(ISIN!$C:$C,MATCH($E198,ISIN!$A:$A,0)),IFERROR(INDEX($R199:$R1200,MATCH($K198,$K199:$K1200,0)))),IF(AND($Y198="change",$H198="EUR"),IF($O198=$O199,$R199,IF($O198=$O197,$R197)),IFERROR(INDEX($R199:$R1200,MATCH(SUBSTITUTE($I198,"-","",1),$K199:$K1200,0)))))</f>
        <v/>
      </c>
      <c r="S198" s="37" t="str">
        <f t="shared" si="1"/>
        <v/>
      </c>
      <c r="T198" s="39" t="str">
        <f t="shared" si="2"/>
        <v/>
      </c>
      <c r="U198" s="40" t="str">
        <f t="shared" si="3"/>
        <v/>
      </c>
      <c r="V198" s="34" t="str">
        <f t="shared" si="4"/>
        <v/>
      </c>
      <c r="W198" s="41" t="str">
        <f>IFERROR(__xludf.DUMMYFUNCTION(" IF(Account!$F198&lt;&gt;"""", SPLIT(Account!$F198, "" ""), """")"),"")</f>
        <v/>
      </c>
      <c r="X198" s="42"/>
      <c r="Y198" s="42"/>
      <c r="Z198" s="42"/>
      <c r="AA198" s="42"/>
      <c r="AB198" s="42"/>
      <c r="AC198" s="42"/>
      <c r="AD198" s="42"/>
      <c r="AE198" s="42"/>
      <c r="AF198" s="42"/>
      <c r="AG198" s="42"/>
      <c r="AH198" s="42"/>
      <c r="AI198" s="42"/>
      <c r="AJ198" s="42"/>
      <c r="AK198" s="42"/>
    </row>
    <row r="199">
      <c r="A199" s="20"/>
      <c r="B199" s="20"/>
      <c r="C199" s="20"/>
      <c r="D199" s="20"/>
      <c r="E199" s="20"/>
      <c r="F199" s="21"/>
      <c r="G199" s="20"/>
      <c r="H199" s="20"/>
      <c r="I199" s="20"/>
      <c r="J199" s="20"/>
      <c r="K199" s="20"/>
      <c r="L199" s="21"/>
      <c r="M199" s="33" t="str">
        <f>IFERROR(__xludf.DUMMYFUNCTION("IFS(W199=""Achat"",IFERROR(VALUE(X199),VALUE(REGEXREPLACE(T(X199),""[^0-9]"",""""))),W199=""Vente"",-IFERROR(VALUE(X199),VALUE(REGEXREPLACE(T(X199),""[^0-9]"",""""))),Y199=""Change"",0,Y199&lt;&gt;""Change"","""")"),"")</f>
        <v/>
      </c>
      <c r="N199" s="34" t="str">
        <f>IFERROR(__xludf.DUMMYFUNCTION("IF(Account!$F199&lt;&gt;"""", VALUE(REGEXREPLACE($I199, ""\,"", ""."")), """")"),"")</f>
        <v/>
      </c>
      <c r="O199" s="35" t="str">
        <f>IF(Account!$F199&lt;&gt;"", DATEVALUE(MID($A199,4,3) &amp; LEFT($A199,3) &amp; RIGHT($A199,4)) + TIMEVALUE($B199), "")</f>
        <v/>
      </c>
      <c r="P199" s="36" t="str">
        <f>IF(Account!$F199&lt;&gt;"", DATEVALUE(MID($C199,4,3) &amp; LEFT($C199,3) &amp; RIGHT($C199,4)), "")</f>
        <v/>
      </c>
      <c r="Q199" s="37" t="str">
        <f t="array" ref="Q199">IF($R199&lt;&gt;"",IFERROR(INDEX(ISIN!$B:$B,MATCH($R199,ISIN!$C:$C,0))),)</f>
        <v/>
      </c>
      <c r="R199" s="38" t="str">
        <f t="array" ref="R199">IF($E199&lt;&gt;"",IFERROR(INDEX(ISIN!$C:$C,MATCH($E199,ISIN!$A:$A,0)),IFERROR(INDEX($R200:$R1200,MATCH($K199,$K200:$K1200,0)))),IF(AND($Y199="change",$H199="EUR"),IF($O199=$O200,$R200,IF($O199=$O198,$R198)),IFERROR(INDEX($R200:$R1200,MATCH(SUBSTITUTE($I199,"-","",1),$K200:$K1200,0)))))</f>
        <v/>
      </c>
      <c r="S199" s="37" t="str">
        <f t="shared" si="1"/>
        <v/>
      </c>
      <c r="T199" s="39" t="str">
        <f t="shared" si="2"/>
        <v/>
      </c>
      <c r="U199" s="40" t="str">
        <f t="shared" si="3"/>
        <v/>
      </c>
      <c r="V199" s="34" t="str">
        <f t="shared" si="4"/>
        <v/>
      </c>
      <c r="W199" s="41" t="str">
        <f>IFERROR(__xludf.DUMMYFUNCTION(" IF(Account!$F199&lt;&gt;"""", SPLIT(Account!$F199, "" ""), """")"),"")</f>
        <v/>
      </c>
      <c r="X199" s="42"/>
      <c r="Y199" s="42"/>
      <c r="Z199" s="42"/>
      <c r="AA199" s="42"/>
      <c r="AB199" s="42"/>
      <c r="AC199" s="42"/>
      <c r="AD199" s="42"/>
      <c r="AE199" s="42"/>
      <c r="AF199" s="42"/>
      <c r="AG199" s="42"/>
      <c r="AH199" s="42"/>
      <c r="AI199" s="42"/>
      <c r="AJ199" s="42"/>
      <c r="AK199" s="42"/>
    </row>
    <row r="200">
      <c r="A200" s="20"/>
      <c r="B200" s="20"/>
      <c r="C200" s="20"/>
      <c r="D200" s="20"/>
      <c r="E200" s="20"/>
      <c r="F200" s="21"/>
      <c r="G200" s="45"/>
      <c r="H200" s="20"/>
      <c r="I200" s="20"/>
      <c r="J200" s="20"/>
      <c r="K200" s="20"/>
      <c r="L200" s="21"/>
      <c r="M200" s="33" t="str">
        <f>IFERROR(__xludf.DUMMYFUNCTION("IFS(W200=""Achat"",IFERROR(VALUE(X200),VALUE(REGEXREPLACE(T(X200),""[^0-9]"",""""))),W200=""Vente"",-IFERROR(VALUE(X200),VALUE(REGEXREPLACE(T(X200),""[^0-9]"",""""))),Y200=""Change"",0,Y200&lt;&gt;""Change"","""")"),"")</f>
        <v/>
      </c>
      <c r="N200" s="34" t="str">
        <f>IFERROR(__xludf.DUMMYFUNCTION("IF(Account!$F200&lt;&gt;"""", VALUE(REGEXREPLACE($I200, ""\,"", ""."")), """")"),"")</f>
        <v/>
      </c>
      <c r="O200" s="35" t="str">
        <f>IF(Account!$F200&lt;&gt;"", DATEVALUE(MID($A200,4,3) &amp; LEFT($A200,3) &amp; RIGHT($A200,4)) + TIMEVALUE($B200), "")</f>
        <v/>
      </c>
      <c r="P200" s="36" t="str">
        <f>IF(Account!$F200&lt;&gt;"", DATEVALUE(MID($C200,4,3) &amp; LEFT($C200,3) &amp; RIGHT($C200,4)), "")</f>
        <v/>
      </c>
      <c r="Q200" s="37" t="str">
        <f t="array" ref="Q200">IF($R200&lt;&gt;"",IFERROR(INDEX(ISIN!$B:$B,MATCH($R200,ISIN!$C:$C,0))),)</f>
        <v/>
      </c>
      <c r="R200" s="38" t="str">
        <f t="array" ref="R200">IF($E200&lt;&gt;"",IFERROR(INDEX(ISIN!$C:$C,MATCH($E200,ISIN!$A:$A,0)),IFERROR(INDEX($R201:$R1200,MATCH($K200,$K201:$K1200,0)))),IF(AND($Y200="change",$H200="EUR"),IF($O200=$O201,$R201,IF($O200=$O199,$R199)),IFERROR(INDEX($R201:$R1200,MATCH(SUBSTITUTE($I200,"-","",1),$K201:$K1200,0)))))</f>
        <v/>
      </c>
      <c r="S200" s="37" t="str">
        <f t="shared" si="1"/>
        <v/>
      </c>
      <c r="T200" s="39" t="str">
        <f t="shared" si="2"/>
        <v/>
      </c>
      <c r="U200" s="40" t="str">
        <f t="shared" si="3"/>
        <v/>
      </c>
      <c r="V200" s="34" t="str">
        <f t="shared" si="4"/>
        <v/>
      </c>
      <c r="W200" s="41" t="str">
        <f>IFERROR(__xludf.DUMMYFUNCTION(" IF(Account!$F200&lt;&gt;"""", SPLIT(Account!$F200, "" ""), """")"),"")</f>
        <v/>
      </c>
      <c r="X200" s="42"/>
      <c r="Y200" s="42"/>
      <c r="Z200" s="42"/>
      <c r="AA200" s="42"/>
      <c r="AB200" s="42"/>
      <c r="AC200" s="42"/>
      <c r="AD200" s="42"/>
      <c r="AE200" s="42"/>
      <c r="AF200" s="42"/>
      <c r="AG200" s="42"/>
      <c r="AH200" s="42"/>
      <c r="AI200" s="42"/>
      <c r="AJ200" s="42"/>
      <c r="AK200" s="42"/>
    </row>
    <row r="201">
      <c r="A201" s="20"/>
      <c r="B201" s="20"/>
      <c r="C201" s="20"/>
      <c r="D201" s="20"/>
      <c r="E201" s="20"/>
      <c r="F201" s="21"/>
      <c r="G201" s="20"/>
      <c r="H201" s="20"/>
      <c r="I201" s="20"/>
      <c r="J201" s="20"/>
      <c r="K201" s="20"/>
      <c r="L201" s="21"/>
      <c r="M201" s="33" t="str">
        <f>IFERROR(__xludf.DUMMYFUNCTION("IFS(W201=""Achat"",IFERROR(VALUE(X201),VALUE(REGEXREPLACE(T(X201),""[^0-9]"",""""))),W201=""Vente"",-IFERROR(VALUE(X201),VALUE(REGEXREPLACE(T(X201),""[^0-9]"",""""))),Y201=""Change"",0,Y201&lt;&gt;""Change"","""")"),"")</f>
        <v/>
      </c>
      <c r="N201" s="34" t="str">
        <f>IFERROR(__xludf.DUMMYFUNCTION("IF(Account!$F201&lt;&gt;"""", VALUE(REGEXREPLACE($I201, ""\,"", ""."")), """")"),"")</f>
        <v/>
      </c>
      <c r="O201" s="35" t="str">
        <f>IF(Account!$F201&lt;&gt;"", DATEVALUE(MID($A201,4,3) &amp; LEFT($A201,3) &amp; RIGHT($A201,4)) + TIMEVALUE($B201), "")</f>
        <v/>
      </c>
      <c r="P201" s="36" t="str">
        <f>IF(Account!$F201&lt;&gt;"", DATEVALUE(MID($C201,4,3) &amp; LEFT($C201,3) &amp; RIGHT($C201,4)), "")</f>
        <v/>
      </c>
      <c r="Q201" s="37" t="str">
        <f t="array" ref="Q201">IF($R201&lt;&gt;"",IFERROR(INDEX(ISIN!$B:$B,MATCH($R201,ISIN!$C:$C,0))),)</f>
        <v/>
      </c>
      <c r="R201" s="38" t="str">
        <f t="array" ref="R201">IF($E201&lt;&gt;"",IFERROR(INDEX(ISIN!$C:$C,MATCH($E201,ISIN!$A:$A,0)),IFERROR(INDEX($R202:$R1200,MATCH($K201,$K202:$K1200,0)))),IF(AND($Y201="change",$H201="EUR"),IF($O201=$O202,$R202,IF($O201=$O200,$R200)),IFERROR(INDEX($R202:$R1200,MATCH(SUBSTITUTE($I201,"-","",1),$K202:$K1200,0)))))</f>
        <v/>
      </c>
      <c r="S201" s="37" t="str">
        <f t="shared" si="1"/>
        <v/>
      </c>
      <c r="T201" s="39" t="str">
        <f t="shared" si="2"/>
        <v/>
      </c>
      <c r="U201" s="40" t="str">
        <f t="shared" si="3"/>
        <v/>
      </c>
      <c r="V201" s="34" t="str">
        <f t="shared" si="4"/>
        <v/>
      </c>
      <c r="W201" s="41" t="str">
        <f>IFERROR(__xludf.DUMMYFUNCTION(" IF(Account!$F201&lt;&gt;"""", SPLIT(Account!$F201, "" ""), """")"),"")</f>
        <v/>
      </c>
      <c r="X201" s="42"/>
      <c r="Y201" s="42"/>
      <c r="Z201" s="42"/>
      <c r="AA201" s="42"/>
      <c r="AB201" s="42"/>
      <c r="AC201" s="42"/>
      <c r="AD201" s="42"/>
      <c r="AE201" s="42"/>
      <c r="AF201" s="42"/>
      <c r="AG201" s="42"/>
      <c r="AH201" s="42"/>
      <c r="AI201" s="42"/>
      <c r="AJ201" s="42"/>
      <c r="AK201" s="42"/>
    </row>
    <row r="202">
      <c r="A202" s="20"/>
      <c r="B202" s="20"/>
      <c r="C202" s="20"/>
      <c r="D202" s="20"/>
      <c r="E202" s="20"/>
      <c r="F202" s="21"/>
      <c r="G202" s="20"/>
      <c r="H202" s="20"/>
      <c r="I202" s="20"/>
      <c r="J202" s="20"/>
      <c r="K202" s="20"/>
      <c r="L202" s="21"/>
      <c r="M202" s="33" t="str">
        <f>IFERROR(__xludf.DUMMYFUNCTION("IFS(W202=""Achat"",IFERROR(VALUE(X202),VALUE(REGEXREPLACE(T(X202),""[^0-9]"",""""))),W202=""Vente"",-IFERROR(VALUE(X202),VALUE(REGEXREPLACE(T(X202),""[^0-9]"",""""))),Y202=""Change"",0,Y202&lt;&gt;""Change"","""")"),"")</f>
        <v/>
      </c>
      <c r="N202" s="34" t="str">
        <f>IFERROR(__xludf.DUMMYFUNCTION("IF(Account!$F202&lt;&gt;"""", VALUE(REGEXREPLACE($I202, ""\,"", ""."")), """")"),"")</f>
        <v/>
      </c>
      <c r="O202" s="35" t="str">
        <f>IF(Account!$F202&lt;&gt;"", DATEVALUE(MID($A202,4,3) &amp; LEFT($A202,3) &amp; RIGHT($A202,4)) + TIMEVALUE($B202), "")</f>
        <v/>
      </c>
      <c r="P202" s="36" t="str">
        <f>IF(Account!$F202&lt;&gt;"", DATEVALUE(MID($C202,4,3) &amp; LEFT($C202,3) &amp; RIGHT($C202,4)), "")</f>
        <v/>
      </c>
      <c r="Q202" s="37" t="str">
        <f t="array" ref="Q202">IF($R202&lt;&gt;"",IFERROR(INDEX(ISIN!$B:$B,MATCH($R202,ISIN!$C:$C,0))),)</f>
        <v/>
      </c>
      <c r="R202" s="38" t="str">
        <f t="array" ref="R202">IF($E202&lt;&gt;"",IFERROR(INDEX(ISIN!$C:$C,MATCH($E202,ISIN!$A:$A,0)),IFERROR(INDEX($R203:$R1200,MATCH($K202,$K203:$K1200,0)))),IF(AND($Y202="change",$H202="EUR"),IF($O202=$O203,$R203,IF($O202=$O201,$R201)),IFERROR(INDEX($R203:$R1200,MATCH(SUBSTITUTE($I202,"-","",1),$K203:$K1200,0)))))</f>
        <v/>
      </c>
      <c r="S202" s="37" t="str">
        <f t="shared" si="1"/>
        <v/>
      </c>
      <c r="T202" s="39" t="str">
        <f t="shared" si="2"/>
        <v/>
      </c>
      <c r="U202" s="40" t="str">
        <f t="shared" si="3"/>
        <v/>
      </c>
      <c r="V202" s="34" t="str">
        <f t="shared" si="4"/>
        <v/>
      </c>
      <c r="W202" s="41" t="str">
        <f>IFERROR(__xludf.DUMMYFUNCTION(" IF(Account!$F202&lt;&gt;"""", SPLIT(Account!$F202, "" ""), """")"),"")</f>
        <v/>
      </c>
      <c r="X202" s="42"/>
      <c r="Y202" s="42"/>
      <c r="Z202" s="42"/>
      <c r="AA202" s="42"/>
      <c r="AB202" s="42"/>
      <c r="AC202" s="42"/>
      <c r="AD202" s="42"/>
      <c r="AE202" s="42"/>
      <c r="AF202" s="42"/>
      <c r="AG202" s="42"/>
      <c r="AH202" s="42"/>
      <c r="AI202" s="42"/>
      <c r="AJ202" s="42"/>
      <c r="AK202" s="42"/>
    </row>
    <row r="203">
      <c r="A203" s="20"/>
      <c r="B203" s="20"/>
      <c r="C203" s="20"/>
      <c r="D203" s="20"/>
      <c r="E203" s="20"/>
      <c r="F203" s="21"/>
      <c r="G203" s="20"/>
      <c r="H203" s="20"/>
      <c r="I203" s="20"/>
      <c r="J203" s="20"/>
      <c r="K203" s="20"/>
      <c r="L203" s="21"/>
      <c r="M203" s="33" t="str">
        <f>IFERROR(__xludf.DUMMYFUNCTION("IFS(W203=""Achat"",IFERROR(VALUE(X203),VALUE(REGEXREPLACE(T(X203),""[^0-9]"",""""))),W203=""Vente"",-IFERROR(VALUE(X203),VALUE(REGEXREPLACE(T(X203),""[^0-9]"",""""))),Y203=""Change"",0,Y203&lt;&gt;""Change"","""")"),"")</f>
        <v/>
      </c>
      <c r="N203" s="34" t="str">
        <f>IFERROR(__xludf.DUMMYFUNCTION("IF(Account!$F203&lt;&gt;"""", VALUE(REGEXREPLACE($I203, ""\,"", ""."")), """")"),"")</f>
        <v/>
      </c>
      <c r="O203" s="35" t="str">
        <f>IF(Account!$F203&lt;&gt;"", DATEVALUE(MID($A203,4,3) &amp; LEFT($A203,3) &amp; RIGHT($A203,4)) + TIMEVALUE($B203), "")</f>
        <v/>
      </c>
      <c r="P203" s="36" t="str">
        <f>IF(Account!$F203&lt;&gt;"", DATEVALUE(MID($C203,4,3) &amp; LEFT($C203,3) &amp; RIGHT($C203,4)), "")</f>
        <v/>
      </c>
      <c r="Q203" s="37" t="str">
        <f t="array" ref="Q203">IF($R203&lt;&gt;"",IFERROR(INDEX(ISIN!$B:$B,MATCH($R203,ISIN!$C:$C,0))),)</f>
        <v/>
      </c>
      <c r="R203" s="38" t="str">
        <f t="array" ref="R203">IF($E203&lt;&gt;"",IFERROR(INDEX(ISIN!$C:$C,MATCH($E203,ISIN!$A:$A,0)),IFERROR(INDEX($R204:$R1200,MATCH($K203,$K204:$K1200,0)))),IF(AND($Y203="change",$H203="EUR"),IF($O203=$O204,$R204,IF($O203=$O202,$R202)),IFERROR(INDEX($R204:$R1200,MATCH(SUBSTITUTE($I203,"-","",1),$K204:$K1200,0)))))</f>
        <v/>
      </c>
      <c r="S203" s="37" t="str">
        <f t="shared" si="1"/>
        <v/>
      </c>
      <c r="T203" s="39" t="str">
        <f t="shared" si="2"/>
        <v/>
      </c>
      <c r="U203" s="40" t="str">
        <f t="shared" si="3"/>
        <v/>
      </c>
      <c r="V203" s="34" t="str">
        <f t="shared" si="4"/>
        <v/>
      </c>
      <c r="W203" s="41" t="str">
        <f>IFERROR(__xludf.DUMMYFUNCTION(" IF(Account!$F203&lt;&gt;"""", SPLIT(Account!$F203, "" ""), """")"),"")</f>
        <v/>
      </c>
      <c r="X203" s="42"/>
      <c r="Y203" s="42"/>
      <c r="Z203" s="42"/>
      <c r="AA203" s="42"/>
      <c r="AB203" s="42"/>
      <c r="AC203" s="42"/>
      <c r="AD203" s="42"/>
      <c r="AE203" s="42"/>
      <c r="AF203" s="42"/>
      <c r="AG203" s="42"/>
      <c r="AH203" s="42"/>
      <c r="AI203" s="42"/>
      <c r="AJ203" s="42"/>
      <c r="AK203" s="42"/>
    </row>
    <row r="204">
      <c r="A204" s="20"/>
      <c r="B204" s="20"/>
      <c r="C204" s="20"/>
      <c r="D204" s="20"/>
      <c r="E204" s="20"/>
      <c r="F204" s="21"/>
      <c r="G204" s="45"/>
      <c r="H204" s="20"/>
      <c r="I204" s="20"/>
      <c r="J204" s="20"/>
      <c r="K204" s="20"/>
      <c r="L204" s="21"/>
      <c r="M204" s="33" t="str">
        <f>IFERROR(__xludf.DUMMYFUNCTION("IFS(W204=""Achat"",IFERROR(VALUE(X204),VALUE(REGEXREPLACE(T(X204),""[^0-9]"",""""))),W204=""Vente"",-IFERROR(VALUE(X204),VALUE(REGEXREPLACE(T(X204),""[^0-9]"",""""))),Y204=""Change"",0,Y204&lt;&gt;""Change"","""")"),"")</f>
        <v/>
      </c>
      <c r="N204" s="34" t="str">
        <f>IFERROR(__xludf.DUMMYFUNCTION("IF(Account!$F204&lt;&gt;"""", VALUE(REGEXREPLACE($I204, ""\,"", ""."")), """")"),"")</f>
        <v/>
      </c>
      <c r="O204" s="35" t="str">
        <f>IF(Account!$F204&lt;&gt;"", DATEVALUE(MID($A204,4,3) &amp; LEFT($A204,3) &amp; RIGHT($A204,4)) + TIMEVALUE($B204), "")</f>
        <v/>
      </c>
      <c r="P204" s="36" t="str">
        <f>IF(Account!$F204&lt;&gt;"", DATEVALUE(MID($C204,4,3) &amp; LEFT($C204,3) &amp; RIGHT($C204,4)), "")</f>
        <v/>
      </c>
      <c r="Q204" s="37" t="str">
        <f t="array" ref="Q204">IF($R204&lt;&gt;"",IFERROR(INDEX(ISIN!$B:$B,MATCH($R204,ISIN!$C:$C,0))),)</f>
        <v/>
      </c>
      <c r="R204" s="38" t="str">
        <f t="array" ref="R204">IF($E204&lt;&gt;"",IFERROR(INDEX(ISIN!$C:$C,MATCH($E204,ISIN!$A:$A,0)),IFERROR(INDEX($R205:$R1200,MATCH($K204,$K205:$K1200,0)))),IF(AND($Y204="change",$H204="EUR"),IF($O204=$O205,$R205,IF($O204=$O203,$R203)),IFERROR(INDEX($R205:$R1200,MATCH(SUBSTITUTE($I204,"-","",1),$K205:$K1200,0)))))</f>
        <v/>
      </c>
      <c r="S204" s="37" t="str">
        <f t="shared" si="1"/>
        <v/>
      </c>
      <c r="T204" s="39" t="str">
        <f t="shared" si="2"/>
        <v/>
      </c>
      <c r="U204" s="40" t="str">
        <f t="shared" si="3"/>
        <v/>
      </c>
      <c r="V204" s="34" t="str">
        <f t="shared" si="4"/>
        <v/>
      </c>
      <c r="W204" s="41" t="str">
        <f>IFERROR(__xludf.DUMMYFUNCTION(" IF(Account!$F204&lt;&gt;"""", SPLIT(Account!$F204, "" ""), """")"),"")</f>
        <v/>
      </c>
      <c r="X204" s="42"/>
      <c r="Y204" s="42"/>
      <c r="Z204" s="42"/>
      <c r="AA204" s="42"/>
      <c r="AB204" s="42"/>
      <c r="AC204" s="42"/>
      <c r="AD204" s="42"/>
      <c r="AE204" s="42"/>
      <c r="AF204" s="42"/>
      <c r="AG204" s="42"/>
      <c r="AH204" s="42"/>
      <c r="AI204" s="42"/>
      <c r="AJ204" s="42"/>
      <c r="AK204" s="42"/>
    </row>
    <row r="205">
      <c r="A205" s="20"/>
      <c r="B205" s="20"/>
      <c r="C205" s="20"/>
      <c r="D205" s="20"/>
      <c r="E205" s="20"/>
      <c r="F205" s="21"/>
      <c r="G205" s="20"/>
      <c r="H205" s="20"/>
      <c r="I205" s="20"/>
      <c r="J205" s="20"/>
      <c r="K205" s="20"/>
      <c r="L205" s="21"/>
      <c r="M205" s="33" t="str">
        <f>IFERROR(__xludf.DUMMYFUNCTION("IFS(W205=""Achat"",IFERROR(VALUE(X205),VALUE(REGEXREPLACE(T(X205),""[^0-9]"",""""))),W205=""Vente"",-IFERROR(VALUE(X205),VALUE(REGEXREPLACE(T(X205),""[^0-9]"",""""))),Y205=""Change"",0,Y205&lt;&gt;""Change"","""")"),"")</f>
        <v/>
      </c>
      <c r="N205" s="34" t="str">
        <f>IFERROR(__xludf.DUMMYFUNCTION("IF(Account!$F205&lt;&gt;"""", VALUE(REGEXREPLACE($I205, ""\,"", ""."")), """")"),"")</f>
        <v/>
      </c>
      <c r="O205" s="35" t="str">
        <f>IF(Account!$F205&lt;&gt;"", DATEVALUE(MID($A205,4,3) &amp; LEFT($A205,3) &amp; RIGHT($A205,4)) + TIMEVALUE($B205), "")</f>
        <v/>
      </c>
      <c r="P205" s="36" t="str">
        <f>IF(Account!$F205&lt;&gt;"", DATEVALUE(MID($C205,4,3) &amp; LEFT($C205,3) &amp; RIGHT($C205,4)), "")</f>
        <v/>
      </c>
      <c r="Q205" s="37" t="str">
        <f t="array" ref="Q205">IF($R205&lt;&gt;"",IFERROR(INDEX(ISIN!$B:$B,MATCH($R205,ISIN!$C:$C,0))),)</f>
        <v/>
      </c>
      <c r="R205" s="38" t="str">
        <f t="array" ref="R205">IF($E205&lt;&gt;"",IFERROR(INDEX(ISIN!$C:$C,MATCH($E205,ISIN!$A:$A,0)),IFERROR(INDEX($R206:$R1200,MATCH($K205,$K206:$K1200,0)))),IF(AND($Y205="change",$H205="EUR"),IF($O205=$O206,$R206,IF($O205=$O204,$R204)),IFERROR(INDEX($R206:$R1200,MATCH(SUBSTITUTE($I205,"-","",1),$K206:$K1200,0)))))</f>
        <v/>
      </c>
      <c r="S205" s="37" t="str">
        <f t="shared" si="1"/>
        <v/>
      </c>
      <c r="T205" s="39" t="str">
        <f t="shared" si="2"/>
        <v/>
      </c>
      <c r="U205" s="40" t="str">
        <f t="shared" si="3"/>
        <v/>
      </c>
      <c r="V205" s="34" t="str">
        <f t="shared" si="4"/>
        <v/>
      </c>
      <c r="W205" s="41" t="str">
        <f>IFERROR(__xludf.DUMMYFUNCTION(" IF(Account!$F205&lt;&gt;"""", SPLIT(Account!$F205, "" ""), """")"),"")</f>
        <v/>
      </c>
      <c r="X205" s="42"/>
      <c r="Y205" s="42"/>
      <c r="Z205" s="42"/>
      <c r="AA205" s="42"/>
      <c r="AB205" s="42"/>
      <c r="AC205" s="42"/>
      <c r="AD205" s="42"/>
      <c r="AE205" s="42"/>
      <c r="AF205" s="42"/>
      <c r="AG205" s="42"/>
      <c r="AH205" s="42"/>
      <c r="AI205" s="42"/>
      <c r="AJ205" s="42"/>
      <c r="AK205" s="42"/>
    </row>
    <row r="206">
      <c r="A206" s="20"/>
      <c r="B206" s="20"/>
      <c r="C206" s="20"/>
      <c r="D206" s="20"/>
      <c r="E206" s="20"/>
      <c r="F206" s="21"/>
      <c r="G206" s="20"/>
      <c r="H206" s="20"/>
      <c r="I206" s="20"/>
      <c r="J206" s="20"/>
      <c r="K206" s="20"/>
      <c r="L206" s="21"/>
      <c r="M206" s="33" t="str">
        <f>IFERROR(__xludf.DUMMYFUNCTION("IFS(W206=""Achat"",IFERROR(VALUE(X206),VALUE(REGEXREPLACE(T(X206),""[^0-9]"",""""))),W206=""Vente"",-IFERROR(VALUE(X206),VALUE(REGEXREPLACE(T(X206),""[^0-9]"",""""))),Y206=""Change"",0,Y206&lt;&gt;""Change"","""")"),"")</f>
        <v/>
      </c>
      <c r="N206" s="34" t="str">
        <f>IFERROR(__xludf.DUMMYFUNCTION("IF(Account!$F206&lt;&gt;"""", VALUE(REGEXREPLACE($I206, ""\,"", ""."")), """")"),"")</f>
        <v/>
      </c>
      <c r="O206" s="35" t="str">
        <f>IF(Account!$F206&lt;&gt;"", DATEVALUE(MID($A206,4,3) &amp; LEFT($A206,3) &amp; RIGHT($A206,4)) + TIMEVALUE($B206), "")</f>
        <v/>
      </c>
      <c r="P206" s="36" t="str">
        <f>IF(Account!$F206&lt;&gt;"", DATEVALUE(MID($C206,4,3) &amp; LEFT($C206,3) &amp; RIGHT($C206,4)), "")</f>
        <v/>
      </c>
      <c r="Q206" s="37" t="str">
        <f t="array" ref="Q206">IF($R206&lt;&gt;"",IFERROR(INDEX(ISIN!$B:$B,MATCH($R206,ISIN!$C:$C,0))),)</f>
        <v/>
      </c>
      <c r="R206" s="38" t="str">
        <f t="array" ref="R206">IF($E206&lt;&gt;"",IFERROR(INDEX(ISIN!$C:$C,MATCH($E206,ISIN!$A:$A,0)),IFERROR(INDEX($R207:$R1200,MATCH($K206,$K207:$K1200,0)))),IF(AND($Y206="change",$H206="EUR"),IF($O206=$O207,$R207,IF($O206=$O205,$R205)),IFERROR(INDEX($R207:$R1200,MATCH(SUBSTITUTE($I206,"-","",1),$K207:$K1200,0)))))</f>
        <v/>
      </c>
      <c r="S206" s="37" t="str">
        <f t="shared" si="1"/>
        <v/>
      </c>
      <c r="T206" s="39" t="str">
        <f t="shared" si="2"/>
        <v/>
      </c>
      <c r="U206" s="40" t="str">
        <f t="shared" si="3"/>
        <v/>
      </c>
      <c r="V206" s="34" t="str">
        <f t="shared" si="4"/>
        <v/>
      </c>
      <c r="W206" s="41" t="str">
        <f>IFERROR(__xludf.DUMMYFUNCTION(" IF(Account!$F206&lt;&gt;"""", SPLIT(Account!$F206, "" ""), """")"),"")</f>
        <v/>
      </c>
      <c r="X206" s="42"/>
      <c r="Y206" s="42"/>
      <c r="Z206" s="42"/>
      <c r="AA206" s="42"/>
      <c r="AB206" s="42"/>
      <c r="AC206" s="42"/>
      <c r="AD206" s="42"/>
      <c r="AE206" s="42"/>
      <c r="AF206" s="42"/>
      <c r="AG206" s="42"/>
      <c r="AH206" s="42"/>
      <c r="AI206" s="42"/>
      <c r="AJ206" s="42"/>
      <c r="AK206" s="42"/>
    </row>
    <row r="207">
      <c r="A207" s="20"/>
      <c r="B207" s="20"/>
      <c r="C207" s="20"/>
      <c r="D207" s="20"/>
      <c r="E207" s="20"/>
      <c r="F207" s="21"/>
      <c r="G207" s="20"/>
      <c r="H207" s="20"/>
      <c r="I207" s="20"/>
      <c r="J207" s="20"/>
      <c r="K207" s="20"/>
      <c r="L207" s="21"/>
      <c r="M207" s="33" t="str">
        <f>IFERROR(__xludf.DUMMYFUNCTION("IFS(W207=""Achat"",IFERROR(VALUE(X207),VALUE(REGEXREPLACE(T(X207),""[^0-9]"",""""))),W207=""Vente"",-IFERROR(VALUE(X207),VALUE(REGEXREPLACE(T(X207),""[^0-9]"",""""))),Y207=""Change"",0,Y207&lt;&gt;""Change"","""")"),"")</f>
        <v/>
      </c>
      <c r="N207" s="34" t="str">
        <f>IFERROR(__xludf.DUMMYFUNCTION("IF(Account!$F207&lt;&gt;"""", VALUE(REGEXREPLACE($I207, ""\,"", ""."")), """")"),"")</f>
        <v/>
      </c>
      <c r="O207" s="35" t="str">
        <f>IF(Account!$F207&lt;&gt;"", DATEVALUE(MID($A207,4,3) &amp; LEFT($A207,3) &amp; RIGHT($A207,4)) + TIMEVALUE($B207), "")</f>
        <v/>
      </c>
      <c r="P207" s="36" t="str">
        <f>IF(Account!$F207&lt;&gt;"", DATEVALUE(MID($C207,4,3) &amp; LEFT($C207,3) &amp; RIGHT($C207,4)), "")</f>
        <v/>
      </c>
      <c r="Q207" s="37" t="str">
        <f t="array" ref="Q207">IF($R207&lt;&gt;"",IFERROR(INDEX(ISIN!$B:$B,MATCH($R207,ISIN!$C:$C,0))),)</f>
        <v/>
      </c>
      <c r="R207" s="38" t="str">
        <f t="array" ref="R207">IF($E207&lt;&gt;"",IFERROR(INDEX(ISIN!$C:$C,MATCH($E207,ISIN!$A:$A,0)),IFERROR(INDEX($R208:$R1200,MATCH($K207,$K208:$K1200,0)))),IF(AND($Y207="change",$H207="EUR"),IF($O207=$O208,$R208,IF($O207=$O206,$R206)),IFERROR(INDEX($R208:$R1200,MATCH(SUBSTITUTE($I207,"-","",1),$K208:$K1200,0)))))</f>
        <v/>
      </c>
      <c r="S207" s="37" t="str">
        <f t="shared" si="1"/>
        <v/>
      </c>
      <c r="T207" s="39" t="str">
        <f t="shared" si="2"/>
        <v/>
      </c>
      <c r="U207" s="40" t="str">
        <f t="shared" si="3"/>
        <v/>
      </c>
      <c r="V207" s="34" t="str">
        <f t="shared" si="4"/>
        <v/>
      </c>
      <c r="W207" s="41" t="str">
        <f>IFERROR(__xludf.DUMMYFUNCTION(" IF(Account!$F207&lt;&gt;"""", SPLIT(Account!$F207, "" ""), """")"),"")</f>
        <v/>
      </c>
      <c r="X207" s="42"/>
      <c r="Y207" s="42"/>
      <c r="Z207" s="42"/>
      <c r="AA207" s="42"/>
      <c r="AB207" s="42"/>
      <c r="AC207" s="42"/>
      <c r="AD207" s="42"/>
      <c r="AE207" s="42"/>
      <c r="AF207" s="42"/>
      <c r="AG207" s="42"/>
      <c r="AH207" s="42"/>
      <c r="AI207" s="42"/>
      <c r="AJ207" s="42"/>
      <c r="AK207" s="42"/>
    </row>
    <row r="208">
      <c r="A208" s="20"/>
      <c r="B208" s="20"/>
      <c r="C208" s="20"/>
      <c r="D208" s="20"/>
      <c r="E208" s="20"/>
      <c r="F208" s="21"/>
      <c r="G208" s="20"/>
      <c r="H208" s="20"/>
      <c r="I208" s="20"/>
      <c r="J208" s="20"/>
      <c r="K208" s="20"/>
      <c r="L208" s="21"/>
      <c r="M208" s="33" t="str">
        <f>IFERROR(__xludf.DUMMYFUNCTION("IFS(W208=""Achat"",IFERROR(VALUE(X208),VALUE(REGEXREPLACE(T(X208),""[^0-9]"",""""))),W208=""Vente"",-IFERROR(VALUE(X208),VALUE(REGEXREPLACE(T(X208),""[^0-9]"",""""))),Y208=""Change"",0,Y208&lt;&gt;""Change"","""")"),"")</f>
        <v/>
      </c>
      <c r="N208" s="34" t="str">
        <f>IFERROR(__xludf.DUMMYFUNCTION("IF(Account!$F208&lt;&gt;"""", VALUE(REGEXREPLACE($I208, ""\,"", ""."")), """")"),"")</f>
        <v/>
      </c>
      <c r="O208" s="35" t="str">
        <f>IF(Account!$F208&lt;&gt;"", DATEVALUE(MID($A208,4,3) &amp; LEFT($A208,3) &amp; RIGHT($A208,4)) + TIMEVALUE($B208), "")</f>
        <v/>
      </c>
      <c r="P208" s="36" t="str">
        <f>IF(Account!$F208&lt;&gt;"", DATEVALUE(MID($C208,4,3) &amp; LEFT($C208,3) &amp; RIGHT($C208,4)), "")</f>
        <v/>
      </c>
      <c r="Q208" s="37" t="str">
        <f t="array" ref="Q208">IF($R208&lt;&gt;"",IFERROR(INDEX(ISIN!$B:$B,MATCH($R208,ISIN!$C:$C,0))),)</f>
        <v/>
      </c>
      <c r="R208" s="38" t="str">
        <f t="array" ref="R208">IF($E208&lt;&gt;"",IFERROR(INDEX(ISIN!$C:$C,MATCH($E208,ISIN!$A:$A,0)),IFERROR(INDEX($R209:$R1200,MATCH($K208,$K209:$K1200,0)))),IF(AND($Y208="change",$H208="EUR"),IF($O208=$O209,$R209,IF($O208=$O207,$R207)),IFERROR(INDEX($R209:$R1200,MATCH(SUBSTITUTE($I208,"-","",1),$K209:$K1200,0)))))</f>
        <v/>
      </c>
      <c r="S208" s="37" t="str">
        <f t="shared" si="1"/>
        <v/>
      </c>
      <c r="T208" s="39" t="str">
        <f t="shared" si="2"/>
        <v/>
      </c>
      <c r="U208" s="40" t="str">
        <f t="shared" si="3"/>
        <v/>
      </c>
      <c r="V208" s="34" t="str">
        <f t="shared" si="4"/>
        <v/>
      </c>
      <c r="W208" s="41" t="str">
        <f>IFERROR(__xludf.DUMMYFUNCTION(" IF(Account!$F208&lt;&gt;"""", SPLIT(Account!$F208, "" ""), """")"),"")</f>
        <v/>
      </c>
      <c r="X208" s="42"/>
      <c r="Y208" s="42"/>
      <c r="Z208" s="42"/>
      <c r="AA208" s="42"/>
      <c r="AB208" s="42"/>
      <c r="AC208" s="42"/>
      <c r="AD208" s="42"/>
      <c r="AE208" s="42"/>
      <c r="AF208" s="42"/>
      <c r="AG208" s="42"/>
      <c r="AH208" s="42"/>
      <c r="AI208" s="42"/>
      <c r="AJ208" s="42"/>
      <c r="AK208" s="42"/>
    </row>
    <row r="209">
      <c r="A209" s="20"/>
      <c r="B209" s="20"/>
      <c r="C209" s="20"/>
      <c r="D209" s="20"/>
      <c r="E209" s="20"/>
      <c r="F209" s="21"/>
      <c r="G209" s="20"/>
      <c r="H209" s="20"/>
      <c r="I209" s="20"/>
      <c r="J209" s="20"/>
      <c r="K209" s="20"/>
      <c r="L209" s="21"/>
      <c r="M209" s="33" t="str">
        <f>IFERROR(__xludf.DUMMYFUNCTION("IFS(W209=""Achat"",IFERROR(VALUE(X209),VALUE(REGEXREPLACE(T(X209),""[^0-9]"",""""))),W209=""Vente"",-IFERROR(VALUE(X209),VALUE(REGEXREPLACE(T(X209),""[^0-9]"",""""))),Y209=""Change"",0,Y209&lt;&gt;""Change"","""")"),"")</f>
        <v/>
      </c>
      <c r="N209" s="34" t="str">
        <f>IFERROR(__xludf.DUMMYFUNCTION("IF(Account!$F209&lt;&gt;"""", VALUE(REGEXREPLACE($I209, ""\,"", ""."")), """")"),"")</f>
        <v/>
      </c>
      <c r="O209" s="35" t="str">
        <f>IF(Account!$F209&lt;&gt;"", DATEVALUE(MID($A209,4,3) &amp; LEFT($A209,3) &amp; RIGHT($A209,4)) + TIMEVALUE($B209), "")</f>
        <v/>
      </c>
      <c r="P209" s="36" t="str">
        <f>IF(Account!$F209&lt;&gt;"", DATEVALUE(MID($C209,4,3) &amp; LEFT($C209,3) &amp; RIGHT($C209,4)), "")</f>
        <v/>
      </c>
      <c r="Q209" s="37" t="str">
        <f t="array" ref="Q209">IF($R209&lt;&gt;"",IFERROR(INDEX(ISIN!$B:$B,MATCH($R209,ISIN!$C:$C,0))),)</f>
        <v/>
      </c>
      <c r="R209" s="38" t="str">
        <f t="array" ref="R209">IF($E209&lt;&gt;"",IFERROR(INDEX(ISIN!$C:$C,MATCH($E209,ISIN!$A:$A,0)),IFERROR(INDEX($R210:$R1200,MATCH($K209,$K210:$K1200,0)))),IF(AND($Y209="change",$H209="EUR"),IF($O209=$O210,$R210,IF($O209=$O208,$R208)),IFERROR(INDEX($R210:$R1200,MATCH(SUBSTITUTE($I209,"-","",1),$K210:$K1200,0)))))</f>
        <v/>
      </c>
      <c r="S209" s="37" t="str">
        <f t="shared" si="1"/>
        <v/>
      </c>
      <c r="T209" s="39" t="str">
        <f t="shared" si="2"/>
        <v/>
      </c>
      <c r="U209" s="40" t="str">
        <f t="shared" si="3"/>
        <v/>
      </c>
      <c r="V209" s="34" t="str">
        <f t="shared" si="4"/>
        <v/>
      </c>
      <c r="W209" s="41" t="str">
        <f>IFERROR(__xludf.DUMMYFUNCTION(" IF(Account!$F209&lt;&gt;"""", SPLIT(Account!$F209, "" ""), """")"),"")</f>
        <v/>
      </c>
      <c r="X209" s="42"/>
      <c r="Y209" s="42"/>
      <c r="Z209" s="42"/>
      <c r="AA209" s="42"/>
      <c r="AB209" s="42"/>
      <c r="AC209" s="42"/>
      <c r="AD209" s="42"/>
      <c r="AE209" s="42"/>
      <c r="AF209" s="42"/>
      <c r="AG209" s="42"/>
      <c r="AH209" s="42"/>
      <c r="AI209" s="42"/>
      <c r="AJ209" s="42"/>
      <c r="AK209" s="42"/>
    </row>
    <row r="210">
      <c r="A210" s="20"/>
      <c r="B210" s="20"/>
      <c r="C210" s="20"/>
      <c r="D210" s="20"/>
      <c r="E210" s="20"/>
      <c r="F210" s="21"/>
      <c r="G210" s="20"/>
      <c r="H210" s="20"/>
      <c r="I210" s="20"/>
      <c r="J210" s="20"/>
      <c r="K210" s="20"/>
      <c r="L210" s="21"/>
      <c r="M210" s="33" t="str">
        <f>IFERROR(__xludf.DUMMYFUNCTION("IFS(W210=""Achat"",IFERROR(VALUE(X210),VALUE(REGEXREPLACE(T(X210),""[^0-9]"",""""))),W210=""Vente"",-IFERROR(VALUE(X210),VALUE(REGEXREPLACE(T(X210),""[^0-9]"",""""))),Y210=""Change"",0,Y210&lt;&gt;""Change"","""")"),"")</f>
        <v/>
      </c>
      <c r="N210" s="34" t="str">
        <f>IFERROR(__xludf.DUMMYFUNCTION("IF(Account!$F210&lt;&gt;"""", VALUE(REGEXREPLACE($I210, ""\,"", ""."")), """")"),"")</f>
        <v/>
      </c>
      <c r="O210" s="35" t="str">
        <f>IF(Account!$F210&lt;&gt;"", DATEVALUE(MID($A210,4,3) &amp; LEFT($A210,3) &amp; RIGHT($A210,4)) + TIMEVALUE($B210), "")</f>
        <v/>
      </c>
      <c r="P210" s="36" t="str">
        <f>IF(Account!$F210&lt;&gt;"", DATEVALUE(MID($C210,4,3) &amp; LEFT($C210,3) &amp; RIGHT($C210,4)), "")</f>
        <v/>
      </c>
      <c r="Q210" s="37" t="str">
        <f t="array" ref="Q210">IF($R210&lt;&gt;"",IFERROR(INDEX(ISIN!$B:$B,MATCH($R210,ISIN!$C:$C,0))),)</f>
        <v/>
      </c>
      <c r="R210" s="38" t="str">
        <f t="array" ref="R210">IF($E210&lt;&gt;"",IFERROR(INDEX(ISIN!$C:$C,MATCH($E210,ISIN!$A:$A,0)),IFERROR(INDEX($R211:$R1200,MATCH($K210,$K211:$K1200,0)))),IF(AND($Y210="change",$H210="EUR"),IF($O210=$O211,$R211,IF($O210=$O209,$R209)),IFERROR(INDEX($R211:$R1200,MATCH(SUBSTITUTE($I210,"-","",1),$K211:$K1200,0)))))</f>
        <v/>
      </c>
      <c r="S210" s="37" t="str">
        <f t="shared" si="1"/>
        <v/>
      </c>
      <c r="T210" s="39" t="str">
        <f t="shared" si="2"/>
        <v/>
      </c>
      <c r="U210" s="40" t="str">
        <f t="shared" si="3"/>
        <v/>
      </c>
      <c r="V210" s="34" t="str">
        <f t="shared" si="4"/>
        <v/>
      </c>
      <c r="W210" s="41" t="str">
        <f>IFERROR(__xludf.DUMMYFUNCTION(" IF(Account!$F210&lt;&gt;"""", SPLIT(Account!$F210, "" ""), """")"),"")</f>
        <v/>
      </c>
      <c r="X210" s="42"/>
      <c r="Y210" s="42"/>
      <c r="Z210" s="42"/>
      <c r="AA210" s="42"/>
      <c r="AB210" s="42"/>
      <c r="AC210" s="42"/>
      <c r="AD210" s="42"/>
      <c r="AE210" s="42"/>
      <c r="AF210" s="42"/>
      <c r="AG210" s="42"/>
      <c r="AH210" s="42"/>
      <c r="AI210" s="42"/>
      <c r="AJ210" s="42"/>
      <c r="AK210" s="42"/>
    </row>
    <row r="211">
      <c r="A211" s="20"/>
      <c r="B211" s="20"/>
      <c r="C211" s="20"/>
      <c r="D211" s="20"/>
      <c r="E211" s="20"/>
      <c r="F211" s="21"/>
      <c r="G211" s="20"/>
      <c r="H211" s="20"/>
      <c r="I211" s="20"/>
      <c r="J211" s="20"/>
      <c r="K211" s="20"/>
      <c r="L211" s="21"/>
      <c r="M211" s="33" t="str">
        <f>IFERROR(__xludf.DUMMYFUNCTION("IFS(W211=""Achat"",IFERROR(VALUE(X211),VALUE(REGEXREPLACE(T(X211),""[^0-9]"",""""))),W211=""Vente"",-IFERROR(VALUE(X211),VALUE(REGEXREPLACE(T(X211),""[^0-9]"",""""))),Y211=""Change"",0,Y211&lt;&gt;""Change"","""")"),"")</f>
        <v/>
      </c>
      <c r="N211" s="34" t="str">
        <f>IFERROR(__xludf.DUMMYFUNCTION("IF(Account!$F211&lt;&gt;"""", VALUE(REGEXREPLACE($I211, ""\,"", ""."")), """")"),"")</f>
        <v/>
      </c>
      <c r="O211" s="35" t="str">
        <f>IF(Account!$F211&lt;&gt;"", DATEVALUE(MID($A211,4,3) &amp; LEFT($A211,3) &amp; RIGHT($A211,4)) + TIMEVALUE($B211), "")</f>
        <v/>
      </c>
      <c r="P211" s="36" t="str">
        <f>IF(Account!$F211&lt;&gt;"", DATEVALUE(MID($C211,4,3) &amp; LEFT($C211,3) &amp; RIGHT($C211,4)), "")</f>
        <v/>
      </c>
      <c r="Q211" s="37" t="str">
        <f t="array" ref="Q211">IF($R211&lt;&gt;"",IFERROR(INDEX(ISIN!$B:$B,MATCH($R211,ISIN!$C:$C,0))),)</f>
        <v/>
      </c>
      <c r="R211" s="38" t="str">
        <f t="array" ref="R211">IF($E211&lt;&gt;"",IFERROR(INDEX(ISIN!$C:$C,MATCH($E211,ISIN!$A:$A,0)),IFERROR(INDEX($R212:$R1200,MATCH($K211,$K212:$K1200,0)))),IF(AND($Y211="change",$H211="EUR"),IF($O211=$O212,$R212,IF($O211=$O210,$R210)),IFERROR(INDEX($R212:$R1200,MATCH(SUBSTITUTE($I211,"-","",1),$K212:$K1200,0)))))</f>
        <v/>
      </c>
      <c r="S211" s="37" t="str">
        <f t="shared" si="1"/>
        <v/>
      </c>
      <c r="T211" s="39" t="str">
        <f t="shared" si="2"/>
        <v/>
      </c>
      <c r="U211" s="40" t="str">
        <f t="shared" si="3"/>
        <v/>
      </c>
      <c r="V211" s="34" t="str">
        <f t="shared" si="4"/>
        <v/>
      </c>
      <c r="W211" s="41" t="str">
        <f>IFERROR(__xludf.DUMMYFUNCTION(" IF(Account!$F211&lt;&gt;"""", SPLIT(Account!$F211, "" ""), """")"),"")</f>
        <v/>
      </c>
      <c r="X211" s="42"/>
      <c r="Y211" s="42"/>
      <c r="Z211" s="42"/>
      <c r="AA211" s="42"/>
      <c r="AB211" s="42"/>
      <c r="AC211" s="42"/>
      <c r="AD211" s="42"/>
      <c r="AE211" s="42"/>
      <c r="AF211" s="42"/>
      <c r="AG211" s="42"/>
      <c r="AH211" s="42"/>
      <c r="AI211" s="42"/>
      <c r="AJ211" s="42"/>
      <c r="AK211" s="42"/>
    </row>
    <row r="212">
      <c r="A212" s="20"/>
      <c r="B212" s="20"/>
      <c r="C212" s="20"/>
      <c r="D212" s="20"/>
      <c r="E212" s="20"/>
      <c r="F212" s="21"/>
      <c r="G212" s="20"/>
      <c r="H212" s="20"/>
      <c r="I212" s="20"/>
      <c r="J212" s="20"/>
      <c r="K212" s="20"/>
      <c r="L212" s="21"/>
      <c r="M212" s="33" t="str">
        <f>IFERROR(__xludf.DUMMYFUNCTION("IFS(W212=""Achat"",IFERROR(VALUE(X212),VALUE(REGEXREPLACE(T(X212),""[^0-9]"",""""))),W212=""Vente"",-IFERROR(VALUE(X212),VALUE(REGEXREPLACE(T(X212),""[^0-9]"",""""))),Y212=""Change"",0,Y212&lt;&gt;""Change"","""")"),"")</f>
        <v/>
      </c>
      <c r="N212" s="34" t="str">
        <f>IFERROR(__xludf.DUMMYFUNCTION("IF(Account!$F212&lt;&gt;"""", VALUE(REGEXREPLACE($I212, ""\,"", ""."")), """")"),"")</f>
        <v/>
      </c>
      <c r="O212" s="35" t="str">
        <f>IF(Account!$F212&lt;&gt;"", DATEVALUE(MID($A212,4,3) &amp; LEFT($A212,3) &amp; RIGHT($A212,4)) + TIMEVALUE($B212), "")</f>
        <v/>
      </c>
      <c r="P212" s="36" t="str">
        <f>IF(Account!$F212&lt;&gt;"", DATEVALUE(MID($C212,4,3) &amp; LEFT($C212,3) &amp; RIGHT($C212,4)), "")</f>
        <v/>
      </c>
      <c r="Q212" s="37" t="str">
        <f t="array" ref="Q212">IF($R212&lt;&gt;"",IFERROR(INDEX(ISIN!$B:$B,MATCH($R212,ISIN!$C:$C,0))),)</f>
        <v/>
      </c>
      <c r="R212" s="38" t="str">
        <f t="array" ref="R212">IF($E212&lt;&gt;"",IFERROR(INDEX(ISIN!$C:$C,MATCH($E212,ISIN!$A:$A,0)),IFERROR(INDEX($R213:$R1200,MATCH($K212,$K213:$K1200,0)))),IF(AND($Y212="change",$H212="EUR"),IF($O212=$O213,$R213,IF($O212=$O211,$R211)),IFERROR(INDEX($R213:$R1200,MATCH(SUBSTITUTE($I212,"-","",1),$K213:$K1200,0)))))</f>
        <v/>
      </c>
      <c r="S212" s="37" t="str">
        <f t="shared" si="1"/>
        <v/>
      </c>
      <c r="T212" s="39" t="str">
        <f t="shared" si="2"/>
        <v/>
      </c>
      <c r="U212" s="40" t="str">
        <f t="shared" si="3"/>
        <v/>
      </c>
      <c r="V212" s="34" t="str">
        <f t="shared" si="4"/>
        <v/>
      </c>
      <c r="W212" s="41" t="str">
        <f>IFERROR(__xludf.DUMMYFUNCTION(" IF(Account!$F212&lt;&gt;"""", SPLIT(Account!$F212, "" ""), """")"),"")</f>
        <v/>
      </c>
      <c r="X212" s="42"/>
      <c r="Y212" s="42"/>
      <c r="Z212" s="42"/>
      <c r="AA212" s="42"/>
      <c r="AB212" s="42"/>
      <c r="AC212" s="42"/>
      <c r="AD212" s="42"/>
      <c r="AE212" s="42"/>
      <c r="AF212" s="42"/>
      <c r="AG212" s="42"/>
      <c r="AH212" s="42"/>
      <c r="AI212" s="42"/>
      <c r="AJ212" s="42"/>
      <c r="AK212" s="42"/>
    </row>
    <row r="213">
      <c r="A213" s="20"/>
      <c r="B213" s="20"/>
      <c r="C213" s="20"/>
      <c r="D213" s="20"/>
      <c r="E213" s="20"/>
      <c r="F213" s="21"/>
      <c r="G213" s="45"/>
      <c r="H213" s="20"/>
      <c r="I213" s="20"/>
      <c r="J213" s="20"/>
      <c r="K213" s="20"/>
      <c r="L213" s="21"/>
      <c r="M213" s="33" t="str">
        <f>IFERROR(__xludf.DUMMYFUNCTION("IFS(W213=""Achat"",IFERROR(VALUE(X213),VALUE(REGEXREPLACE(T(X213),""[^0-9]"",""""))),W213=""Vente"",-IFERROR(VALUE(X213),VALUE(REGEXREPLACE(T(X213),""[^0-9]"",""""))),Y213=""Change"",0,Y213&lt;&gt;""Change"","""")"),"")</f>
        <v/>
      </c>
      <c r="N213" s="34" t="str">
        <f>IFERROR(__xludf.DUMMYFUNCTION("IF(Account!$F213&lt;&gt;"""", VALUE(REGEXREPLACE($I213, ""\,"", ""."")), """")"),"")</f>
        <v/>
      </c>
      <c r="O213" s="35" t="str">
        <f>IF(Account!$F213&lt;&gt;"", DATEVALUE(MID($A213,4,3) &amp; LEFT($A213,3) &amp; RIGHT($A213,4)) + TIMEVALUE($B213), "")</f>
        <v/>
      </c>
      <c r="P213" s="36" t="str">
        <f>IF(Account!$F213&lt;&gt;"", DATEVALUE(MID($C213,4,3) &amp; LEFT($C213,3) &amp; RIGHT($C213,4)), "")</f>
        <v/>
      </c>
      <c r="Q213" s="37" t="str">
        <f t="array" ref="Q213">IF($R213&lt;&gt;"",IFERROR(INDEX(ISIN!$B:$B,MATCH($R213,ISIN!$C:$C,0))),)</f>
        <v/>
      </c>
      <c r="R213" s="38" t="str">
        <f t="array" ref="R213">IF($E213&lt;&gt;"",IFERROR(INDEX(ISIN!$C:$C,MATCH($E213,ISIN!$A:$A,0)),IFERROR(INDEX($R214:$R1200,MATCH($K213,$K214:$K1200,0)))),IF(AND($Y213="change",$H213="EUR"),IF($O213=$O214,$R214,IF($O213=$O212,$R212)),IFERROR(INDEX($R214:$R1200,MATCH(SUBSTITUTE($I213,"-","",1),$K214:$K1200,0)))))</f>
        <v/>
      </c>
      <c r="S213" s="37" t="str">
        <f t="shared" si="1"/>
        <v/>
      </c>
      <c r="T213" s="39" t="str">
        <f t="shared" si="2"/>
        <v/>
      </c>
      <c r="U213" s="40" t="str">
        <f t="shared" si="3"/>
        <v/>
      </c>
      <c r="V213" s="34" t="str">
        <f t="shared" si="4"/>
        <v/>
      </c>
      <c r="W213" s="41" t="str">
        <f>IFERROR(__xludf.DUMMYFUNCTION(" IF(Account!$F213&lt;&gt;"""", SPLIT(Account!$F213, "" ""), """")"),"")</f>
        <v/>
      </c>
      <c r="X213" s="42"/>
      <c r="Y213" s="42"/>
      <c r="Z213" s="42"/>
      <c r="AA213" s="42"/>
      <c r="AB213" s="42"/>
      <c r="AC213" s="42"/>
      <c r="AD213" s="42"/>
      <c r="AE213" s="42"/>
      <c r="AF213" s="42"/>
      <c r="AG213" s="42"/>
      <c r="AH213" s="42"/>
      <c r="AI213" s="42"/>
      <c r="AJ213" s="42"/>
      <c r="AK213" s="42"/>
    </row>
    <row r="214">
      <c r="A214" s="20"/>
      <c r="B214" s="20"/>
      <c r="C214" s="20"/>
      <c r="D214" s="20"/>
      <c r="E214" s="20"/>
      <c r="F214" s="21"/>
      <c r="G214" s="20"/>
      <c r="H214" s="20"/>
      <c r="I214" s="20"/>
      <c r="J214" s="20"/>
      <c r="K214" s="20"/>
      <c r="L214" s="21"/>
      <c r="M214" s="33" t="str">
        <f>IFERROR(__xludf.DUMMYFUNCTION("IFS(W214=""Achat"",IFERROR(VALUE(X214),VALUE(REGEXREPLACE(T(X214),""[^0-9]"",""""))),W214=""Vente"",-IFERROR(VALUE(X214),VALUE(REGEXREPLACE(T(X214),""[^0-9]"",""""))),Y214=""Change"",0,Y214&lt;&gt;""Change"","""")"),"")</f>
        <v/>
      </c>
      <c r="N214" s="34" t="str">
        <f>IFERROR(__xludf.DUMMYFUNCTION("IF(Account!$F214&lt;&gt;"""", VALUE(REGEXREPLACE($I214, ""\,"", ""."")), """")"),"")</f>
        <v/>
      </c>
      <c r="O214" s="35" t="str">
        <f>IF(Account!$F214&lt;&gt;"", DATEVALUE(MID($A214,4,3) &amp; LEFT($A214,3) &amp; RIGHT($A214,4)) + TIMEVALUE($B214), "")</f>
        <v/>
      </c>
      <c r="P214" s="36" t="str">
        <f>IF(Account!$F214&lt;&gt;"", DATEVALUE(MID($C214,4,3) &amp; LEFT($C214,3) &amp; RIGHT($C214,4)), "")</f>
        <v/>
      </c>
      <c r="Q214" s="37" t="str">
        <f t="array" ref="Q214">IF($R214&lt;&gt;"",IFERROR(INDEX(ISIN!$B:$B,MATCH($R214,ISIN!$C:$C,0))),)</f>
        <v/>
      </c>
      <c r="R214" s="38" t="str">
        <f t="array" ref="R214">IF($E214&lt;&gt;"",IFERROR(INDEX(ISIN!$C:$C,MATCH($E214,ISIN!$A:$A,0)),IFERROR(INDEX($R215:$R1200,MATCH($K214,$K215:$K1200,0)))),IF(AND($Y214="change",$H214="EUR"),IF($O214=$O215,$R215,IF($O214=$O213,$R213)),IFERROR(INDEX($R215:$R1200,MATCH(SUBSTITUTE($I214,"-","",1),$K215:$K1200,0)))))</f>
        <v/>
      </c>
      <c r="S214" s="37" t="str">
        <f t="shared" si="1"/>
        <v/>
      </c>
      <c r="T214" s="39" t="str">
        <f t="shared" si="2"/>
        <v/>
      </c>
      <c r="U214" s="40" t="str">
        <f t="shared" si="3"/>
        <v/>
      </c>
      <c r="V214" s="34" t="str">
        <f t="shared" si="4"/>
        <v/>
      </c>
      <c r="W214" s="41" t="str">
        <f>IFERROR(__xludf.DUMMYFUNCTION(" IF(Account!$F214&lt;&gt;"""", SPLIT(Account!$F214, "" ""), """")"),"")</f>
        <v/>
      </c>
      <c r="X214" s="42"/>
      <c r="Y214" s="42"/>
      <c r="Z214" s="42"/>
      <c r="AA214" s="42"/>
      <c r="AB214" s="42"/>
      <c r="AC214" s="42"/>
      <c r="AD214" s="42"/>
      <c r="AE214" s="42"/>
      <c r="AF214" s="42"/>
      <c r="AG214" s="42"/>
      <c r="AH214" s="42"/>
      <c r="AI214" s="42"/>
      <c r="AJ214" s="42"/>
      <c r="AK214" s="42"/>
    </row>
    <row r="215">
      <c r="A215" s="20"/>
      <c r="B215" s="20"/>
      <c r="C215" s="20"/>
      <c r="D215" s="20"/>
      <c r="E215" s="20"/>
      <c r="F215" s="21"/>
      <c r="G215" s="45"/>
      <c r="H215" s="20"/>
      <c r="I215" s="20"/>
      <c r="J215" s="20"/>
      <c r="K215" s="20"/>
      <c r="L215" s="21"/>
      <c r="M215" s="33" t="str">
        <f>IFERROR(__xludf.DUMMYFUNCTION("IFS(W215=""Achat"",IFERROR(VALUE(X215),VALUE(REGEXREPLACE(T(X215),""[^0-9]"",""""))),W215=""Vente"",-IFERROR(VALUE(X215),VALUE(REGEXREPLACE(T(X215),""[^0-9]"",""""))),Y215=""Change"",0,Y215&lt;&gt;""Change"","""")"),"")</f>
        <v/>
      </c>
      <c r="N215" s="34" t="str">
        <f>IFERROR(__xludf.DUMMYFUNCTION("IF(Account!$F215&lt;&gt;"""", VALUE(REGEXREPLACE($I215, ""\,"", ""."")), """")"),"")</f>
        <v/>
      </c>
      <c r="O215" s="35" t="str">
        <f>IF(Account!$F215&lt;&gt;"", DATEVALUE(MID($A215,4,3) &amp; LEFT($A215,3) &amp; RIGHT($A215,4)) + TIMEVALUE($B215), "")</f>
        <v/>
      </c>
      <c r="P215" s="36" t="str">
        <f>IF(Account!$F215&lt;&gt;"", DATEVALUE(MID($C215,4,3) &amp; LEFT($C215,3) &amp; RIGHT($C215,4)), "")</f>
        <v/>
      </c>
      <c r="Q215" s="37" t="str">
        <f t="array" ref="Q215">IF($R215&lt;&gt;"",IFERROR(INDEX(ISIN!$B:$B,MATCH($R215,ISIN!$C:$C,0))),)</f>
        <v/>
      </c>
      <c r="R215" s="38" t="str">
        <f t="array" ref="R215">IF($E215&lt;&gt;"",IFERROR(INDEX(ISIN!$C:$C,MATCH($E215,ISIN!$A:$A,0)),IFERROR(INDEX($R216:$R1200,MATCH($K215,$K216:$K1200,0)))),IF(AND($Y215="change",$H215="EUR"),IF($O215=$O216,$R216,IF($O215=$O214,$R214)),IFERROR(INDEX($R216:$R1200,MATCH(SUBSTITUTE($I215,"-","",1),$K216:$K1200,0)))))</f>
        <v/>
      </c>
      <c r="S215" s="37" t="str">
        <f t="shared" si="1"/>
        <v/>
      </c>
      <c r="T215" s="39" t="str">
        <f t="shared" si="2"/>
        <v/>
      </c>
      <c r="U215" s="40" t="str">
        <f t="shared" si="3"/>
        <v/>
      </c>
      <c r="V215" s="34" t="str">
        <f t="shared" si="4"/>
        <v/>
      </c>
      <c r="W215" s="41" t="str">
        <f>IFERROR(__xludf.DUMMYFUNCTION(" IF(Account!$F215&lt;&gt;"""", SPLIT(Account!$F215, "" ""), """")"),"")</f>
        <v/>
      </c>
      <c r="X215" s="42"/>
      <c r="Y215" s="42"/>
      <c r="Z215" s="42"/>
      <c r="AA215" s="42"/>
      <c r="AB215" s="42"/>
      <c r="AC215" s="42"/>
      <c r="AD215" s="42"/>
      <c r="AE215" s="42"/>
      <c r="AF215" s="42"/>
      <c r="AG215" s="42"/>
      <c r="AH215" s="42"/>
      <c r="AI215" s="42"/>
      <c r="AJ215" s="42"/>
      <c r="AK215" s="42"/>
    </row>
    <row r="216">
      <c r="A216" s="20"/>
      <c r="B216" s="20"/>
      <c r="C216" s="20"/>
      <c r="D216" s="20"/>
      <c r="E216" s="20"/>
      <c r="F216" s="21"/>
      <c r="G216" s="20"/>
      <c r="H216" s="20"/>
      <c r="I216" s="20"/>
      <c r="J216" s="20"/>
      <c r="K216" s="20"/>
      <c r="L216" s="21"/>
      <c r="M216" s="33" t="str">
        <f>IFERROR(__xludf.DUMMYFUNCTION("IFS(W216=""Achat"",IFERROR(VALUE(X216),VALUE(REGEXREPLACE(T(X216),""[^0-9]"",""""))),W216=""Vente"",-IFERROR(VALUE(X216),VALUE(REGEXREPLACE(T(X216),""[^0-9]"",""""))),Y216=""Change"",0,Y216&lt;&gt;""Change"","""")"),"")</f>
        <v/>
      </c>
      <c r="N216" s="34" t="str">
        <f>IFERROR(__xludf.DUMMYFUNCTION("IF(Account!$F216&lt;&gt;"""", VALUE(REGEXREPLACE($I216, ""\,"", ""."")), """")"),"")</f>
        <v/>
      </c>
      <c r="O216" s="35" t="str">
        <f>IF(Account!$F216&lt;&gt;"", DATEVALUE(MID($A216,4,3) &amp; LEFT($A216,3) &amp; RIGHT($A216,4)) + TIMEVALUE($B216), "")</f>
        <v/>
      </c>
      <c r="P216" s="36" t="str">
        <f>IF(Account!$F216&lt;&gt;"", DATEVALUE(MID($C216,4,3) &amp; LEFT($C216,3) &amp; RIGHT($C216,4)), "")</f>
        <v/>
      </c>
      <c r="Q216" s="37" t="str">
        <f t="array" ref="Q216">IF($R216&lt;&gt;"",IFERROR(INDEX(ISIN!$B:$B,MATCH($R216,ISIN!$C:$C,0))),)</f>
        <v/>
      </c>
      <c r="R216" s="38" t="str">
        <f t="array" ref="R216">IF($E216&lt;&gt;"",IFERROR(INDEX(ISIN!$C:$C,MATCH($E216,ISIN!$A:$A,0)),IFERROR(INDEX($R217:$R1200,MATCH($K216,$K217:$K1200,0)))),IF(AND($Y216="change",$H216="EUR"),IF($O216=$O217,$R217,IF($O216=$O215,$R215)),IFERROR(INDEX($R217:$R1200,MATCH(SUBSTITUTE($I216,"-","",1),$K217:$K1200,0)))))</f>
        <v/>
      </c>
      <c r="S216" s="37" t="str">
        <f t="shared" si="1"/>
        <v/>
      </c>
      <c r="T216" s="39" t="str">
        <f t="shared" si="2"/>
        <v/>
      </c>
      <c r="U216" s="40" t="str">
        <f t="shared" si="3"/>
        <v/>
      </c>
      <c r="V216" s="34" t="str">
        <f t="shared" si="4"/>
        <v/>
      </c>
      <c r="W216" s="41" t="str">
        <f>IFERROR(__xludf.DUMMYFUNCTION(" IF(Account!$F216&lt;&gt;"""", SPLIT(Account!$F216, "" ""), """")"),"")</f>
        <v/>
      </c>
      <c r="X216" s="42"/>
      <c r="Y216" s="42"/>
      <c r="Z216" s="42"/>
      <c r="AA216" s="42"/>
      <c r="AB216" s="42"/>
      <c r="AC216" s="42"/>
      <c r="AD216" s="42"/>
      <c r="AE216" s="42"/>
      <c r="AF216" s="42"/>
      <c r="AG216" s="42"/>
      <c r="AH216" s="42"/>
      <c r="AI216" s="42"/>
      <c r="AJ216" s="42"/>
      <c r="AK216" s="42"/>
    </row>
    <row r="217">
      <c r="A217" s="20"/>
      <c r="B217" s="20"/>
      <c r="C217" s="20"/>
      <c r="D217" s="20"/>
      <c r="E217" s="20"/>
      <c r="F217" s="21"/>
      <c r="G217" s="45"/>
      <c r="H217" s="20"/>
      <c r="I217" s="20"/>
      <c r="J217" s="20"/>
      <c r="K217" s="20"/>
      <c r="L217" s="21"/>
      <c r="M217" s="33" t="str">
        <f>IFERROR(__xludf.DUMMYFUNCTION("IFS(W217=""Achat"",IFERROR(VALUE(X217),VALUE(REGEXREPLACE(T(X217),""[^0-9]"",""""))),W217=""Vente"",-IFERROR(VALUE(X217),VALUE(REGEXREPLACE(T(X217),""[^0-9]"",""""))),Y217=""Change"",0,Y217&lt;&gt;""Change"","""")"),"")</f>
        <v/>
      </c>
      <c r="N217" s="34" t="str">
        <f>IFERROR(__xludf.DUMMYFUNCTION("IF(Account!$F217&lt;&gt;"""", VALUE(REGEXREPLACE($I217, ""\,"", ""."")), """")"),"")</f>
        <v/>
      </c>
      <c r="O217" s="35" t="str">
        <f>IF(Account!$F217&lt;&gt;"", DATEVALUE(MID($A217,4,3) &amp; LEFT($A217,3) &amp; RIGHT($A217,4)) + TIMEVALUE($B217), "")</f>
        <v/>
      </c>
      <c r="P217" s="36" t="str">
        <f>IF(Account!$F217&lt;&gt;"", DATEVALUE(MID($C217,4,3) &amp; LEFT($C217,3) &amp; RIGHT($C217,4)), "")</f>
        <v/>
      </c>
      <c r="Q217" s="37" t="str">
        <f t="array" ref="Q217">IF($R217&lt;&gt;"",IFERROR(INDEX(ISIN!$B:$B,MATCH($R217,ISIN!$C:$C,0))),)</f>
        <v/>
      </c>
      <c r="R217" s="38" t="str">
        <f t="array" ref="R217">IF($E217&lt;&gt;"",IFERROR(INDEX(ISIN!$C:$C,MATCH($E217,ISIN!$A:$A,0)),IFERROR(INDEX($R218:$R1200,MATCH($K217,$K218:$K1200,0)))),IF(AND($Y217="change",$H217="EUR"),IF($O217=$O218,$R218,IF($O217=$O216,$R216)),IFERROR(INDEX($R218:$R1200,MATCH(SUBSTITUTE($I217,"-","",1),$K218:$K1200,0)))))</f>
        <v/>
      </c>
      <c r="S217" s="37" t="str">
        <f t="shared" si="1"/>
        <v/>
      </c>
      <c r="T217" s="39" t="str">
        <f t="shared" si="2"/>
        <v/>
      </c>
      <c r="U217" s="40" t="str">
        <f t="shared" si="3"/>
        <v/>
      </c>
      <c r="V217" s="34" t="str">
        <f t="shared" si="4"/>
        <v/>
      </c>
      <c r="W217" s="41" t="str">
        <f>IFERROR(__xludf.DUMMYFUNCTION(" IF(Account!$F217&lt;&gt;"""", SPLIT(Account!$F217, "" ""), """")"),"")</f>
        <v/>
      </c>
      <c r="X217" s="42"/>
      <c r="Y217" s="42"/>
      <c r="Z217" s="42"/>
      <c r="AA217" s="42"/>
      <c r="AB217" s="42"/>
      <c r="AC217" s="42"/>
      <c r="AD217" s="42"/>
      <c r="AE217" s="42"/>
      <c r="AF217" s="42"/>
      <c r="AG217" s="42"/>
      <c r="AH217" s="42"/>
      <c r="AI217" s="42"/>
      <c r="AJ217" s="42"/>
      <c r="AK217" s="42"/>
    </row>
    <row r="218">
      <c r="A218" s="20"/>
      <c r="B218" s="20"/>
      <c r="C218" s="20"/>
      <c r="D218" s="20"/>
      <c r="E218" s="20"/>
      <c r="F218" s="21"/>
      <c r="G218" s="20"/>
      <c r="H218" s="20"/>
      <c r="I218" s="20"/>
      <c r="J218" s="20"/>
      <c r="K218" s="20"/>
      <c r="L218" s="21"/>
      <c r="M218" s="33" t="str">
        <f>IFERROR(__xludf.DUMMYFUNCTION("IFS(W218=""Achat"",IFERROR(VALUE(X218),VALUE(REGEXREPLACE(T(X218),""[^0-9]"",""""))),W218=""Vente"",-IFERROR(VALUE(X218),VALUE(REGEXREPLACE(T(X218),""[^0-9]"",""""))),Y218=""Change"",0,Y218&lt;&gt;""Change"","""")"),"")</f>
        <v/>
      </c>
      <c r="N218" s="34" t="str">
        <f>IFERROR(__xludf.DUMMYFUNCTION("IF(Account!$F218&lt;&gt;"""", VALUE(REGEXREPLACE($I218, ""\,"", ""."")), """")"),"")</f>
        <v/>
      </c>
      <c r="O218" s="35" t="str">
        <f>IF(Account!$F218&lt;&gt;"", DATEVALUE(MID($A218,4,3) &amp; LEFT($A218,3) &amp; RIGHT($A218,4)) + TIMEVALUE($B218), "")</f>
        <v/>
      </c>
      <c r="P218" s="36" t="str">
        <f>IF(Account!$F218&lt;&gt;"", DATEVALUE(MID($C218,4,3) &amp; LEFT($C218,3) &amp; RIGHT($C218,4)), "")</f>
        <v/>
      </c>
      <c r="Q218" s="37" t="str">
        <f t="array" ref="Q218">IF($R218&lt;&gt;"",IFERROR(INDEX(ISIN!$B:$B,MATCH($R218,ISIN!$C:$C,0))),)</f>
        <v/>
      </c>
      <c r="R218" s="38" t="str">
        <f t="array" ref="R218">IF($E218&lt;&gt;"",IFERROR(INDEX(ISIN!$C:$C,MATCH($E218,ISIN!$A:$A,0)),IFERROR(INDEX($R219:$R1200,MATCH($K218,$K219:$K1200,0)))),IF(AND($Y218="change",$H218="EUR"),IF($O218=$O219,$R219,IF($O218=$O217,$R217)),IFERROR(INDEX($R219:$R1200,MATCH(SUBSTITUTE($I218,"-","",1),$K219:$K1200,0)))))</f>
        <v/>
      </c>
      <c r="S218" s="37" t="str">
        <f t="shared" si="1"/>
        <v/>
      </c>
      <c r="T218" s="39" t="str">
        <f t="shared" si="2"/>
        <v/>
      </c>
      <c r="U218" s="40" t="str">
        <f t="shared" si="3"/>
        <v/>
      </c>
      <c r="V218" s="34" t="str">
        <f t="shared" si="4"/>
        <v/>
      </c>
      <c r="W218" s="41" t="str">
        <f>IFERROR(__xludf.DUMMYFUNCTION(" IF(Account!$F218&lt;&gt;"""", SPLIT(Account!$F218, "" ""), """")"),"")</f>
        <v/>
      </c>
      <c r="X218" s="42"/>
      <c r="Y218" s="42"/>
      <c r="Z218" s="42"/>
      <c r="AA218" s="42"/>
      <c r="AB218" s="42"/>
      <c r="AC218" s="42"/>
      <c r="AD218" s="42"/>
      <c r="AE218" s="42"/>
      <c r="AF218" s="42"/>
      <c r="AG218" s="42"/>
      <c r="AH218" s="42"/>
      <c r="AI218" s="42"/>
      <c r="AJ218" s="42"/>
      <c r="AK218" s="42"/>
    </row>
    <row r="219">
      <c r="A219" s="20"/>
      <c r="B219" s="20"/>
      <c r="C219" s="20"/>
      <c r="D219" s="20"/>
      <c r="E219" s="20"/>
      <c r="F219" s="21"/>
      <c r="G219" s="45"/>
      <c r="H219" s="20"/>
      <c r="I219" s="20"/>
      <c r="J219" s="20"/>
      <c r="K219" s="20"/>
      <c r="L219" s="21"/>
      <c r="M219" s="33" t="str">
        <f>IFERROR(__xludf.DUMMYFUNCTION("IFS(W219=""Achat"",IFERROR(VALUE(X219),VALUE(REGEXREPLACE(T(X219),""[^0-9]"",""""))),W219=""Vente"",-IFERROR(VALUE(X219),VALUE(REGEXREPLACE(T(X219),""[^0-9]"",""""))),Y219=""Change"",0,Y219&lt;&gt;""Change"","""")"),"")</f>
        <v/>
      </c>
      <c r="N219" s="34" t="str">
        <f>IFERROR(__xludf.DUMMYFUNCTION("IF(Account!$F219&lt;&gt;"""", VALUE(REGEXREPLACE($I219, ""\,"", ""."")), """")"),"")</f>
        <v/>
      </c>
      <c r="O219" s="35" t="str">
        <f>IF(Account!$F219&lt;&gt;"", DATEVALUE(MID($A219,4,3) &amp; LEFT($A219,3) &amp; RIGHT($A219,4)) + TIMEVALUE($B219), "")</f>
        <v/>
      </c>
      <c r="P219" s="36" t="str">
        <f>IF(Account!$F219&lt;&gt;"", DATEVALUE(MID($C219,4,3) &amp; LEFT($C219,3) &amp; RIGHT($C219,4)), "")</f>
        <v/>
      </c>
      <c r="Q219" s="37" t="str">
        <f t="array" ref="Q219">IF($R219&lt;&gt;"",IFERROR(INDEX(ISIN!$B:$B,MATCH($R219,ISIN!$C:$C,0))),)</f>
        <v/>
      </c>
      <c r="R219" s="38" t="str">
        <f t="array" ref="R219">IF($E219&lt;&gt;"",IFERROR(INDEX(ISIN!$C:$C,MATCH($E219,ISIN!$A:$A,0)),IFERROR(INDEX($R220:$R1200,MATCH($K219,$K220:$K1200,0)))),IF(AND($Y219="change",$H219="EUR"),IF($O219=$O220,$R220,IF($O219=$O218,$R218)),IFERROR(INDEX($R220:$R1200,MATCH(SUBSTITUTE($I219,"-","",1),$K220:$K1200,0)))))</f>
        <v/>
      </c>
      <c r="S219" s="37" t="str">
        <f t="shared" si="1"/>
        <v/>
      </c>
      <c r="T219" s="39" t="str">
        <f t="shared" si="2"/>
        <v/>
      </c>
      <c r="U219" s="40" t="str">
        <f t="shared" si="3"/>
        <v/>
      </c>
      <c r="V219" s="34" t="str">
        <f t="shared" si="4"/>
        <v/>
      </c>
      <c r="W219" s="41" t="str">
        <f>IFERROR(__xludf.DUMMYFUNCTION(" IF(Account!$F219&lt;&gt;"""", SPLIT(Account!$F219, "" ""), """")"),"")</f>
        <v/>
      </c>
      <c r="X219" s="42"/>
      <c r="Y219" s="42"/>
      <c r="Z219" s="42"/>
      <c r="AA219" s="42"/>
      <c r="AB219" s="42"/>
      <c r="AC219" s="42"/>
      <c r="AD219" s="42"/>
      <c r="AE219" s="42"/>
      <c r="AF219" s="42"/>
      <c r="AG219" s="42"/>
      <c r="AH219" s="42"/>
      <c r="AI219" s="42"/>
      <c r="AJ219" s="42"/>
      <c r="AK219" s="42"/>
    </row>
    <row r="220">
      <c r="A220" s="20"/>
      <c r="B220" s="20"/>
      <c r="C220" s="20"/>
      <c r="D220" s="20"/>
      <c r="E220" s="20"/>
      <c r="F220" s="21"/>
      <c r="G220" s="20"/>
      <c r="H220" s="20"/>
      <c r="I220" s="20"/>
      <c r="J220" s="20"/>
      <c r="K220" s="20"/>
      <c r="L220" s="21"/>
      <c r="M220" s="33" t="str">
        <f>IFERROR(__xludf.DUMMYFUNCTION("IFS(W220=""Achat"",IFERROR(VALUE(X220),VALUE(REGEXREPLACE(T(X220),""[^0-9]"",""""))),W220=""Vente"",-IFERROR(VALUE(X220),VALUE(REGEXREPLACE(T(X220),""[^0-9]"",""""))),Y220=""Change"",0,Y220&lt;&gt;""Change"","""")"),"")</f>
        <v/>
      </c>
      <c r="N220" s="34" t="str">
        <f>IFERROR(__xludf.DUMMYFUNCTION("IF(Account!$F220&lt;&gt;"""", VALUE(REGEXREPLACE($I220, ""\,"", ""."")), """")"),"")</f>
        <v/>
      </c>
      <c r="O220" s="35" t="str">
        <f>IF(Account!$F220&lt;&gt;"", DATEVALUE(MID($A220,4,3) &amp; LEFT($A220,3) &amp; RIGHT($A220,4)) + TIMEVALUE($B220), "")</f>
        <v/>
      </c>
      <c r="P220" s="36" t="str">
        <f>IF(Account!$F220&lt;&gt;"", DATEVALUE(MID($C220,4,3) &amp; LEFT($C220,3) &amp; RIGHT($C220,4)), "")</f>
        <v/>
      </c>
      <c r="Q220" s="37" t="str">
        <f t="array" ref="Q220">IF($R220&lt;&gt;"",IFERROR(INDEX(ISIN!$B:$B,MATCH($R220,ISIN!$C:$C,0))),)</f>
        <v/>
      </c>
      <c r="R220" s="38" t="str">
        <f t="array" ref="R220">IF($E220&lt;&gt;"",IFERROR(INDEX(ISIN!$C:$C,MATCH($E220,ISIN!$A:$A,0)),IFERROR(INDEX($R221:$R1200,MATCH($K220,$K221:$K1200,0)))),IF(AND($Y220="change",$H220="EUR"),IF($O220=$O221,$R221,IF($O220=$O219,$R219)),IFERROR(INDEX($R221:$R1200,MATCH(SUBSTITUTE($I220,"-","",1),$K221:$K1200,0)))))</f>
        <v/>
      </c>
      <c r="S220" s="37" t="str">
        <f t="shared" si="1"/>
        <v/>
      </c>
      <c r="T220" s="39" t="str">
        <f t="shared" si="2"/>
        <v/>
      </c>
      <c r="U220" s="40" t="str">
        <f t="shared" si="3"/>
        <v/>
      </c>
      <c r="V220" s="34" t="str">
        <f t="shared" si="4"/>
        <v/>
      </c>
      <c r="W220" s="41" t="str">
        <f>IFERROR(__xludf.DUMMYFUNCTION(" IF(Account!$F220&lt;&gt;"""", SPLIT(Account!$F220, "" ""), """")"),"")</f>
        <v/>
      </c>
      <c r="X220" s="42"/>
      <c r="Y220" s="42"/>
      <c r="Z220" s="42"/>
      <c r="AA220" s="42"/>
      <c r="AB220" s="42"/>
      <c r="AC220" s="42"/>
      <c r="AD220" s="42"/>
      <c r="AE220" s="42"/>
      <c r="AF220" s="42"/>
      <c r="AG220" s="42"/>
      <c r="AH220" s="42"/>
      <c r="AI220" s="42"/>
      <c r="AJ220" s="42"/>
      <c r="AK220" s="42"/>
    </row>
    <row r="221">
      <c r="A221" s="20"/>
      <c r="B221" s="20"/>
      <c r="C221" s="20"/>
      <c r="D221" s="20"/>
      <c r="E221" s="20"/>
      <c r="F221" s="21"/>
      <c r="G221" s="20"/>
      <c r="H221" s="20"/>
      <c r="I221" s="20"/>
      <c r="J221" s="20"/>
      <c r="K221" s="20"/>
      <c r="L221" s="21"/>
      <c r="M221" s="33" t="str">
        <f>IFERROR(__xludf.DUMMYFUNCTION("IFS(W221=""Achat"",IFERROR(VALUE(X221),VALUE(REGEXREPLACE(T(X221),""[^0-9]"",""""))),W221=""Vente"",-IFERROR(VALUE(X221),VALUE(REGEXREPLACE(T(X221),""[^0-9]"",""""))),Y221=""Change"",0,Y221&lt;&gt;""Change"","""")"),"")</f>
        <v/>
      </c>
      <c r="N221" s="34" t="str">
        <f>IFERROR(__xludf.DUMMYFUNCTION("IF(Account!$F221&lt;&gt;"""", VALUE(REGEXREPLACE($I221, ""\,"", ""."")), """")"),"")</f>
        <v/>
      </c>
      <c r="O221" s="35" t="str">
        <f>IF(Account!$F221&lt;&gt;"", DATEVALUE(MID($A221,4,3) &amp; LEFT($A221,3) &amp; RIGHT($A221,4)) + TIMEVALUE($B221), "")</f>
        <v/>
      </c>
      <c r="P221" s="36" t="str">
        <f>IF(Account!$F221&lt;&gt;"", DATEVALUE(MID($C221,4,3) &amp; LEFT($C221,3) &amp; RIGHT($C221,4)), "")</f>
        <v/>
      </c>
      <c r="Q221" s="37" t="str">
        <f t="array" ref="Q221">IF($R221&lt;&gt;"",IFERROR(INDEX(ISIN!$B:$B,MATCH($R221,ISIN!$C:$C,0))),)</f>
        <v/>
      </c>
      <c r="R221" s="38" t="str">
        <f t="array" ref="R221">IF($E221&lt;&gt;"",IFERROR(INDEX(ISIN!$C:$C,MATCH($E221,ISIN!$A:$A,0)),IFERROR(INDEX($R222:$R1200,MATCH($K221,$K222:$K1200,0)))),IF(AND($Y221="change",$H221="EUR"),IF($O221=$O222,$R222,IF($O221=$O220,$R220)),IFERROR(INDEX($R222:$R1200,MATCH(SUBSTITUTE($I221,"-","",1),$K222:$K1200,0)))))</f>
        <v/>
      </c>
      <c r="S221" s="37" t="str">
        <f t="shared" si="1"/>
        <v/>
      </c>
      <c r="T221" s="39" t="str">
        <f t="shared" si="2"/>
        <v/>
      </c>
      <c r="U221" s="40" t="str">
        <f t="shared" si="3"/>
        <v/>
      </c>
      <c r="V221" s="34" t="str">
        <f t="shared" si="4"/>
        <v/>
      </c>
      <c r="W221" s="41" t="str">
        <f>IFERROR(__xludf.DUMMYFUNCTION(" IF(Account!$F221&lt;&gt;"""", SPLIT(Account!$F221, "" ""), """")"),"")</f>
        <v/>
      </c>
      <c r="X221" s="42"/>
      <c r="Y221" s="42"/>
      <c r="Z221" s="42"/>
      <c r="AA221" s="42"/>
      <c r="AB221" s="42"/>
      <c r="AC221" s="42"/>
      <c r="AD221" s="42"/>
      <c r="AE221" s="42"/>
      <c r="AF221" s="42"/>
      <c r="AG221" s="42"/>
      <c r="AH221" s="42"/>
      <c r="AI221" s="42"/>
      <c r="AJ221" s="42"/>
      <c r="AK221" s="42"/>
    </row>
    <row r="222">
      <c r="A222" s="20"/>
      <c r="B222" s="20"/>
      <c r="C222" s="20"/>
      <c r="D222" s="20"/>
      <c r="E222" s="20"/>
      <c r="F222" s="21"/>
      <c r="G222" s="20"/>
      <c r="H222" s="20"/>
      <c r="I222" s="20"/>
      <c r="J222" s="20"/>
      <c r="K222" s="20"/>
      <c r="L222" s="21"/>
      <c r="M222" s="33" t="str">
        <f>IFERROR(__xludf.DUMMYFUNCTION("IFS(W222=""Achat"",IFERROR(VALUE(X222),VALUE(REGEXREPLACE(T(X222),""[^0-9]"",""""))),W222=""Vente"",-IFERROR(VALUE(X222),VALUE(REGEXREPLACE(T(X222),""[^0-9]"",""""))),Y222=""Change"",0,Y222&lt;&gt;""Change"","""")"),"")</f>
        <v/>
      </c>
      <c r="N222" s="34" t="str">
        <f>IFERROR(__xludf.DUMMYFUNCTION("IF(Account!$F222&lt;&gt;"""", VALUE(REGEXREPLACE($I222, ""\,"", ""."")), """")"),"")</f>
        <v/>
      </c>
      <c r="O222" s="35" t="str">
        <f>IF(Account!$F222&lt;&gt;"", DATEVALUE(MID($A222,4,3) &amp; LEFT($A222,3) &amp; RIGHT($A222,4)) + TIMEVALUE($B222), "")</f>
        <v/>
      </c>
      <c r="P222" s="36" t="str">
        <f>IF(Account!$F222&lt;&gt;"", DATEVALUE(MID($C222,4,3) &amp; LEFT($C222,3) &amp; RIGHT($C222,4)), "")</f>
        <v/>
      </c>
      <c r="Q222" s="37" t="str">
        <f t="array" ref="Q222">IF($R222&lt;&gt;"",IFERROR(INDEX(ISIN!$B:$B,MATCH($R222,ISIN!$C:$C,0))),)</f>
        <v/>
      </c>
      <c r="R222" s="38" t="str">
        <f t="array" ref="R222">IF($E222&lt;&gt;"",IFERROR(INDEX(ISIN!$C:$C,MATCH($E222,ISIN!$A:$A,0)),IFERROR(INDEX($R223:$R1200,MATCH($K222,$K223:$K1200,0)))),IF(AND($Y222="change",$H222="EUR"),IF($O222=$O223,$R223,IF($O222=$O221,$R221)),IFERROR(INDEX($R223:$R1200,MATCH(SUBSTITUTE($I222,"-","",1),$K223:$K1200,0)))))</f>
        <v/>
      </c>
      <c r="S222" s="37" t="str">
        <f t="shared" si="1"/>
        <v/>
      </c>
      <c r="T222" s="39" t="str">
        <f t="shared" si="2"/>
        <v/>
      </c>
      <c r="U222" s="40" t="str">
        <f t="shared" si="3"/>
        <v/>
      </c>
      <c r="V222" s="34" t="str">
        <f t="shared" si="4"/>
        <v/>
      </c>
      <c r="W222" s="41" t="str">
        <f>IFERROR(__xludf.DUMMYFUNCTION(" IF(Account!$F222&lt;&gt;"""", SPLIT(Account!$F222, "" ""), """")"),"")</f>
        <v/>
      </c>
      <c r="X222" s="42"/>
      <c r="Y222" s="42"/>
      <c r="Z222" s="42"/>
      <c r="AA222" s="42"/>
      <c r="AB222" s="42"/>
      <c r="AC222" s="42"/>
      <c r="AD222" s="42"/>
      <c r="AE222" s="42"/>
      <c r="AF222" s="42"/>
      <c r="AG222" s="42"/>
      <c r="AH222" s="42"/>
      <c r="AI222" s="42"/>
      <c r="AJ222" s="42"/>
      <c r="AK222" s="42"/>
    </row>
    <row r="223">
      <c r="A223" s="20"/>
      <c r="B223" s="20"/>
      <c r="C223" s="20"/>
      <c r="D223" s="20"/>
      <c r="E223" s="20"/>
      <c r="F223" s="21"/>
      <c r="G223" s="45"/>
      <c r="H223" s="20"/>
      <c r="I223" s="20"/>
      <c r="J223" s="20"/>
      <c r="K223" s="20"/>
      <c r="L223" s="21"/>
      <c r="M223" s="33" t="str">
        <f>IFERROR(__xludf.DUMMYFUNCTION("IFS(W223=""Achat"",IFERROR(VALUE(X223),VALUE(REGEXREPLACE(T(X223),""[^0-9]"",""""))),W223=""Vente"",-IFERROR(VALUE(X223),VALUE(REGEXREPLACE(T(X223),""[^0-9]"",""""))),Y223=""Change"",0,Y223&lt;&gt;""Change"","""")"),"")</f>
        <v/>
      </c>
      <c r="N223" s="34" t="str">
        <f>IFERROR(__xludf.DUMMYFUNCTION("IF(Account!$F223&lt;&gt;"""", VALUE(REGEXREPLACE($I223, ""\,"", ""."")), """")"),"")</f>
        <v/>
      </c>
      <c r="O223" s="35" t="str">
        <f>IF(Account!$F223&lt;&gt;"", DATEVALUE(MID($A223,4,3) &amp; LEFT($A223,3) &amp; RIGHT($A223,4)) + TIMEVALUE($B223), "")</f>
        <v/>
      </c>
      <c r="P223" s="36" t="str">
        <f>IF(Account!$F223&lt;&gt;"", DATEVALUE(MID($C223,4,3) &amp; LEFT($C223,3) &amp; RIGHT($C223,4)), "")</f>
        <v/>
      </c>
      <c r="Q223" s="37" t="str">
        <f t="array" ref="Q223">IF($R223&lt;&gt;"",IFERROR(INDEX(ISIN!$B:$B,MATCH($R223,ISIN!$C:$C,0))),)</f>
        <v/>
      </c>
      <c r="R223" s="38" t="str">
        <f t="array" ref="R223">IF($E223&lt;&gt;"",IFERROR(INDEX(ISIN!$C:$C,MATCH($E223,ISIN!$A:$A,0)),IFERROR(INDEX($R224:$R1200,MATCH($K223,$K224:$K1200,0)))),IF(AND($Y223="change",$H223="EUR"),IF($O223=$O224,$R224,IF($O223=$O222,$R222)),IFERROR(INDEX($R224:$R1200,MATCH(SUBSTITUTE($I223,"-","",1),$K224:$K1200,0)))))</f>
        <v/>
      </c>
      <c r="S223" s="37" t="str">
        <f t="shared" si="1"/>
        <v/>
      </c>
      <c r="T223" s="39" t="str">
        <f t="shared" si="2"/>
        <v/>
      </c>
      <c r="U223" s="40" t="str">
        <f t="shared" si="3"/>
        <v/>
      </c>
      <c r="V223" s="34" t="str">
        <f t="shared" si="4"/>
        <v/>
      </c>
      <c r="W223" s="41" t="str">
        <f>IFERROR(__xludf.DUMMYFUNCTION(" IF(Account!$F223&lt;&gt;"""", SPLIT(Account!$F223, "" ""), """")"),"")</f>
        <v/>
      </c>
      <c r="X223" s="42"/>
      <c r="Y223" s="42"/>
      <c r="Z223" s="42"/>
      <c r="AA223" s="42"/>
      <c r="AB223" s="42"/>
      <c r="AC223" s="42"/>
      <c r="AD223" s="42"/>
      <c r="AE223" s="42"/>
      <c r="AF223" s="42"/>
      <c r="AG223" s="42"/>
      <c r="AH223" s="42"/>
      <c r="AI223" s="42"/>
      <c r="AJ223" s="42"/>
      <c r="AK223" s="42"/>
    </row>
    <row r="224">
      <c r="A224" s="20"/>
      <c r="B224" s="20"/>
      <c r="C224" s="20"/>
      <c r="D224" s="20"/>
      <c r="E224" s="20"/>
      <c r="F224" s="21"/>
      <c r="G224" s="20"/>
      <c r="H224" s="20"/>
      <c r="I224" s="20"/>
      <c r="J224" s="20"/>
      <c r="K224" s="20"/>
      <c r="L224" s="21"/>
      <c r="M224" s="33" t="str">
        <f>IFERROR(__xludf.DUMMYFUNCTION("IFS(W224=""Achat"",IFERROR(VALUE(X224),VALUE(REGEXREPLACE(T(X224),""[^0-9]"",""""))),W224=""Vente"",-IFERROR(VALUE(X224),VALUE(REGEXREPLACE(T(X224),""[^0-9]"",""""))),Y224=""Change"",0,Y224&lt;&gt;""Change"","""")"),"")</f>
        <v/>
      </c>
      <c r="N224" s="34" t="str">
        <f>IFERROR(__xludf.DUMMYFUNCTION("IF(Account!$F224&lt;&gt;"""", VALUE(REGEXREPLACE($I224, ""\,"", ""."")), """")"),"")</f>
        <v/>
      </c>
      <c r="O224" s="35" t="str">
        <f>IF(Account!$F224&lt;&gt;"", DATEVALUE(MID($A224,4,3) &amp; LEFT($A224,3) &amp; RIGHT($A224,4)) + TIMEVALUE($B224), "")</f>
        <v/>
      </c>
      <c r="P224" s="36" t="str">
        <f>IF(Account!$F224&lt;&gt;"", DATEVALUE(MID($C224,4,3) &amp; LEFT($C224,3) &amp; RIGHT($C224,4)), "")</f>
        <v/>
      </c>
      <c r="Q224" s="37" t="str">
        <f t="array" ref="Q224">IF($R224&lt;&gt;"",IFERROR(INDEX(ISIN!$B:$B,MATCH($R224,ISIN!$C:$C,0))),)</f>
        <v/>
      </c>
      <c r="R224" s="38" t="str">
        <f t="array" ref="R224">IF($E224&lt;&gt;"",IFERROR(INDEX(ISIN!$C:$C,MATCH($E224,ISIN!$A:$A,0)),IFERROR(INDEX($R225:$R1200,MATCH($K224,$K225:$K1200,0)))),IF(AND($Y224="change",$H224="EUR"),IF($O224=$O225,$R225,IF($O224=$O223,$R223)),IFERROR(INDEX($R225:$R1200,MATCH(SUBSTITUTE($I224,"-","",1),$K225:$K1200,0)))))</f>
        <v/>
      </c>
      <c r="S224" s="37" t="str">
        <f t="shared" si="1"/>
        <v/>
      </c>
      <c r="T224" s="39" t="str">
        <f t="shared" si="2"/>
        <v/>
      </c>
      <c r="U224" s="40" t="str">
        <f t="shared" si="3"/>
        <v/>
      </c>
      <c r="V224" s="34" t="str">
        <f t="shared" si="4"/>
        <v/>
      </c>
      <c r="W224" s="41" t="str">
        <f>IFERROR(__xludf.DUMMYFUNCTION(" IF(Account!$F224&lt;&gt;"""", SPLIT(Account!$F224, "" ""), """")"),"")</f>
        <v/>
      </c>
      <c r="X224" s="42"/>
      <c r="Y224" s="42"/>
      <c r="Z224" s="42"/>
      <c r="AA224" s="42"/>
      <c r="AB224" s="42"/>
      <c r="AC224" s="42"/>
      <c r="AD224" s="42"/>
      <c r="AE224" s="42"/>
      <c r="AF224" s="42"/>
      <c r="AG224" s="42"/>
      <c r="AH224" s="42"/>
      <c r="AI224" s="42"/>
      <c r="AJ224" s="42"/>
      <c r="AK224" s="42"/>
    </row>
    <row r="225">
      <c r="A225" s="20"/>
      <c r="B225" s="20"/>
      <c r="C225" s="20"/>
      <c r="D225" s="20"/>
      <c r="E225" s="20"/>
      <c r="F225" s="21"/>
      <c r="G225" s="20"/>
      <c r="H225" s="20"/>
      <c r="I225" s="20"/>
      <c r="J225" s="20"/>
      <c r="K225" s="20"/>
      <c r="L225" s="21"/>
      <c r="M225" s="33" t="str">
        <f>IFERROR(__xludf.DUMMYFUNCTION("IFS(W225=""Achat"",IFERROR(VALUE(X225),VALUE(REGEXREPLACE(T(X225),""[^0-9]"",""""))),W225=""Vente"",-IFERROR(VALUE(X225),VALUE(REGEXREPLACE(T(X225),""[^0-9]"",""""))),Y225=""Change"",0,Y225&lt;&gt;""Change"","""")"),"")</f>
        <v/>
      </c>
      <c r="N225" s="34" t="str">
        <f>IFERROR(__xludf.DUMMYFUNCTION("IF(Account!$F225&lt;&gt;"""", VALUE(REGEXREPLACE($I225, ""\,"", ""."")), """")"),"")</f>
        <v/>
      </c>
      <c r="O225" s="35" t="str">
        <f>IF(Account!$F225&lt;&gt;"", DATEVALUE(MID($A225,4,3) &amp; LEFT($A225,3) &amp; RIGHT($A225,4)) + TIMEVALUE($B225), "")</f>
        <v/>
      </c>
      <c r="P225" s="36" t="str">
        <f>IF(Account!$F225&lt;&gt;"", DATEVALUE(MID($C225,4,3) &amp; LEFT($C225,3) &amp; RIGHT($C225,4)), "")</f>
        <v/>
      </c>
      <c r="Q225" s="37" t="str">
        <f t="array" ref="Q225">IF($R225&lt;&gt;"",IFERROR(INDEX(ISIN!$B:$B,MATCH($R225,ISIN!$C:$C,0))),)</f>
        <v/>
      </c>
      <c r="R225" s="38" t="str">
        <f t="array" ref="R225">IF($E225&lt;&gt;"",IFERROR(INDEX(ISIN!$C:$C,MATCH($E225,ISIN!$A:$A,0)),IFERROR(INDEX($R226:$R1200,MATCH($K225,$K226:$K1200,0)))),IF(AND($Y225="change",$H225="EUR"),IF($O225=$O226,$R226,IF($O225=$O224,$R224)),IFERROR(INDEX($R226:$R1200,MATCH(SUBSTITUTE($I225,"-","",1),$K226:$K1200,0)))))</f>
        <v/>
      </c>
      <c r="S225" s="37" t="str">
        <f t="shared" si="1"/>
        <v/>
      </c>
      <c r="T225" s="39" t="str">
        <f t="shared" si="2"/>
        <v/>
      </c>
      <c r="U225" s="40" t="str">
        <f t="shared" si="3"/>
        <v/>
      </c>
      <c r="V225" s="34" t="str">
        <f t="shared" si="4"/>
        <v/>
      </c>
      <c r="W225" s="41" t="str">
        <f>IFERROR(__xludf.DUMMYFUNCTION(" IF(Account!$F225&lt;&gt;"""", SPLIT(Account!$F225, "" ""), """")"),"")</f>
        <v/>
      </c>
      <c r="X225" s="42"/>
      <c r="Y225" s="42"/>
      <c r="Z225" s="42"/>
      <c r="AA225" s="42"/>
      <c r="AB225" s="42"/>
      <c r="AC225" s="42"/>
      <c r="AD225" s="42"/>
      <c r="AE225" s="42"/>
      <c r="AF225" s="42"/>
      <c r="AG225" s="42"/>
      <c r="AH225" s="42"/>
      <c r="AI225" s="42"/>
      <c r="AJ225" s="42"/>
      <c r="AK225" s="42"/>
    </row>
    <row r="226">
      <c r="A226" s="20"/>
      <c r="B226" s="20"/>
      <c r="C226" s="20"/>
      <c r="D226" s="20"/>
      <c r="E226" s="20"/>
      <c r="F226" s="21"/>
      <c r="G226" s="20"/>
      <c r="H226" s="20"/>
      <c r="I226" s="20"/>
      <c r="J226" s="20"/>
      <c r="K226" s="20"/>
      <c r="L226" s="21"/>
      <c r="M226" s="33" t="str">
        <f>IFERROR(__xludf.DUMMYFUNCTION("IFS(W226=""Achat"",IFERROR(VALUE(X226),VALUE(REGEXREPLACE(T(X226),""[^0-9]"",""""))),W226=""Vente"",-IFERROR(VALUE(X226),VALUE(REGEXREPLACE(T(X226),""[^0-9]"",""""))),Y226=""Change"",0,Y226&lt;&gt;""Change"","""")"),"")</f>
        <v/>
      </c>
      <c r="N226" s="34" t="str">
        <f>IFERROR(__xludf.DUMMYFUNCTION("IF(Account!$F226&lt;&gt;"""", VALUE(REGEXREPLACE($I226, ""\,"", ""."")), """")"),"")</f>
        <v/>
      </c>
      <c r="O226" s="35" t="str">
        <f>IF(Account!$F226&lt;&gt;"", DATEVALUE(MID($A226,4,3) &amp; LEFT($A226,3) &amp; RIGHT($A226,4)) + TIMEVALUE($B226), "")</f>
        <v/>
      </c>
      <c r="P226" s="36" t="str">
        <f>IF(Account!$F226&lt;&gt;"", DATEVALUE(MID($C226,4,3) &amp; LEFT($C226,3) &amp; RIGHT($C226,4)), "")</f>
        <v/>
      </c>
      <c r="Q226" s="37" t="str">
        <f t="array" ref="Q226">IF($R226&lt;&gt;"",IFERROR(INDEX(ISIN!$B:$B,MATCH($R226,ISIN!$C:$C,0))),)</f>
        <v/>
      </c>
      <c r="R226" s="38" t="str">
        <f t="array" ref="R226">IF($E226&lt;&gt;"",IFERROR(INDEX(ISIN!$C:$C,MATCH($E226,ISIN!$A:$A,0)),IFERROR(INDEX($R227:$R1200,MATCH($K226,$K227:$K1200,0)))),IF(AND($Y226="change",$H226="EUR"),IF($O226=$O227,$R227,IF($O226=$O225,$R225)),IFERROR(INDEX($R227:$R1200,MATCH(SUBSTITUTE($I226,"-","",1),$K227:$K1200,0)))))</f>
        <v/>
      </c>
      <c r="S226" s="37" t="str">
        <f t="shared" si="1"/>
        <v/>
      </c>
      <c r="T226" s="39" t="str">
        <f t="shared" si="2"/>
        <v/>
      </c>
      <c r="U226" s="40" t="str">
        <f t="shared" si="3"/>
        <v/>
      </c>
      <c r="V226" s="34" t="str">
        <f t="shared" si="4"/>
        <v/>
      </c>
      <c r="W226" s="41" t="str">
        <f>IFERROR(__xludf.DUMMYFUNCTION(" IF(Account!$F226&lt;&gt;"""", SPLIT(Account!$F226, "" ""), """")"),"")</f>
        <v/>
      </c>
      <c r="X226" s="42"/>
      <c r="Y226" s="42"/>
      <c r="Z226" s="42"/>
      <c r="AA226" s="42"/>
      <c r="AB226" s="42"/>
      <c r="AC226" s="42"/>
      <c r="AD226" s="42"/>
      <c r="AE226" s="42"/>
      <c r="AF226" s="42"/>
      <c r="AG226" s="42"/>
      <c r="AH226" s="42"/>
      <c r="AI226" s="42"/>
      <c r="AJ226" s="42"/>
      <c r="AK226" s="42"/>
    </row>
    <row r="227">
      <c r="A227" s="20"/>
      <c r="B227" s="20"/>
      <c r="C227" s="20"/>
      <c r="D227" s="20"/>
      <c r="E227" s="20"/>
      <c r="F227" s="21"/>
      <c r="G227" s="20"/>
      <c r="H227" s="20"/>
      <c r="I227" s="20"/>
      <c r="J227" s="20"/>
      <c r="K227" s="20"/>
      <c r="L227" s="21"/>
      <c r="M227" s="33" t="str">
        <f>IFERROR(__xludf.DUMMYFUNCTION("IFS(W227=""Achat"",IFERROR(VALUE(X227),VALUE(REGEXREPLACE(T(X227),""[^0-9]"",""""))),W227=""Vente"",-IFERROR(VALUE(X227),VALUE(REGEXREPLACE(T(X227),""[^0-9]"",""""))),Y227=""Change"",0,Y227&lt;&gt;""Change"","""")"),"")</f>
        <v/>
      </c>
      <c r="N227" s="34" t="str">
        <f>IFERROR(__xludf.DUMMYFUNCTION("IF(Account!$F227&lt;&gt;"""", VALUE(REGEXREPLACE($I227, ""\,"", ""."")), """")"),"")</f>
        <v/>
      </c>
      <c r="O227" s="35" t="str">
        <f>IF(Account!$F227&lt;&gt;"", DATEVALUE(MID($A227,4,3) &amp; LEFT($A227,3) &amp; RIGHT($A227,4)) + TIMEVALUE($B227), "")</f>
        <v/>
      </c>
      <c r="P227" s="36" t="str">
        <f>IF(Account!$F227&lt;&gt;"", DATEVALUE(MID($C227,4,3) &amp; LEFT($C227,3) &amp; RIGHT($C227,4)), "")</f>
        <v/>
      </c>
      <c r="Q227" s="37" t="str">
        <f t="array" ref="Q227">IF($R227&lt;&gt;"",IFERROR(INDEX(ISIN!$B:$B,MATCH($R227,ISIN!$C:$C,0))),)</f>
        <v/>
      </c>
      <c r="R227" s="38" t="str">
        <f t="array" ref="R227">IF($E227&lt;&gt;"",IFERROR(INDEX(ISIN!$C:$C,MATCH($E227,ISIN!$A:$A,0)),IFERROR(INDEX($R228:$R1200,MATCH($K227,$K228:$K1200,0)))),IF(AND($Y227="change",$H227="EUR"),IF($O227=$O228,$R228,IF($O227=$O226,$R226)),IFERROR(INDEX($R228:$R1200,MATCH(SUBSTITUTE($I227,"-","",1),$K228:$K1200,0)))))</f>
        <v/>
      </c>
      <c r="S227" s="37" t="str">
        <f t="shared" si="1"/>
        <v/>
      </c>
      <c r="T227" s="39" t="str">
        <f t="shared" si="2"/>
        <v/>
      </c>
      <c r="U227" s="40" t="str">
        <f t="shared" si="3"/>
        <v/>
      </c>
      <c r="V227" s="34" t="str">
        <f t="shared" si="4"/>
        <v/>
      </c>
      <c r="W227" s="41" t="str">
        <f>IFERROR(__xludf.DUMMYFUNCTION(" IF(Account!$F227&lt;&gt;"""", SPLIT(Account!$F227, "" ""), """")"),"")</f>
        <v/>
      </c>
      <c r="X227" s="42"/>
      <c r="Y227" s="42"/>
      <c r="Z227" s="42"/>
      <c r="AA227" s="42"/>
      <c r="AB227" s="42"/>
      <c r="AC227" s="42"/>
      <c r="AD227" s="42"/>
      <c r="AE227" s="42"/>
      <c r="AF227" s="42"/>
      <c r="AG227" s="42"/>
      <c r="AH227" s="42"/>
      <c r="AI227" s="42"/>
      <c r="AJ227" s="42"/>
      <c r="AK227" s="42"/>
    </row>
    <row r="228">
      <c r="A228" s="20"/>
      <c r="B228" s="20"/>
      <c r="C228" s="20"/>
      <c r="D228" s="20"/>
      <c r="E228" s="20"/>
      <c r="F228" s="21"/>
      <c r="G228" s="20"/>
      <c r="H228" s="20"/>
      <c r="I228" s="20"/>
      <c r="J228" s="20"/>
      <c r="K228" s="20"/>
      <c r="L228" s="21"/>
      <c r="M228" s="33" t="str">
        <f>IFERROR(__xludf.DUMMYFUNCTION("IFS(W228=""Achat"",IFERROR(VALUE(X228),VALUE(REGEXREPLACE(T(X228),""[^0-9]"",""""))),W228=""Vente"",-IFERROR(VALUE(X228),VALUE(REGEXREPLACE(T(X228),""[^0-9]"",""""))),Y228=""Change"",0,Y228&lt;&gt;""Change"","""")"),"")</f>
        <v/>
      </c>
      <c r="N228" s="34" t="str">
        <f>IFERROR(__xludf.DUMMYFUNCTION("IF(Account!$F228&lt;&gt;"""", VALUE(REGEXREPLACE($I228, ""\,"", ""."")), """")"),"")</f>
        <v/>
      </c>
      <c r="O228" s="35" t="str">
        <f>IF(Account!$F228&lt;&gt;"", DATEVALUE(MID($A228,4,3) &amp; LEFT($A228,3) &amp; RIGHT($A228,4)) + TIMEVALUE($B228), "")</f>
        <v/>
      </c>
      <c r="P228" s="36" t="str">
        <f>IF(Account!$F228&lt;&gt;"", DATEVALUE(MID($C228,4,3) &amp; LEFT($C228,3) &amp; RIGHT($C228,4)), "")</f>
        <v/>
      </c>
      <c r="Q228" s="37" t="str">
        <f t="array" ref="Q228">IF($R228&lt;&gt;"",IFERROR(INDEX(ISIN!$B:$B,MATCH($R228,ISIN!$C:$C,0))),)</f>
        <v/>
      </c>
      <c r="R228" s="38" t="str">
        <f t="array" ref="R228">IF($E228&lt;&gt;"",IFERROR(INDEX(ISIN!$C:$C,MATCH($E228,ISIN!$A:$A,0)),IFERROR(INDEX($R229:$R1200,MATCH($K228,$K229:$K1200,0)))),IF(AND($Y228="change",$H228="EUR"),IF($O228=$O229,$R229,IF($O228=$O227,$R227)),IFERROR(INDEX($R229:$R1200,MATCH(SUBSTITUTE($I228,"-","",1),$K229:$K1200,0)))))</f>
        <v/>
      </c>
      <c r="S228" s="37" t="str">
        <f t="shared" si="1"/>
        <v/>
      </c>
      <c r="T228" s="39" t="str">
        <f t="shared" si="2"/>
        <v/>
      </c>
      <c r="U228" s="40" t="str">
        <f t="shared" si="3"/>
        <v/>
      </c>
      <c r="V228" s="34" t="str">
        <f t="shared" si="4"/>
        <v/>
      </c>
      <c r="W228" s="41" t="str">
        <f>IFERROR(__xludf.DUMMYFUNCTION(" IF(Account!$F228&lt;&gt;"""", SPLIT(Account!$F228, "" ""), """")"),"")</f>
        <v/>
      </c>
      <c r="X228" s="42"/>
      <c r="Y228" s="42"/>
      <c r="Z228" s="42"/>
      <c r="AA228" s="42"/>
      <c r="AB228" s="42"/>
      <c r="AC228" s="42"/>
      <c r="AD228" s="42"/>
      <c r="AE228" s="42"/>
      <c r="AF228" s="42"/>
      <c r="AG228" s="42"/>
      <c r="AH228" s="42"/>
      <c r="AI228" s="42"/>
      <c r="AJ228" s="42"/>
      <c r="AK228" s="42"/>
    </row>
    <row r="229">
      <c r="A229" s="20"/>
      <c r="B229" s="20"/>
      <c r="C229" s="20"/>
      <c r="D229" s="20"/>
      <c r="E229" s="20"/>
      <c r="F229" s="21"/>
      <c r="G229" s="20"/>
      <c r="H229" s="20"/>
      <c r="I229" s="20"/>
      <c r="J229" s="20"/>
      <c r="K229" s="20"/>
      <c r="L229" s="21"/>
      <c r="M229" s="33" t="str">
        <f>IFERROR(__xludf.DUMMYFUNCTION("IFS(W229=""Achat"",IFERROR(VALUE(X229),VALUE(REGEXREPLACE(T(X229),""[^0-9]"",""""))),W229=""Vente"",-IFERROR(VALUE(X229),VALUE(REGEXREPLACE(T(X229),""[^0-9]"",""""))),Y229=""Change"",0,Y229&lt;&gt;""Change"","""")"),"")</f>
        <v/>
      </c>
      <c r="N229" s="34" t="str">
        <f>IFERROR(__xludf.DUMMYFUNCTION("IF(Account!$F229&lt;&gt;"""", VALUE(REGEXREPLACE($I229, ""\,"", ""."")), """")"),"")</f>
        <v/>
      </c>
      <c r="O229" s="35" t="str">
        <f>IF(Account!$F229&lt;&gt;"", DATEVALUE(MID($A229,4,3) &amp; LEFT($A229,3) &amp; RIGHT($A229,4)) + TIMEVALUE($B229), "")</f>
        <v/>
      </c>
      <c r="P229" s="36" t="str">
        <f>IF(Account!$F229&lt;&gt;"", DATEVALUE(MID($C229,4,3) &amp; LEFT($C229,3) &amp; RIGHT($C229,4)), "")</f>
        <v/>
      </c>
      <c r="Q229" s="37" t="str">
        <f t="array" ref="Q229">IF($R229&lt;&gt;"",IFERROR(INDEX(ISIN!$B:$B,MATCH($R229,ISIN!$C:$C,0))),)</f>
        <v/>
      </c>
      <c r="R229" s="38" t="str">
        <f t="array" ref="R229">IF($E229&lt;&gt;"",IFERROR(INDEX(ISIN!$C:$C,MATCH($E229,ISIN!$A:$A,0)),IFERROR(INDEX($R230:$R1200,MATCH($K229,$K230:$K1200,0)))),IF(AND($Y229="change",$H229="EUR"),IF($O229=$O230,$R230,IF($O229=$O228,$R228)),IFERROR(INDEX($R230:$R1200,MATCH(SUBSTITUTE($I229,"-","",1),$K230:$K1200,0)))))</f>
        <v/>
      </c>
      <c r="S229" s="37" t="str">
        <f t="shared" si="1"/>
        <v/>
      </c>
      <c r="T229" s="39" t="str">
        <f t="shared" si="2"/>
        <v/>
      </c>
      <c r="U229" s="40" t="str">
        <f t="shared" si="3"/>
        <v/>
      </c>
      <c r="V229" s="34" t="str">
        <f t="shared" si="4"/>
        <v/>
      </c>
      <c r="W229" s="41" t="str">
        <f>IFERROR(__xludf.DUMMYFUNCTION(" IF(Account!$F229&lt;&gt;"""", SPLIT(Account!$F229, "" ""), """")"),"")</f>
        <v/>
      </c>
      <c r="X229" s="42"/>
      <c r="Y229" s="42"/>
      <c r="Z229" s="42"/>
      <c r="AA229" s="42"/>
      <c r="AB229" s="42"/>
      <c r="AC229" s="42"/>
      <c r="AD229" s="42"/>
      <c r="AE229" s="42"/>
      <c r="AF229" s="42"/>
      <c r="AG229" s="42"/>
      <c r="AH229" s="42"/>
      <c r="AI229" s="42"/>
      <c r="AJ229" s="42"/>
      <c r="AK229" s="42"/>
    </row>
    <row r="230">
      <c r="A230" s="20"/>
      <c r="B230" s="20"/>
      <c r="C230" s="20"/>
      <c r="D230" s="20"/>
      <c r="E230" s="20"/>
      <c r="F230" s="21"/>
      <c r="G230" s="20"/>
      <c r="H230" s="20"/>
      <c r="I230" s="20"/>
      <c r="J230" s="20"/>
      <c r="K230" s="20"/>
      <c r="L230" s="21"/>
      <c r="M230" s="33" t="str">
        <f>IFERROR(__xludf.DUMMYFUNCTION("IFS(W230=""Achat"",IFERROR(VALUE(X230),VALUE(REGEXREPLACE(T(X230),""[^0-9]"",""""))),W230=""Vente"",-IFERROR(VALUE(X230),VALUE(REGEXREPLACE(T(X230),""[^0-9]"",""""))),Y230=""Change"",0,Y230&lt;&gt;""Change"","""")"),"")</f>
        <v/>
      </c>
      <c r="N230" s="34" t="str">
        <f>IFERROR(__xludf.DUMMYFUNCTION("IF(Account!$F230&lt;&gt;"""", VALUE(REGEXREPLACE($I230, ""\,"", ""."")), """")"),"")</f>
        <v/>
      </c>
      <c r="O230" s="35" t="str">
        <f>IF(Account!$F230&lt;&gt;"", DATEVALUE(MID($A230,4,3) &amp; LEFT($A230,3) &amp; RIGHT($A230,4)) + TIMEVALUE($B230), "")</f>
        <v/>
      </c>
      <c r="P230" s="36" t="str">
        <f>IF(Account!$F230&lt;&gt;"", DATEVALUE(MID($C230,4,3) &amp; LEFT($C230,3) &amp; RIGHT($C230,4)), "")</f>
        <v/>
      </c>
      <c r="Q230" s="37" t="str">
        <f t="array" ref="Q230">IF($R230&lt;&gt;"",IFERROR(INDEX(ISIN!$B:$B,MATCH($R230,ISIN!$C:$C,0))),)</f>
        <v/>
      </c>
      <c r="R230" s="38" t="str">
        <f t="array" ref="R230">IF($E230&lt;&gt;"",IFERROR(INDEX(ISIN!$C:$C,MATCH($E230,ISIN!$A:$A,0)),IFERROR(INDEX($R231:$R1200,MATCH($K230,$K231:$K1200,0)))),IF(AND($Y230="change",$H230="EUR"),IF($O230=$O231,$R231,IF($O230=$O229,$R229)),IFERROR(INDEX($R231:$R1200,MATCH(SUBSTITUTE($I230,"-","",1),$K231:$K1200,0)))))</f>
        <v/>
      </c>
      <c r="S230" s="37" t="str">
        <f t="shared" si="1"/>
        <v/>
      </c>
      <c r="T230" s="39" t="str">
        <f t="shared" si="2"/>
        <v/>
      </c>
      <c r="U230" s="40" t="str">
        <f t="shared" si="3"/>
        <v/>
      </c>
      <c r="V230" s="34" t="str">
        <f t="shared" si="4"/>
        <v/>
      </c>
      <c r="W230" s="41" t="str">
        <f>IFERROR(__xludf.DUMMYFUNCTION(" IF(Account!$F230&lt;&gt;"""", SPLIT(Account!$F230, "" ""), """")"),"")</f>
        <v/>
      </c>
      <c r="X230" s="42"/>
      <c r="Y230" s="42"/>
      <c r="Z230" s="42"/>
      <c r="AA230" s="42"/>
      <c r="AB230" s="42"/>
      <c r="AC230" s="42"/>
      <c r="AD230" s="42"/>
      <c r="AE230" s="42"/>
      <c r="AF230" s="42"/>
      <c r="AG230" s="42"/>
      <c r="AH230" s="42"/>
      <c r="AI230" s="42"/>
      <c r="AJ230" s="42"/>
      <c r="AK230" s="42"/>
    </row>
    <row r="231">
      <c r="A231" s="20"/>
      <c r="B231" s="20"/>
      <c r="C231" s="20"/>
      <c r="D231" s="20"/>
      <c r="E231" s="20"/>
      <c r="F231" s="21"/>
      <c r="G231" s="20"/>
      <c r="H231" s="20"/>
      <c r="I231" s="20"/>
      <c r="J231" s="20"/>
      <c r="K231" s="20"/>
      <c r="L231" s="21"/>
      <c r="M231" s="33" t="str">
        <f>IFERROR(__xludf.DUMMYFUNCTION("IFS(W231=""Achat"",IFERROR(VALUE(X231),VALUE(REGEXREPLACE(T(X231),""[^0-9]"",""""))),W231=""Vente"",-IFERROR(VALUE(X231),VALUE(REGEXREPLACE(T(X231),""[^0-9]"",""""))),Y231=""Change"",0,Y231&lt;&gt;""Change"","""")"),"")</f>
        <v/>
      </c>
      <c r="N231" s="34" t="str">
        <f>IFERROR(__xludf.DUMMYFUNCTION("IF(Account!$F231&lt;&gt;"""", VALUE(REGEXREPLACE($I231, ""\,"", ""."")), """")"),"")</f>
        <v/>
      </c>
      <c r="O231" s="35" t="str">
        <f>IF(Account!$F231&lt;&gt;"", DATEVALUE(MID($A231,4,3) &amp; LEFT($A231,3) &amp; RIGHT($A231,4)) + TIMEVALUE($B231), "")</f>
        <v/>
      </c>
      <c r="P231" s="36" t="str">
        <f>IF(Account!$F231&lt;&gt;"", DATEVALUE(MID($C231,4,3) &amp; LEFT($C231,3) &amp; RIGHT($C231,4)), "")</f>
        <v/>
      </c>
      <c r="Q231" s="37" t="str">
        <f t="array" ref="Q231">IF($R231&lt;&gt;"",IFERROR(INDEX(ISIN!$B:$B,MATCH($R231,ISIN!$C:$C,0))),)</f>
        <v/>
      </c>
      <c r="R231" s="38" t="str">
        <f t="array" ref="R231">IF($E231&lt;&gt;"",IFERROR(INDEX(ISIN!$C:$C,MATCH($E231,ISIN!$A:$A,0)),IFERROR(INDEX($R232:$R1200,MATCH($K231,$K232:$K1200,0)))),IF(AND($Y231="change",$H231="EUR"),IF($O231=$O232,$R232,IF($O231=$O230,$R230)),IFERROR(INDEX($R232:$R1200,MATCH(SUBSTITUTE($I231,"-","",1),$K232:$K1200,0)))))</f>
        <v/>
      </c>
      <c r="S231" s="37" t="str">
        <f t="shared" si="1"/>
        <v/>
      </c>
      <c r="T231" s="39" t="str">
        <f t="shared" si="2"/>
        <v/>
      </c>
      <c r="U231" s="40" t="str">
        <f t="shared" si="3"/>
        <v/>
      </c>
      <c r="V231" s="34" t="str">
        <f t="shared" si="4"/>
        <v/>
      </c>
      <c r="W231" s="41" t="str">
        <f>IFERROR(__xludf.DUMMYFUNCTION(" IF(Account!$F231&lt;&gt;"""", SPLIT(Account!$F231, "" ""), """")"),"")</f>
        <v/>
      </c>
      <c r="X231" s="42"/>
      <c r="Y231" s="42"/>
      <c r="Z231" s="42"/>
      <c r="AA231" s="42"/>
      <c r="AB231" s="42"/>
      <c r="AC231" s="42"/>
      <c r="AD231" s="42"/>
      <c r="AE231" s="42"/>
      <c r="AF231" s="42"/>
      <c r="AG231" s="42"/>
      <c r="AH231" s="42"/>
      <c r="AI231" s="42"/>
      <c r="AJ231" s="42"/>
      <c r="AK231" s="42"/>
    </row>
    <row r="232">
      <c r="A232" s="20"/>
      <c r="B232" s="20"/>
      <c r="C232" s="20"/>
      <c r="D232" s="20"/>
      <c r="E232" s="20"/>
      <c r="F232" s="21"/>
      <c r="G232" s="45"/>
      <c r="H232" s="20"/>
      <c r="I232" s="20"/>
      <c r="J232" s="20"/>
      <c r="K232" s="20"/>
      <c r="L232" s="21"/>
      <c r="M232" s="33" t="str">
        <f>IFERROR(__xludf.DUMMYFUNCTION("IFS(W232=""Achat"",IFERROR(VALUE(X232),VALUE(REGEXREPLACE(T(X232),""[^0-9]"",""""))),W232=""Vente"",-IFERROR(VALUE(X232),VALUE(REGEXREPLACE(T(X232),""[^0-9]"",""""))),Y232=""Change"",0,Y232&lt;&gt;""Change"","""")"),"")</f>
        <v/>
      </c>
      <c r="N232" s="34" t="str">
        <f>IFERROR(__xludf.DUMMYFUNCTION("IF(Account!$F232&lt;&gt;"""", VALUE(REGEXREPLACE($I232, ""\,"", ""."")), """")"),"")</f>
        <v/>
      </c>
      <c r="O232" s="35" t="str">
        <f>IF(Account!$F232&lt;&gt;"", DATEVALUE(MID($A232,4,3) &amp; LEFT($A232,3) &amp; RIGHT($A232,4)) + TIMEVALUE($B232), "")</f>
        <v/>
      </c>
      <c r="P232" s="36" t="str">
        <f>IF(Account!$F232&lt;&gt;"", DATEVALUE(MID($C232,4,3) &amp; LEFT($C232,3) &amp; RIGHT($C232,4)), "")</f>
        <v/>
      </c>
      <c r="Q232" s="37" t="str">
        <f t="array" ref="Q232">IF($R232&lt;&gt;"",IFERROR(INDEX(ISIN!$B:$B,MATCH($R232,ISIN!$C:$C,0))),)</f>
        <v/>
      </c>
      <c r="R232" s="38" t="str">
        <f t="array" ref="R232">IF($E232&lt;&gt;"",IFERROR(INDEX(ISIN!$C:$C,MATCH($E232,ISIN!$A:$A,0)),IFERROR(INDEX($R233:$R1200,MATCH($K232,$K233:$K1200,0)))),IF(AND($Y232="change",$H232="EUR"),IF($O232=$O233,$R233,IF($O232=$O231,$R231)),IFERROR(INDEX($R233:$R1200,MATCH(SUBSTITUTE($I232,"-","",1),$K233:$K1200,0)))))</f>
        <v/>
      </c>
      <c r="S232" s="37" t="str">
        <f t="shared" si="1"/>
        <v/>
      </c>
      <c r="T232" s="39" t="str">
        <f t="shared" si="2"/>
        <v/>
      </c>
      <c r="U232" s="40" t="str">
        <f t="shared" si="3"/>
        <v/>
      </c>
      <c r="V232" s="34" t="str">
        <f t="shared" si="4"/>
        <v/>
      </c>
      <c r="W232" s="41" t="str">
        <f>IFERROR(__xludf.DUMMYFUNCTION(" IF(Account!$F232&lt;&gt;"""", SPLIT(Account!$F232, "" ""), """")"),"")</f>
        <v/>
      </c>
      <c r="X232" s="42"/>
      <c r="Y232" s="42"/>
      <c r="Z232" s="42"/>
      <c r="AA232" s="42"/>
      <c r="AB232" s="42"/>
      <c r="AC232" s="42"/>
      <c r="AD232" s="42"/>
      <c r="AE232" s="42"/>
      <c r="AF232" s="42"/>
      <c r="AG232" s="42"/>
      <c r="AH232" s="42"/>
      <c r="AI232" s="42"/>
      <c r="AJ232" s="42"/>
      <c r="AK232" s="42"/>
    </row>
    <row r="233">
      <c r="A233" s="20"/>
      <c r="B233" s="20"/>
      <c r="C233" s="20"/>
      <c r="D233" s="20"/>
      <c r="E233" s="20"/>
      <c r="F233" s="21"/>
      <c r="G233" s="20"/>
      <c r="H233" s="20"/>
      <c r="I233" s="20"/>
      <c r="J233" s="20"/>
      <c r="K233" s="20"/>
      <c r="L233" s="21"/>
      <c r="M233" s="33" t="str">
        <f>IFERROR(__xludf.DUMMYFUNCTION("IFS(W233=""Achat"",IFERROR(VALUE(X233),VALUE(REGEXREPLACE(T(X233),""[^0-9]"",""""))),W233=""Vente"",-IFERROR(VALUE(X233),VALUE(REGEXREPLACE(T(X233),""[^0-9]"",""""))),Y233=""Change"",0,Y233&lt;&gt;""Change"","""")"),"")</f>
        <v/>
      </c>
      <c r="N233" s="34" t="str">
        <f>IFERROR(__xludf.DUMMYFUNCTION("IF(Account!$F233&lt;&gt;"""", VALUE(REGEXREPLACE($I233, ""\,"", ""."")), """")"),"")</f>
        <v/>
      </c>
      <c r="O233" s="35" t="str">
        <f>IF(Account!$F233&lt;&gt;"", DATEVALUE(MID($A233,4,3) &amp; LEFT($A233,3) &amp; RIGHT($A233,4)) + TIMEVALUE($B233), "")</f>
        <v/>
      </c>
      <c r="P233" s="36" t="str">
        <f>IF(Account!$F233&lt;&gt;"", DATEVALUE(MID($C233,4,3) &amp; LEFT($C233,3) &amp; RIGHT($C233,4)), "")</f>
        <v/>
      </c>
      <c r="Q233" s="37" t="str">
        <f t="array" ref="Q233">IF($R233&lt;&gt;"",IFERROR(INDEX(ISIN!$B:$B,MATCH($R233,ISIN!$C:$C,0))),)</f>
        <v/>
      </c>
      <c r="R233" s="38" t="str">
        <f t="array" ref="R233">IF($E233&lt;&gt;"",IFERROR(INDEX(ISIN!$C:$C,MATCH($E233,ISIN!$A:$A,0)),IFERROR(INDEX($R234:$R1200,MATCH($K233,$K234:$K1200,0)))),IF(AND($Y233="change",$H233="EUR"),IF($O233=$O234,$R234,IF($O233=$O232,$R232)),IFERROR(INDEX($R234:$R1200,MATCH(SUBSTITUTE($I233,"-","",1),$K234:$K1200,0)))))</f>
        <v/>
      </c>
      <c r="S233" s="37" t="str">
        <f t="shared" si="1"/>
        <v/>
      </c>
      <c r="T233" s="39" t="str">
        <f t="shared" si="2"/>
        <v/>
      </c>
      <c r="U233" s="40" t="str">
        <f t="shared" si="3"/>
        <v/>
      </c>
      <c r="V233" s="34" t="str">
        <f t="shared" si="4"/>
        <v/>
      </c>
      <c r="W233" s="41" t="str">
        <f>IFERROR(__xludf.DUMMYFUNCTION(" IF(Account!$F233&lt;&gt;"""", SPLIT(Account!$F233, "" ""), """")"),"")</f>
        <v/>
      </c>
      <c r="X233" s="42"/>
      <c r="Y233" s="42"/>
      <c r="Z233" s="42"/>
      <c r="AA233" s="42"/>
      <c r="AB233" s="42"/>
      <c r="AC233" s="42"/>
      <c r="AD233" s="42"/>
      <c r="AE233" s="42"/>
      <c r="AF233" s="42"/>
      <c r="AG233" s="42"/>
      <c r="AH233" s="42"/>
      <c r="AI233" s="42"/>
      <c r="AJ233" s="42"/>
      <c r="AK233" s="42"/>
    </row>
    <row r="234">
      <c r="A234" s="20"/>
      <c r="B234" s="20"/>
      <c r="C234" s="20"/>
      <c r="D234" s="20"/>
      <c r="E234" s="20"/>
      <c r="F234" s="21"/>
      <c r="G234" s="20"/>
      <c r="H234" s="20"/>
      <c r="I234" s="20"/>
      <c r="J234" s="20"/>
      <c r="K234" s="20"/>
      <c r="L234" s="21"/>
      <c r="M234" s="33" t="str">
        <f>IFERROR(__xludf.DUMMYFUNCTION("IFS(W234=""Achat"",IFERROR(VALUE(X234),VALUE(REGEXREPLACE(T(X234),""[^0-9]"",""""))),W234=""Vente"",-IFERROR(VALUE(X234),VALUE(REGEXREPLACE(T(X234),""[^0-9]"",""""))),Y234=""Change"",0,Y234&lt;&gt;""Change"","""")"),"")</f>
        <v/>
      </c>
      <c r="N234" s="34" t="str">
        <f>IFERROR(__xludf.DUMMYFUNCTION("IF(Account!$F234&lt;&gt;"""", VALUE(REGEXREPLACE($I234, ""\,"", ""."")), """")"),"")</f>
        <v/>
      </c>
      <c r="O234" s="35" t="str">
        <f>IF(Account!$F234&lt;&gt;"", DATEVALUE(MID($A234,4,3) &amp; LEFT($A234,3) &amp; RIGHT($A234,4)) + TIMEVALUE($B234), "")</f>
        <v/>
      </c>
      <c r="P234" s="36" t="str">
        <f>IF(Account!$F234&lt;&gt;"", DATEVALUE(MID($C234,4,3) &amp; LEFT($C234,3) &amp; RIGHT($C234,4)), "")</f>
        <v/>
      </c>
      <c r="Q234" s="37" t="str">
        <f t="array" ref="Q234">IF($R234&lt;&gt;"",IFERROR(INDEX(ISIN!$B:$B,MATCH($R234,ISIN!$C:$C,0))),)</f>
        <v/>
      </c>
      <c r="R234" s="38" t="str">
        <f t="array" ref="R234">IF($E234&lt;&gt;"",IFERROR(INDEX(ISIN!$C:$C,MATCH($E234,ISIN!$A:$A,0)),IFERROR(INDEX($R235:$R1200,MATCH($K234,$K235:$K1200,0)))),IF(AND($Y234="change",$H234="EUR"),IF($O234=$O235,$R235,IF($O234=$O233,$R233)),IFERROR(INDEX($R235:$R1200,MATCH(SUBSTITUTE($I234,"-","",1),$K235:$K1200,0)))))</f>
        <v/>
      </c>
      <c r="S234" s="37" t="str">
        <f t="shared" si="1"/>
        <v/>
      </c>
      <c r="T234" s="39" t="str">
        <f t="shared" si="2"/>
        <v/>
      </c>
      <c r="U234" s="40" t="str">
        <f t="shared" si="3"/>
        <v/>
      </c>
      <c r="V234" s="34" t="str">
        <f t="shared" si="4"/>
        <v/>
      </c>
      <c r="W234" s="41" t="str">
        <f>IFERROR(__xludf.DUMMYFUNCTION(" IF(Account!$F234&lt;&gt;"""", SPLIT(Account!$F234, "" ""), """")"),"")</f>
        <v/>
      </c>
      <c r="X234" s="42"/>
      <c r="Y234" s="42"/>
      <c r="Z234" s="42"/>
      <c r="AA234" s="42"/>
      <c r="AB234" s="42"/>
      <c r="AC234" s="42"/>
      <c r="AD234" s="42"/>
      <c r="AE234" s="42"/>
      <c r="AF234" s="42"/>
      <c r="AG234" s="42"/>
      <c r="AH234" s="42"/>
      <c r="AI234" s="42"/>
      <c r="AJ234" s="42"/>
      <c r="AK234" s="42"/>
    </row>
    <row r="235">
      <c r="A235" s="20"/>
      <c r="B235" s="20"/>
      <c r="C235" s="20"/>
      <c r="D235" s="20"/>
      <c r="E235" s="20"/>
      <c r="F235" s="21"/>
      <c r="G235" s="20"/>
      <c r="H235" s="20"/>
      <c r="I235" s="20"/>
      <c r="J235" s="20"/>
      <c r="K235" s="20"/>
      <c r="L235" s="21"/>
      <c r="M235" s="33" t="str">
        <f>IFERROR(__xludf.DUMMYFUNCTION("IFS(W235=""Achat"",IFERROR(VALUE(X235),VALUE(REGEXREPLACE(T(X235),""[^0-9]"",""""))),W235=""Vente"",-IFERROR(VALUE(X235),VALUE(REGEXREPLACE(T(X235),""[^0-9]"",""""))),Y235=""Change"",0,Y235&lt;&gt;""Change"","""")"),"")</f>
        <v/>
      </c>
      <c r="N235" s="34" t="str">
        <f>IFERROR(__xludf.DUMMYFUNCTION("IF(Account!$F235&lt;&gt;"""", VALUE(REGEXREPLACE($I235, ""\,"", ""."")), """")"),"")</f>
        <v/>
      </c>
      <c r="O235" s="35" t="str">
        <f>IF(Account!$F235&lt;&gt;"", DATEVALUE(MID($A235,4,3) &amp; LEFT($A235,3) &amp; RIGHT($A235,4)) + TIMEVALUE($B235), "")</f>
        <v/>
      </c>
      <c r="P235" s="36" t="str">
        <f>IF(Account!$F235&lt;&gt;"", DATEVALUE(MID($C235,4,3) &amp; LEFT($C235,3) &amp; RIGHT($C235,4)), "")</f>
        <v/>
      </c>
      <c r="Q235" s="37" t="str">
        <f t="array" ref="Q235">IF($R235&lt;&gt;"",IFERROR(INDEX(ISIN!$B:$B,MATCH($R235,ISIN!$C:$C,0))),)</f>
        <v/>
      </c>
      <c r="R235" s="38" t="str">
        <f t="array" ref="R235">IF($E235&lt;&gt;"",IFERROR(INDEX(ISIN!$C:$C,MATCH($E235,ISIN!$A:$A,0)),IFERROR(INDEX($R236:$R1200,MATCH($K235,$K236:$K1200,0)))),IF(AND($Y235="change",$H235="EUR"),IF($O235=$O236,$R236,IF($O235=$O234,$R234)),IFERROR(INDEX($R236:$R1200,MATCH(SUBSTITUTE($I235,"-","",1),$K236:$K1200,0)))))</f>
        <v/>
      </c>
      <c r="S235" s="37" t="str">
        <f t="shared" si="1"/>
        <v/>
      </c>
      <c r="T235" s="39" t="str">
        <f t="shared" si="2"/>
        <v/>
      </c>
      <c r="U235" s="40" t="str">
        <f t="shared" si="3"/>
        <v/>
      </c>
      <c r="V235" s="34" t="str">
        <f t="shared" si="4"/>
        <v/>
      </c>
      <c r="W235" s="41" t="str">
        <f>IFERROR(__xludf.DUMMYFUNCTION(" IF(Account!$F235&lt;&gt;"""", SPLIT(Account!$F235, "" ""), """")"),"")</f>
        <v/>
      </c>
      <c r="X235" s="42"/>
      <c r="Y235" s="42"/>
      <c r="Z235" s="42"/>
      <c r="AA235" s="42"/>
      <c r="AB235" s="42"/>
      <c r="AC235" s="42"/>
      <c r="AD235" s="42"/>
      <c r="AE235" s="42"/>
      <c r="AF235" s="42"/>
      <c r="AG235" s="42"/>
      <c r="AH235" s="42"/>
      <c r="AI235" s="42"/>
      <c r="AJ235" s="42"/>
      <c r="AK235" s="42"/>
    </row>
    <row r="236">
      <c r="A236" s="20"/>
      <c r="B236" s="20"/>
      <c r="C236" s="20"/>
      <c r="D236" s="20"/>
      <c r="E236" s="20"/>
      <c r="F236" s="21"/>
      <c r="G236" s="20"/>
      <c r="H236" s="20"/>
      <c r="I236" s="20"/>
      <c r="J236" s="20"/>
      <c r="K236" s="20"/>
      <c r="L236" s="21"/>
      <c r="M236" s="33" t="str">
        <f>IFERROR(__xludf.DUMMYFUNCTION("IFS(W236=""Achat"",IFERROR(VALUE(X236),VALUE(REGEXREPLACE(T(X236),""[^0-9]"",""""))),W236=""Vente"",-IFERROR(VALUE(X236),VALUE(REGEXREPLACE(T(X236),""[^0-9]"",""""))),Y236=""Change"",0,Y236&lt;&gt;""Change"","""")"),"")</f>
        <v/>
      </c>
      <c r="N236" s="34" t="str">
        <f>IFERROR(__xludf.DUMMYFUNCTION("IF(Account!$F236&lt;&gt;"""", VALUE(REGEXREPLACE($I236, ""\,"", ""."")), """")"),"")</f>
        <v/>
      </c>
      <c r="O236" s="35" t="str">
        <f>IF(Account!$F236&lt;&gt;"", DATEVALUE(MID($A236,4,3) &amp; LEFT($A236,3) &amp; RIGHT($A236,4)) + TIMEVALUE($B236), "")</f>
        <v/>
      </c>
      <c r="P236" s="36" t="str">
        <f>IF(Account!$F236&lt;&gt;"", DATEVALUE(MID($C236,4,3) &amp; LEFT($C236,3) &amp; RIGHT($C236,4)), "")</f>
        <v/>
      </c>
      <c r="Q236" s="37" t="str">
        <f t="array" ref="Q236">IF($R236&lt;&gt;"",IFERROR(INDEX(ISIN!$B:$B,MATCH($R236,ISIN!$C:$C,0))),)</f>
        <v/>
      </c>
      <c r="R236" s="38" t="str">
        <f t="array" ref="R236">IF($E236&lt;&gt;"",IFERROR(INDEX(ISIN!$C:$C,MATCH($E236,ISIN!$A:$A,0)),IFERROR(INDEX($R237:$R1200,MATCH($K236,$K237:$K1200,0)))),IF(AND($Y236="change",$H236="EUR"),IF($O236=$O237,$R237,IF($O236=$O235,$R235)),IFERROR(INDEX($R237:$R1200,MATCH(SUBSTITUTE($I236,"-","",1),$K237:$K1200,0)))))</f>
        <v/>
      </c>
      <c r="S236" s="37" t="str">
        <f t="shared" si="1"/>
        <v/>
      </c>
      <c r="T236" s="39" t="str">
        <f t="shared" si="2"/>
        <v/>
      </c>
      <c r="U236" s="40" t="str">
        <f t="shared" si="3"/>
        <v/>
      </c>
      <c r="V236" s="34" t="str">
        <f t="shared" si="4"/>
        <v/>
      </c>
      <c r="W236" s="41" t="str">
        <f>IFERROR(__xludf.DUMMYFUNCTION(" IF(Account!$F236&lt;&gt;"""", SPLIT(Account!$F236, "" ""), """")"),"")</f>
        <v/>
      </c>
      <c r="X236" s="42"/>
      <c r="Y236" s="42"/>
      <c r="Z236" s="42"/>
      <c r="AA236" s="42"/>
      <c r="AB236" s="42"/>
      <c r="AC236" s="42"/>
      <c r="AD236" s="42"/>
      <c r="AE236" s="42"/>
      <c r="AF236" s="42"/>
      <c r="AG236" s="42"/>
      <c r="AH236" s="42"/>
      <c r="AI236" s="42"/>
      <c r="AJ236" s="42"/>
      <c r="AK236" s="42"/>
    </row>
    <row r="237">
      <c r="A237" s="20"/>
      <c r="B237" s="20"/>
      <c r="C237" s="20"/>
      <c r="D237" s="20"/>
      <c r="E237" s="20"/>
      <c r="F237" s="21"/>
      <c r="G237" s="20"/>
      <c r="H237" s="20"/>
      <c r="I237" s="20"/>
      <c r="J237" s="20"/>
      <c r="K237" s="20"/>
      <c r="L237" s="21"/>
      <c r="M237" s="33" t="str">
        <f>IFERROR(__xludf.DUMMYFUNCTION("IFS(W237=""Achat"",IFERROR(VALUE(X237),VALUE(REGEXREPLACE(T(X237),""[^0-9]"",""""))),W237=""Vente"",-IFERROR(VALUE(X237),VALUE(REGEXREPLACE(T(X237),""[^0-9]"",""""))),Y237=""Change"",0,Y237&lt;&gt;""Change"","""")"),"")</f>
        <v/>
      </c>
      <c r="N237" s="34" t="str">
        <f>IFERROR(__xludf.DUMMYFUNCTION("IF(Account!$F237&lt;&gt;"""", VALUE(REGEXREPLACE($I237, ""\,"", ""."")), """")"),"")</f>
        <v/>
      </c>
      <c r="O237" s="35" t="str">
        <f>IF(Account!$F237&lt;&gt;"", DATEVALUE(MID($A237,4,3) &amp; LEFT($A237,3) &amp; RIGHT($A237,4)) + TIMEVALUE($B237), "")</f>
        <v/>
      </c>
      <c r="P237" s="36" t="str">
        <f>IF(Account!$F237&lt;&gt;"", DATEVALUE(MID($C237,4,3) &amp; LEFT($C237,3) &amp; RIGHT($C237,4)), "")</f>
        <v/>
      </c>
      <c r="Q237" s="37" t="str">
        <f t="array" ref="Q237">IF($R237&lt;&gt;"",IFERROR(INDEX(ISIN!$B:$B,MATCH($R237,ISIN!$C:$C,0))),)</f>
        <v/>
      </c>
      <c r="R237" s="38" t="str">
        <f t="array" ref="R237">IF($E237&lt;&gt;"",IFERROR(INDEX(ISIN!$C:$C,MATCH($E237,ISIN!$A:$A,0)),IFERROR(INDEX($R238:$R1200,MATCH($K237,$K238:$K1200,0)))),IF(AND($Y237="change",$H237="EUR"),IF($O237=$O238,$R238,IF($O237=$O236,$R236)),IFERROR(INDEX($R238:$R1200,MATCH(SUBSTITUTE($I237,"-","",1),$K238:$K1200,0)))))</f>
        <v/>
      </c>
      <c r="S237" s="37" t="str">
        <f t="shared" si="1"/>
        <v/>
      </c>
      <c r="T237" s="39" t="str">
        <f t="shared" si="2"/>
        <v/>
      </c>
      <c r="U237" s="40" t="str">
        <f t="shared" si="3"/>
        <v/>
      </c>
      <c r="V237" s="34" t="str">
        <f t="shared" si="4"/>
        <v/>
      </c>
      <c r="W237" s="41" t="str">
        <f>IFERROR(__xludf.DUMMYFUNCTION(" IF(Account!$F237&lt;&gt;"""", SPLIT(Account!$F237, "" ""), """")"),"")</f>
        <v/>
      </c>
      <c r="X237" s="42"/>
      <c r="Y237" s="42"/>
      <c r="Z237" s="42"/>
      <c r="AA237" s="42"/>
      <c r="AB237" s="42"/>
      <c r="AC237" s="42"/>
      <c r="AD237" s="42"/>
      <c r="AE237" s="42"/>
      <c r="AF237" s="42"/>
      <c r="AG237" s="42"/>
      <c r="AH237" s="42"/>
      <c r="AI237" s="42"/>
      <c r="AJ237" s="42"/>
      <c r="AK237" s="42"/>
    </row>
    <row r="238">
      <c r="A238" s="20"/>
      <c r="B238" s="20"/>
      <c r="C238" s="20"/>
      <c r="D238" s="20"/>
      <c r="E238" s="20"/>
      <c r="F238" s="21"/>
      <c r="G238" s="45"/>
      <c r="H238" s="20"/>
      <c r="I238" s="20"/>
      <c r="J238" s="20"/>
      <c r="K238" s="20"/>
      <c r="L238" s="21"/>
      <c r="M238" s="33" t="str">
        <f>IFERROR(__xludf.DUMMYFUNCTION("IFS(W238=""Achat"",IFERROR(VALUE(X238),VALUE(REGEXREPLACE(T(X238),""[^0-9]"",""""))),W238=""Vente"",-IFERROR(VALUE(X238),VALUE(REGEXREPLACE(T(X238),""[^0-9]"",""""))),Y238=""Change"",0,Y238&lt;&gt;""Change"","""")"),"")</f>
        <v/>
      </c>
      <c r="N238" s="34" t="str">
        <f>IFERROR(__xludf.DUMMYFUNCTION("IF(Account!$F238&lt;&gt;"""", VALUE(REGEXREPLACE($I238, ""\,"", ""."")), """")"),"")</f>
        <v/>
      </c>
      <c r="O238" s="35" t="str">
        <f>IF(Account!$F238&lt;&gt;"", DATEVALUE(MID($A238,4,3) &amp; LEFT($A238,3) &amp; RIGHT($A238,4)) + TIMEVALUE($B238), "")</f>
        <v/>
      </c>
      <c r="P238" s="36" t="str">
        <f>IF(Account!$F238&lt;&gt;"", DATEVALUE(MID($C238,4,3) &amp; LEFT($C238,3) &amp; RIGHT($C238,4)), "")</f>
        <v/>
      </c>
      <c r="Q238" s="37" t="str">
        <f t="array" ref="Q238">IF($R238&lt;&gt;"",IFERROR(INDEX(ISIN!$B:$B,MATCH($R238,ISIN!$C:$C,0))),)</f>
        <v/>
      </c>
      <c r="R238" s="38" t="str">
        <f t="array" ref="R238">IF($E238&lt;&gt;"",IFERROR(INDEX(ISIN!$C:$C,MATCH($E238,ISIN!$A:$A,0)),IFERROR(INDEX($R239:$R1200,MATCH($K238,$K239:$K1200,0)))),IF(AND($Y238="change",$H238="EUR"),IF($O238=$O239,$R239,IF($O238=$O237,$R237)),IFERROR(INDEX($R239:$R1200,MATCH(SUBSTITUTE($I238,"-","",1),$K239:$K1200,0)))))</f>
        <v/>
      </c>
      <c r="S238" s="37" t="str">
        <f t="shared" si="1"/>
        <v/>
      </c>
      <c r="T238" s="39" t="str">
        <f t="shared" si="2"/>
        <v/>
      </c>
      <c r="U238" s="40" t="str">
        <f t="shared" si="3"/>
        <v/>
      </c>
      <c r="V238" s="34" t="str">
        <f t="shared" si="4"/>
        <v/>
      </c>
      <c r="W238" s="41" t="str">
        <f>IFERROR(__xludf.DUMMYFUNCTION(" IF(Account!$F238&lt;&gt;"""", SPLIT(Account!$F238, "" ""), """")"),"")</f>
        <v/>
      </c>
      <c r="X238" s="42"/>
      <c r="Y238" s="42"/>
      <c r="Z238" s="42"/>
      <c r="AA238" s="42"/>
      <c r="AB238" s="42"/>
      <c r="AC238" s="42"/>
      <c r="AD238" s="42"/>
      <c r="AE238" s="42"/>
      <c r="AF238" s="42"/>
      <c r="AG238" s="42"/>
      <c r="AH238" s="42"/>
      <c r="AI238" s="42"/>
      <c r="AJ238" s="42"/>
      <c r="AK238" s="42"/>
    </row>
    <row r="239">
      <c r="A239" s="20"/>
      <c r="B239" s="20"/>
      <c r="C239" s="20"/>
      <c r="D239" s="20"/>
      <c r="E239" s="20"/>
      <c r="F239" s="21"/>
      <c r="G239" s="20"/>
      <c r="H239" s="20"/>
      <c r="I239" s="20"/>
      <c r="J239" s="20"/>
      <c r="K239" s="20"/>
      <c r="L239" s="21"/>
      <c r="M239" s="33" t="str">
        <f>IFERROR(__xludf.DUMMYFUNCTION("IFS(W239=""Achat"",IFERROR(VALUE(X239),VALUE(REGEXREPLACE(T(X239),""[^0-9]"",""""))),W239=""Vente"",-IFERROR(VALUE(X239),VALUE(REGEXREPLACE(T(X239),""[^0-9]"",""""))),Y239=""Change"",0,Y239&lt;&gt;""Change"","""")"),"")</f>
        <v/>
      </c>
      <c r="N239" s="34" t="str">
        <f>IFERROR(__xludf.DUMMYFUNCTION("IF(Account!$F239&lt;&gt;"""", VALUE(REGEXREPLACE($I239, ""\,"", ""."")), """")"),"")</f>
        <v/>
      </c>
      <c r="O239" s="35" t="str">
        <f>IF(Account!$F239&lt;&gt;"", DATEVALUE(MID($A239,4,3) &amp; LEFT($A239,3) &amp; RIGHT($A239,4)) + TIMEVALUE($B239), "")</f>
        <v/>
      </c>
      <c r="P239" s="36" t="str">
        <f>IF(Account!$F239&lt;&gt;"", DATEVALUE(MID($C239,4,3) &amp; LEFT($C239,3) &amp; RIGHT($C239,4)), "")</f>
        <v/>
      </c>
      <c r="Q239" s="37" t="str">
        <f t="array" ref="Q239">IF($R239&lt;&gt;"",IFERROR(INDEX(ISIN!$B:$B,MATCH($R239,ISIN!$C:$C,0))),)</f>
        <v/>
      </c>
      <c r="R239" s="38" t="str">
        <f t="array" ref="R239">IF($E239&lt;&gt;"",IFERROR(INDEX(ISIN!$C:$C,MATCH($E239,ISIN!$A:$A,0)),IFERROR(INDEX($R240:$R1200,MATCH($K239,$K240:$K1200,0)))),IF(AND($Y239="change",$H239="EUR"),IF($O239=$O240,$R240,IF($O239=$O238,$R238)),IFERROR(INDEX($R240:$R1200,MATCH(SUBSTITUTE($I239,"-","",1),$K240:$K1200,0)))))</f>
        <v/>
      </c>
      <c r="S239" s="37" t="str">
        <f t="shared" si="1"/>
        <v/>
      </c>
      <c r="T239" s="39" t="str">
        <f t="shared" si="2"/>
        <v/>
      </c>
      <c r="U239" s="40" t="str">
        <f t="shared" si="3"/>
        <v/>
      </c>
      <c r="V239" s="34" t="str">
        <f t="shared" si="4"/>
        <v/>
      </c>
      <c r="W239" s="41" t="str">
        <f>IFERROR(__xludf.DUMMYFUNCTION(" IF(Account!$F239&lt;&gt;"""", SPLIT(Account!$F239, "" ""), """")"),"")</f>
        <v/>
      </c>
      <c r="X239" s="42"/>
      <c r="Y239" s="42"/>
      <c r="Z239" s="42"/>
      <c r="AA239" s="42"/>
      <c r="AB239" s="42"/>
      <c r="AC239" s="42"/>
      <c r="AD239" s="42"/>
      <c r="AE239" s="42"/>
      <c r="AF239" s="42"/>
      <c r="AG239" s="42"/>
      <c r="AH239" s="42"/>
      <c r="AI239" s="42"/>
      <c r="AJ239" s="42"/>
      <c r="AK239" s="42"/>
    </row>
    <row r="240">
      <c r="A240" s="20"/>
      <c r="B240" s="20"/>
      <c r="C240" s="20"/>
      <c r="D240" s="20"/>
      <c r="E240" s="20"/>
      <c r="F240" s="21"/>
      <c r="G240" s="45"/>
      <c r="H240" s="20"/>
      <c r="I240" s="20"/>
      <c r="J240" s="20"/>
      <c r="K240" s="20"/>
      <c r="L240" s="21"/>
      <c r="M240" s="33" t="str">
        <f>IFERROR(__xludf.DUMMYFUNCTION("IFS(W240=""Achat"",IFERROR(VALUE(X240),VALUE(REGEXREPLACE(T(X240),""[^0-9]"",""""))),W240=""Vente"",-IFERROR(VALUE(X240),VALUE(REGEXREPLACE(T(X240),""[^0-9]"",""""))),Y240=""Change"",0,Y240&lt;&gt;""Change"","""")"),"")</f>
        <v/>
      </c>
      <c r="N240" s="34" t="str">
        <f>IFERROR(__xludf.DUMMYFUNCTION("IF(Account!$F240&lt;&gt;"""", VALUE(REGEXREPLACE($I240, ""\,"", ""."")), """")"),"")</f>
        <v/>
      </c>
      <c r="O240" s="35" t="str">
        <f>IF(Account!$F240&lt;&gt;"", DATEVALUE(MID($A240,4,3) &amp; LEFT($A240,3) &amp; RIGHT($A240,4)) + TIMEVALUE($B240), "")</f>
        <v/>
      </c>
      <c r="P240" s="36" t="str">
        <f>IF(Account!$F240&lt;&gt;"", DATEVALUE(MID($C240,4,3) &amp; LEFT($C240,3) &amp; RIGHT($C240,4)), "")</f>
        <v/>
      </c>
      <c r="Q240" s="37" t="str">
        <f t="array" ref="Q240">IF($R240&lt;&gt;"",IFERROR(INDEX(ISIN!$B:$B,MATCH($R240,ISIN!$C:$C,0))),)</f>
        <v/>
      </c>
      <c r="R240" s="38" t="str">
        <f t="array" ref="R240">IF($E240&lt;&gt;"",IFERROR(INDEX(ISIN!$C:$C,MATCH($E240,ISIN!$A:$A,0)),IFERROR(INDEX($R241:$R1200,MATCH($K240,$K241:$K1200,0)))),IF(AND($Y240="change",$H240="EUR"),IF($O240=$O241,$R241,IF($O240=$O239,$R239)),IFERROR(INDEX($R241:$R1200,MATCH(SUBSTITUTE($I240,"-","",1),$K241:$K1200,0)))))</f>
        <v/>
      </c>
      <c r="S240" s="37" t="str">
        <f t="shared" si="1"/>
        <v/>
      </c>
      <c r="T240" s="39" t="str">
        <f t="shared" si="2"/>
        <v/>
      </c>
      <c r="U240" s="40" t="str">
        <f t="shared" si="3"/>
        <v/>
      </c>
      <c r="V240" s="34" t="str">
        <f t="shared" si="4"/>
        <v/>
      </c>
      <c r="W240" s="41" t="str">
        <f>IFERROR(__xludf.DUMMYFUNCTION(" IF(Account!$F240&lt;&gt;"""", SPLIT(Account!$F240, "" ""), """")"),"")</f>
        <v/>
      </c>
      <c r="X240" s="42"/>
      <c r="Y240" s="42"/>
      <c r="Z240" s="42"/>
      <c r="AA240" s="42"/>
      <c r="AB240" s="42"/>
      <c r="AC240" s="42"/>
      <c r="AD240" s="42"/>
      <c r="AE240" s="42"/>
      <c r="AF240" s="42"/>
      <c r="AG240" s="42"/>
      <c r="AH240" s="42"/>
      <c r="AI240" s="42"/>
      <c r="AJ240" s="42"/>
      <c r="AK240" s="42"/>
    </row>
    <row r="241">
      <c r="A241" s="20"/>
      <c r="B241" s="20"/>
      <c r="C241" s="20"/>
      <c r="D241" s="20"/>
      <c r="E241" s="20"/>
      <c r="F241" s="21"/>
      <c r="G241" s="20"/>
      <c r="H241" s="20"/>
      <c r="I241" s="20"/>
      <c r="J241" s="20"/>
      <c r="K241" s="20"/>
      <c r="L241" s="21"/>
      <c r="M241" s="33" t="str">
        <f>IFERROR(__xludf.DUMMYFUNCTION("IFS(W241=""Achat"",IFERROR(VALUE(X241),VALUE(REGEXREPLACE(T(X241),""[^0-9]"",""""))),W241=""Vente"",-IFERROR(VALUE(X241),VALUE(REGEXREPLACE(T(X241),""[^0-9]"",""""))),Y241=""Change"",0,Y241&lt;&gt;""Change"","""")"),"")</f>
        <v/>
      </c>
      <c r="N241" s="34" t="str">
        <f>IFERROR(__xludf.DUMMYFUNCTION("IF(Account!$F241&lt;&gt;"""", VALUE(REGEXREPLACE($I241, ""\,"", ""."")), """")"),"")</f>
        <v/>
      </c>
      <c r="O241" s="35" t="str">
        <f>IF(Account!$F241&lt;&gt;"", DATEVALUE(MID($A241,4,3) &amp; LEFT($A241,3) &amp; RIGHT($A241,4)) + TIMEVALUE($B241), "")</f>
        <v/>
      </c>
      <c r="P241" s="36" t="str">
        <f>IF(Account!$F241&lt;&gt;"", DATEVALUE(MID($C241,4,3) &amp; LEFT($C241,3) &amp; RIGHT($C241,4)), "")</f>
        <v/>
      </c>
      <c r="Q241" s="37" t="str">
        <f t="array" ref="Q241">IF($R241&lt;&gt;"",IFERROR(INDEX(ISIN!$B:$B,MATCH($R241,ISIN!$C:$C,0))),)</f>
        <v/>
      </c>
      <c r="R241" s="38" t="str">
        <f t="array" ref="R241">IF($E241&lt;&gt;"",IFERROR(INDEX(ISIN!$C:$C,MATCH($E241,ISIN!$A:$A,0)),IFERROR(INDEX($R242:$R1200,MATCH($K241,$K242:$K1200,0)))),IF(AND($Y241="change",$H241="EUR"),IF($O241=$O242,$R242,IF($O241=$O240,$R240)),IFERROR(INDEX($R242:$R1200,MATCH(SUBSTITUTE($I241,"-","",1),$K242:$K1200,0)))))</f>
        <v/>
      </c>
      <c r="S241" s="37" t="str">
        <f t="shared" si="1"/>
        <v/>
      </c>
      <c r="T241" s="39" t="str">
        <f t="shared" si="2"/>
        <v/>
      </c>
      <c r="U241" s="40" t="str">
        <f t="shared" si="3"/>
        <v/>
      </c>
      <c r="V241" s="34" t="str">
        <f t="shared" si="4"/>
        <v/>
      </c>
      <c r="W241" s="41" t="str">
        <f>IFERROR(__xludf.DUMMYFUNCTION(" IF(Account!$F241&lt;&gt;"""", SPLIT(Account!$F241, "" ""), """")"),"")</f>
        <v/>
      </c>
      <c r="X241" s="42"/>
      <c r="Y241" s="42"/>
      <c r="Z241" s="42"/>
      <c r="AA241" s="42"/>
      <c r="AB241" s="42"/>
      <c r="AC241" s="42"/>
      <c r="AD241" s="42"/>
      <c r="AE241" s="42"/>
      <c r="AF241" s="42"/>
      <c r="AG241" s="42"/>
      <c r="AH241" s="42"/>
      <c r="AI241" s="42"/>
      <c r="AJ241" s="42"/>
      <c r="AK241" s="42"/>
    </row>
    <row r="242">
      <c r="A242" s="20"/>
      <c r="B242" s="20"/>
      <c r="C242" s="20"/>
      <c r="D242" s="20"/>
      <c r="E242" s="20"/>
      <c r="F242" s="21"/>
      <c r="G242" s="20"/>
      <c r="H242" s="20"/>
      <c r="I242" s="20"/>
      <c r="J242" s="20"/>
      <c r="K242" s="20"/>
      <c r="L242" s="21"/>
      <c r="M242" s="33" t="str">
        <f>IFERROR(__xludf.DUMMYFUNCTION("IFS(W242=""Achat"",IFERROR(VALUE(X242),VALUE(REGEXREPLACE(T(X242),""[^0-9]"",""""))),W242=""Vente"",-IFERROR(VALUE(X242),VALUE(REGEXREPLACE(T(X242),""[^0-9]"",""""))),Y242=""Change"",0,Y242&lt;&gt;""Change"","""")"),"")</f>
        <v/>
      </c>
      <c r="N242" s="34" t="str">
        <f>IFERROR(__xludf.DUMMYFUNCTION("IF(Account!$F242&lt;&gt;"""", VALUE(REGEXREPLACE($I242, ""\,"", ""."")), """")"),"")</f>
        <v/>
      </c>
      <c r="O242" s="35" t="str">
        <f>IF(Account!$F242&lt;&gt;"", DATEVALUE(MID($A242,4,3) &amp; LEFT($A242,3) &amp; RIGHT($A242,4)) + TIMEVALUE($B242), "")</f>
        <v/>
      </c>
      <c r="P242" s="36" t="str">
        <f>IF(Account!$F242&lt;&gt;"", DATEVALUE(MID($C242,4,3) &amp; LEFT($C242,3) &amp; RIGHT($C242,4)), "")</f>
        <v/>
      </c>
      <c r="Q242" s="37" t="str">
        <f t="array" ref="Q242">IF($R242&lt;&gt;"",IFERROR(INDEX(ISIN!$B:$B,MATCH($R242,ISIN!$C:$C,0))),)</f>
        <v/>
      </c>
      <c r="R242" s="38" t="str">
        <f t="array" ref="R242">IF($E242&lt;&gt;"",IFERROR(INDEX(ISIN!$C:$C,MATCH($E242,ISIN!$A:$A,0)),IFERROR(INDEX($R243:$R1200,MATCH($K242,$K243:$K1200,0)))),IF(AND($Y242="change",$H242="EUR"),IF($O242=$O243,$R243,IF($O242=$O241,$R241)),IFERROR(INDEX($R243:$R1200,MATCH(SUBSTITUTE($I242,"-","",1),$K243:$K1200,0)))))</f>
        <v/>
      </c>
      <c r="S242" s="37" t="str">
        <f t="shared" si="1"/>
        <v/>
      </c>
      <c r="T242" s="39" t="str">
        <f t="shared" si="2"/>
        <v/>
      </c>
      <c r="U242" s="40" t="str">
        <f t="shared" si="3"/>
        <v/>
      </c>
      <c r="V242" s="34" t="str">
        <f t="shared" si="4"/>
        <v/>
      </c>
      <c r="W242" s="41" t="str">
        <f>IFERROR(__xludf.DUMMYFUNCTION(" IF(Account!$F242&lt;&gt;"""", SPLIT(Account!$F242, "" ""), """")"),"")</f>
        <v/>
      </c>
      <c r="X242" s="42"/>
      <c r="Y242" s="42"/>
      <c r="Z242" s="42"/>
      <c r="AA242" s="42"/>
      <c r="AB242" s="42"/>
      <c r="AC242" s="42"/>
      <c r="AD242" s="42"/>
      <c r="AE242" s="42"/>
      <c r="AF242" s="42"/>
      <c r="AG242" s="42"/>
      <c r="AH242" s="42"/>
      <c r="AI242" s="42"/>
      <c r="AJ242" s="42"/>
      <c r="AK242" s="42"/>
    </row>
    <row r="243">
      <c r="A243" s="20"/>
      <c r="B243" s="20"/>
      <c r="C243" s="20"/>
      <c r="D243" s="20"/>
      <c r="E243" s="20"/>
      <c r="F243" s="21"/>
      <c r="G243" s="20"/>
      <c r="H243" s="20"/>
      <c r="I243" s="20"/>
      <c r="J243" s="20"/>
      <c r="K243" s="20"/>
      <c r="L243" s="21"/>
      <c r="M243" s="33" t="str">
        <f>IFERROR(__xludf.DUMMYFUNCTION("IFS(W243=""Achat"",IFERROR(VALUE(X243),VALUE(REGEXREPLACE(T(X243),""[^0-9]"",""""))),W243=""Vente"",-IFERROR(VALUE(X243),VALUE(REGEXREPLACE(T(X243),""[^0-9]"",""""))),Y243=""Change"",0,Y243&lt;&gt;""Change"","""")"),"")</f>
        <v/>
      </c>
      <c r="N243" s="34" t="str">
        <f>IFERROR(__xludf.DUMMYFUNCTION("IF(Account!$F243&lt;&gt;"""", VALUE(REGEXREPLACE($I243, ""\,"", ""."")), """")"),"")</f>
        <v/>
      </c>
      <c r="O243" s="35" t="str">
        <f>IF(Account!$F243&lt;&gt;"", DATEVALUE(MID($A243,4,3) &amp; LEFT($A243,3) &amp; RIGHT($A243,4)) + TIMEVALUE($B243), "")</f>
        <v/>
      </c>
      <c r="P243" s="36" t="str">
        <f>IF(Account!$F243&lt;&gt;"", DATEVALUE(MID($C243,4,3) &amp; LEFT($C243,3) &amp; RIGHT($C243,4)), "")</f>
        <v/>
      </c>
      <c r="Q243" s="37" t="str">
        <f t="array" ref="Q243">IF($R243&lt;&gt;"",IFERROR(INDEX(ISIN!$B:$B,MATCH($R243,ISIN!$C:$C,0))),)</f>
        <v/>
      </c>
      <c r="R243" s="38" t="str">
        <f t="array" ref="R243">IF($E243&lt;&gt;"",IFERROR(INDEX(ISIN!$C:$C,MATCH($E243,ISIN!$A:$A,0)),IFERROR(INDEX($R244:$R1200,MATCH($K243,$K244:$K1200,0)))),IF(AND($Y243="change",$H243="EUR"),IF($O243=$O244,$R244,IF($O243=$O242,$R242)),IFERROR(INDEX($R244:$R1200,MATCH(SUBSTITUTE($I243,"-","",1),$K244:$K1200,0)))))</f>
        <v/>
      </c>
      <c r="S243" s="37" t="str">
        <f t="shared" si="1"/>
        <v/>
      </c>
      <c r="T243" s="39" t="str">
        <f t="shared" si="2"/>
        <v/>
      </c>
      <c r="U243" s="40" t="str">
        <f t="shared" si="3"/>
        <v/>
      </c>
      <c r="V243" s="34" t="str">
        <f t="shared" si="4"/>
        <v/>
      </c>
      <c r="W243" s="41" t="str">
        <f>IFERROR(__xludf.DUMMYFUNCTION(" IF(Account!$F243&lt;&gt;"""", SPLIT(Account!$F243, "" ""), """")"),"")</f>
        <v/>
      </c>
      <c r="X243" s="42"/>
      <c r="Y243" s="42"/>
      <c r="Z243" s="42"/>
      <c r="AA243" s="42"/>
      <c r="AB243" s="42"/>
      <c r="AC243" s="42"/>
      <c r="AD243" s="42"/>
      <c r="AE243" s="42"/>
      <c r="AF243" s="42"/>
      <c r="AG243" s="42"/>
      <c r="AH243" s="42"/>
      <c r="AI243" s="42"/>
      <c r="AJ243" s="42"/>
      <c r="AK243" s="42"/>
    </row>
    <row r="244">
      <c r="A244" s="20"/>
      <c r="B244" s="20"/>
      <c r="C244" s="20"/>
      <c r="D244" s="20"/>
      <c r="E244" s="20"/>
      <c r="F244" s="21"/>
      <c r="G244" s="45"/>
      <c r="H244" s="20"/>
      <c r="I244" s="20"/>
      <c r="J244" s="20"/>
      <c r="K244" s="20"/>
      <c r="L244" s="21"/>
      <c r="M244" s="33" t="str">
        <f>IFERROR(__xludf.DUMMYFUNCTION("IFS(W244=""Achat"",IFERROR(VALUE(X244),VALUE(REGEXREPLACE(T(X244),""[^0-9]"",""""))),W244=""Vente"",-IFERROR(VALUE(X244),VALUE(REGEXREPLACE(T(X244),""[^0-9]"",""""))),Y244=""Change"",0,Y244&lt;&gt;""Change"","""")"),"")</f>
        <v/>
      </c>
      <c r="N244" s="34" t="str">
        <f>IFERROR(__xludf.DUMMYFUNCTION("IF(Account!$F244&lt;&gt;"""", VALUE(REGEXREPLACE($I244, ""\,"", ""."")), """")"),"")</f>
        <v/>
      </c>
      <c r="O244" s="35" t="str">
        <f>IF(Account!$F244&lt;&gt;"", DATEVALUE(MID($A244,4,3) &amp; LEFT($A244,3) &amp; RIGHT($A244,4)) + TIMEVALUE($B244), "")</f>
        <v/>
      </c>
      <c r="P244" s="36" t="str">
        <f>IF(Account!$F244&lt;&gt;"", DATEVALUE(MID($C244,4,3) &amp; LEFT($C244,3) &amp; RIGHT($C244,4)), "")</f>
        <v/>
      </c>
      <c r="Q244" s="37" t="str">
        <f t="array" ref="Q244">IF($R244&lt;&gt;"",IFERROR(INDEX(ISIN!$B:$B,MATCH($R244,ISIN!$C:$C,0))),)</f>
        <v/>
      </c>
      <c r="R244" s="38" t="str">
        <f t="array" ref="R244">IF($E244&lt;&gt;"",IFERROR(INDEX(ISIN!$C:$C,MATCH($E244,ISIN!$A:$A,0)),IFERROR(INDEX($R245:$R1200,MATCH($K244,$K245:$K1200,0)))),IF(AND($Y244="change",$H244="EUR"),IF($O244=$O245,$R245,IF($O244=$O243,$R243)),IFERROR(INDEX($R245:$R1200,MATCH(SUBSTITUTE($I244,"-","",1),$K245:$K1200,0)))))</f>
        <v/>
      </c>
      <c r="S244" s="37" t="str">
        <f t="shared" si="1"/>
        <v/>
      </c>
      <c r="T244" s="39" t="str">
        <f t="shared" si="2"/>
        <v/>
      </c>
      <c r="U244" s="40" t="str">
        <f t="shared" si="3"/>
        <v/>
      </c>
      <c r="V244" s="34" t="str">
        <f t="shared" si="4"/>
        <v/>
      </c>
      <c r="W244" s="41" t="str">
        <f>IFERROR(__xludf.DUMMYFUNCTION(" IF(Account!$F244&lt;&gt;"""", SPLIT(Account!$F244, "" ""), """")"),"")</f>
        <v/>
      </c>
      <c r="X244" s="42"/>
      <c r="Y244" s="42"/>
      <c r="Z244" s="42"/>
      <c r="AA244" s="42"/>
      <c r="AB244" s="42"/>
      <c r="AC244" s="42"/>
      <c r="AD244" s="42"/>
      <c r="AE244" s="42"/>
      <c r="AF244" s="42"/>
      <c r="AG244" s="42"/>
      <c r="AH244" s="42"/>
      <c r="AI244" s="42"/>
      <c r="AJ244" s="42"/>
      <c r="AK244" s="42"/>
    </row>
    <row r="245">
      <c r="A245" s="20"/>
      <c r="B245" s="20"/>
      <c r="C245" s="20"/>
      <c r="D245" s="20"/>
      <c r="E245" s="20"/>
      <c r="F245" s="21"/>
      <c r="G245" s="20"/>
      <c r="H245" s="20"/>
      <c r="I245" s="20"/>
      <c r="J245" s="20"/>
      <c r="K245" s="20"/>
      <c r="L245" s="21"/>
      <c r="M245" s="33" t="str">
        <f>IFERROR(__xludf.DUMMYFUNCTION("IFS(W245=""Achat"",IFERROR(VALUE(X245),VALUE(REGEXREPLACE(T(X245),""[^0-9]"",""""))),W245=""Vente"",-IFERROR(VALUE(X245),VALUE(REGEXREPLACE(T(X245),""[^0-9]"",""""))),Y245=""Change"",0,Y245&lt;&gt;""Change"","""")"),"")</f>
        <v/>
      </c>
      <c r="N245" s="34" t="str">
        <f>IFERROR(__xludf.DUMMYFUNCTION("IF(Account!$F245&lt;&gt;"""", VALUE(REGEXREPLACE($I245, ""\,"", ""."")), """")"),"")</f>
        <v/>
      </c>
      <c r="O245" s="35" t="str">
        <f>IF(Account!$F245&lt;&gt;"", DATEVALUE(MID($A245,4,3) &amp; LEFT($A245,3) &amp; RIGHT($A245,4)) + TIMEVALUE($B245), "")</f>
        <v/>
      </c>
      <c r="P245" s="36" t="str">
        <f>IF(Account!$F245&lt;&gt;"", DATEVALUE(MID($C245,4,3) &amp; LEFT($C245,3) &amp; RIGHT($C245,4)), "")</f>
        <v/>
      </c>
      <c r="Q245" s="37" t="str">
        <f t="array" ref="Q245">IF($R245&lt;&gt;"",IFERROR(INDEX(ISIN!$B:$B,MATCH($R245,ISIN!$C:$C,0))),)</f>
        <v/>
      </c>
      <c r="R245" s="38" t="str">
        <f t="array" ref="R245">IF($E245&lt;&gt;"",IFERROR(INDEX(ISIN!$C:$C,MATCH($E245,ISIN!$A:$A,0)),IFERROR(INDEX($R246:$R1200,MATCH($K245,$K246:$K1200,0)))),IF(AND($Y245="change",$H245="EUR"),IF($O245=$O246,$R246,IF($O245=$O244,$R244)),IFERROR(INDEX($R246:$R1200,MATCH(SUBSTITUTE($I245,"-","",1),$K246:$K1200,0)))))</f>
        <v/>
      </c>
      <c r="S245" s="37" t="str">
        <f t="shared" si="1"/>
        <v/>
      </c>
      <c r="T245" s="39" t="str">
        <f t="shared" si="2"/>
        <v/>
      </c>
      <c r="U245" s="40" t="str">
        <f t="shared" si="3"/>
        <v/>
      </c>
      <c r="V245" s="34" t="str">
        <f t="shared" si="4"/>
        <v/>
      </c>
      <c r="W245" s="41" t="str">
        <f>IFERROR(__xludf.DUMMYFUNCTION(" IF(Account!$F245&lt;&gt;"""", SPLIT(Account!$F245, "" ""), """")"),"")</f>
        <v/>
      </c>
      <c r="X245" s="42"/>
      <c r="Y245" s="42"/>
      <c r="Z245" s="42"/>
      <c r="AA245" s="42"/>
      <c r="AB245" s="42"/>
      <c r="AC245" s="42"/>
      <c r="AD245" s="42"/>
      <c r="AE245" s="42"/>
      <c r="AF245" s="42"/>
      <c r="AG245" s="42"/>
      <c r="AH245" s="42"/>
      <c r="AI245" s="42"/>
      <c r="AJ245" s="42"/>
      <c r="AK245" s="42"/>
    </row>
    <row r="246">
      <c r="A246" s="20"/>
      <c r="B246" s="20"/>
      <c r="C246" s="20"/>
      <c r="D246" s="20"/>
      <c r="E246" s="20"/>
      <c r="F246" s="21"/>
      <c r="G246" s="45"/>
      <c r="H246" s="20"/>
      <c r="I246" s="20"/>
      <c r="J246" s="20"/>
      <c r="K246" s="20"/>
      <c r="L246" s="21"/>
      <c r="M246" s="33" t="str">
        <f>IFERROR(__xludf.DUMMYFUNCTION("IFS(W246=""Achat"",IFERROR(VALUE(X246),VALUE(REGEXREPLACE(T(X246),""[^0-9]"",""""))),W246=""Vente"",-IFERROR(VALUE(X246),VALUE(REGEXREPLACE(T(X246),""[^0-9]"",""""))),Y246=""Change"",0,Y246&lt;&gt;""Change"","""")"),"")</f>
        <v/>
      </c>
      <c r="N246" s="34" t="str">
        <f>IFERROR(__xludf.DUMMYFUNCTION("IF(Account!$F246&lt;&gt;"""", VALUE(REGEXREPLACE($I246, ""\,"", ""."")), """")"),"")</f>
        <v/>
      </c>
      <c r="O246" s="35" t="str">
        <f>IF(Account!$F246&lt;&gt;"", DATEVALUE(MID($A246,4,3) &amp; LEFT($A246,3) &amp; RIGHT($A246,4)) + TIMEVALUE($B246), "")</f>
        <v/>
      </c>
      <c r="P246" s="36" t="str">
        <f>IF(Account!$F246&lt;&gt;"", DATEVALUE(MID($C246,4,3) &amp; LEFT($C246,3) &amp; RIGHT($C246,4)), "")</f>
        <v/>
      </c>
      <c r="Q246" s="37" t="str">
        <f t="array" ref="Q246">IF($R246&lt;&gt;"",IFERROR(INDEX(ISIN!$B:$B,MATCH($R246,ISIN!$C:$C,0))),)</f>
        <v/>
      </c>
      <c r="R246" s="38" t="str">
        <f t="array" ref="R246">IF($E246&lt;&gt;"",IFERROR(INDEX(ISIN!$C:$C,MATCH($E246,ISIN!$A:$A,0)),IFERROR(INDEX($R247:$R1200,MATCH($K246,$K247:$K1200,0)))),IF(AND($Y246="change",$H246="EUR"),IF($O246=$O247,$R247,IF($O246=$O245,$R245)),IFERROR(INDEX($R247:$R1200,MATCH(SUBSTITUTE($I246,"-","",1),$K247:$K1200,0)))))</f>
        <v/>
      </c>
      <c r="S246" s="37" t="str">
        <f t="shared" si="1"/>
        <v/>
      </c>
      <c r="T246" s="39" t="str">
        <f t="shared" si="2"/>
        <v/>
      </c>
      <c r="U246" s="40" t="str">
        <f t="shared" si="3"/>
        <v/>
      </c>
      <c r="V246" s="34" t="str">
        <f t="shared" si="4"/>
        <v/>
      </c>
      <c r="W246" s="41" t="str">
        <f>IFERROR(__xludf.DUMMYFUNCTION(" IF(Account!$F246&lt;&gt;"""", SPLIT(Account!$F246, "" ""), """")"),"")</f>
        <v/>
      </c>
      <c r="X246" s="42"/>
      <c r="Y246" s="42"/>
      <c r="Z246" s="42"/>
      <c r="AA246" s="42"/>
      <c r="AB246" s="42"/>
      <c r="AC246" s="42"/>
      <c r="AD246" s="42"/>
      <c r="AE246" s="42"/>
      <c r="AF246" s="42"/>
      <c r="AG246" s="42"/>
      <c r="AH246" s="42"/>
      <c r="AI246" s="42"/>
      <c r="AJ246" s="42"/>
      <c r="AK246" s="42"/>
    </row>
    <row r="247">
      <c r="A247" s="20"/>
      <c r="B247" s="20"/>
      <c r="C247" s="20"/>
      <c r="D247" s="20"/>
      <c r="E247" s="20"/>
      <c r="F247" s="21"/>
      <c r="G247" s="20"/>
      <c r="H247" s="20"/>
      <c r="I247" s="20"/>
      <c r="J247" s="20"/>
      <c r="K247" s="20"/>
      <c r="L247" s="21"/>
      <c r="M247" s="33" t="str">
        <f>IFERROR(__xludf.DUMMYFUNCTION("IFS(W247=""Achat"",IFERROR(VALUE(X247),VALUE(REGEXREPLACE(T(X247),""[^0-9]"",""""))),W247=""Vente"",-IFERROR(VALUE(X247),VALUE(REGEXREPLACE(T(X247),""[^0-9]"",""""))),Y247=""Change"",0,Y247&lt;&gt;""Change"","""")"),"")</f>
        <v/>
      </c>
      <c r="N247" s="34" t="str">
        <f>IFERROR(__xludf.DUMMYFUNCTION("IF(Account!$F247&lt;&gt;"""", VALUE(REGEXREPLACE($I247, ""\,"", ""."")), """")"),"")</f>
        <v/>
      </c>
      <c r="O247" s="35" t="str">
        <f>IF(Account!$F247&lt;&gt;"", DATEVALUE(MID($A247,4,3) &amp; LEFT($A247,3) &amp; RIGHT($A247,4)) + TIMEVALUE($B247), "")</f>
        <v/>
      </c>
      <c r="P247" s="36" t="str">
        <f>IF(Account!$F247&lt;&gt;"", DATEVALUE(MID($C247,4,3) &amp; LEFT($C247,3) &amp; RIGHT($C247,4)), "")</f>
        <v/>
      </c>
      <c r="Q247" s="37" t="str">
        <f t="array" ref="Q247">IF($R247&lt;&gt;"",IFERROR(INDEX(ISIN!$B:$B,MATCH($R247,ISIN!$C:$C,0))),)</f>
        <v/>
      </c>
      <c r="R247" s="38" t="str">
        <f t="array" ref="R247">IF($E247&lt;&gt;"",IFERROR(INDEX(ISIN!$C:$C,MATCH($E247,ISIN!$A:$A,0)),IFERROR(INDEX($R248:$R1200,MATCH($K247,$K248:$K1200,0)))),IF(AND($Y247="change",$H247="EUR"),IF($O247=$O248,$R248,IF($O247=$O246,$R246)),IFERROR(INDEX($R248:$R1200,MATCH(SUBSTITUTE($I247,"-","",1),$K248:$K1200,0)))))</f>
        <v/>
      </c>
      <c r="S247" s="37" t="str">
        <f t="shared" si="1"/>
        <v/>
      </c>
      <c r="T247" s="39" t="str">
        <f t="shared" si="2"/>
        <v/>
      </c>
      <c r="U247" s="40" t="str">
        <f t="shared" si="3"/>
        <v/>
      </c>
      <c r="V247" s="34" t="str">
        <f t="shared" si="4"/>
        <v/>
      </c>
      <c r="W247" s="41" t="str">
        <f>IFERROR(__xludf.DUMMYFUNCTION(" IF(Account!$F247&lt;&gt;"""", SPLIT(Account!$F247, "" ""), """")"),"")</f>
        <v/>
      </c>
      <c r="X247" s="42"/>
      <c r="Y247" s="42"/>
      <c r="Z247" s="42"/>
      <c r="AA247" s="42"/>
      <c r="AB247" s="42"/>
      <c r="AC247" s="42"/>
      <c r="AD247" s="42"/>
      <c r="AE247" s="42"/>
      <c r="AF247" s="42"/>
      <c r="AG247" s="42"/>
      <c r="AH247" s="42"/>
      <c r="AI247" s="42"/>
      <c r="AJ247" s="42"/>
      <c r="AK247" s="42"/>
    </row>
    <row r="248">
      <c r="A248" s="20"/>
      <c r="B248" s="20"/>
      <c r="C248" s="20"/>
      <c r="D248" s="20"/>
      <c r="E248" s="20"/>
      <c r="F248" s="21"/>
      <c r="G248" s="45"/>
      <c r="H248" s="20"/>
      <c r="I248" s="20"/>
      <c r="J248" s="20"/>
      <c r="K248" s="20"/>
      <c r="L248" s="21"/>
      <c r="M248" s="33" t="str">
        <f>IFERROR(__xludf.DUMMYFUNCTION("IFS(W248=""Achat"",IFERROR(VALUE(X248),VALUE(REGEXREPLACE(T(X248),""[^0-9]"",""""))),W248=""Vente"",-IFERROR(VALUE(X248),VALUE(REGEXREPLACE(T(X248),""[^0-9]"",""""))),Y248=""Change"",0,Y248&lt;&gt;""Change"","""")"),"")</f>
        <v/>
      </c>
      <c r="N248" s="34" t="str">
        <f>IFERROR(__xludf.DUMMYFUNCTION("IF(Account!$F248&lt;&gt;"""", VALUE(REGEXREPLACE($I248, ""\,"", ""."")), """")"),"")</f>
        <v/>
      </c>
      <c r="O248" s="35" t="str">
        <f>IF(Account!$F248&lt;&gt;"", DATEVALUE(MID($A248,4,3) &amp; LEFT($A248,3) &amp; RIGHT($A248,4)) + TIMEVALUE($B248), "")</f>
        <v/>
      </c>
      <c r="P248" s="36" t="str">
        <f>IF(Account!$F248&lt;&gt;"", DATEVALUE(MID($C248,4,3) &amp; LEFT($C248,3) &amp; RIGHT($C248,4)), "")</f>
        <v/>
      </c>
      <c r="Q248" s="37" t="str">
        <f t="array" ref="Q248">IF($R248&lt;&gt;"",IFERROR(INDEX(ISIN!$B:$B,MATCH($R248,ISIN!$C:$C,0))),)</f>
        <v/>
      </c>
      <c r="R248" s="38" t="str">
        <f t="array" ref="R248">IF($E248&lt;&gt;"",IFERROR(INDEX(ISIN!$C:$C,MATCH($E248,ISIN!$A:$A,0)),IFERROR(INDEX($R249:$R1200,MATCH($K248,$K249:$K1200,0)))),IF(AND($Y248="change",$H248="EUR"),IF($O248=$O249,$R249,IF($O248=$O247,$R247)),IFERROR(INDEX($R249:$R1200,MATCH(SUBSTITUTE($I248,"-","",1),$K249:$K1200,0)))))</f>
        <v/>
      </c>
      <c r="S248" s="37" t="str">
        <f t="shared" si="1"/>
        <v/>
      </c>
      <c r="T248" s="39" t="str">
        <f t="shared" si="2"/>
        <v/>
      </c>
      <c r="U248" s="40" t="str">
        <f t="shared" si="3"/>
        <v/>
      </c>
      <c r="V248" s="34" t="str">
        <f t="shared" si="4"/>
        <v/>
      </c>
      <c r="W248" s="41" t="str">
        <f>IFERROR(__xludf.DUMMYFUNCTION(" IF(Account!$F248&lt;&gt;"""", SPLIT(Account!$F248, "" ""), """")"),"")</f>
        <v/>
      </c>
      <c r="X248" s="42"/>
      <c r="Y248" s="42"/>
      <c r="Z248" s="42"/>
      <c r="AA248" s="42"/>
      <c r="AB248" s="42"/>
      <c r="AC248" s="42"/>
      <c r="AD248" s="42"/>
      <c r="AE248" s="42"/>
      <c r="AF248" s="42"/>
      <c r="AG248" s="42"/>
      <c r="AH248" s="42"/>
      <c r="AI248" s="42"/>
      <c r="AJ248" s="42"/>
      <c r="AK248" s="42"/>
    </row>
    <row r="249">
      <c r="A249" s="20"/>
      <c r="B249" s="20"/>
      <c r="C249" s="20"/>
      <c r="D249" s="20"/>
      <c r="E249" s="20"/>
      <c r="F249" s="21"/>
      <c r="G249" s="20"/>
      <c r="H249" s="20"/>
      <c r="I249" s="20"/>
      <c r="J249" s="20"/>
      <c r="K249" s="20"/>
      <c r="L249" s="21"/>
      <c r="M249" s="33" t="str">
        <f>IFERROR(__xludf.DUMMYFUNCTION("IFS(W249=""Achat"",IFERROR(VALUE(X249),VALUE(REGEXREPLACE(T(X249),""[^0-9]"",""""))),W249=""Vente"",-IFERROR(VALUE(X249),VALUE(REGEXREPLACE(T(X249),""[^0-9]"",""""))),Y249=""Change"",0,Y249&lt;&gt;""Change"","""")"),"")</f>
        <v/>
      </c>
      <c r="N249" s="34" t="str">
        <f>IFERROR(__xludf.DUMMYFUNCTION("IF(Account!$F249&lt;&gt;"""", VALUE(REGEXREPLACE($I249, ""\,"", ""."")), """")"),"")</f>
        <v/>
      </c>
      <c r="O249" s="35" t="str">
        <f>IF(Account!$F249&lt;&gt;"", DATEVALUE(MID($A249,4,3) &amp; LEFT($A249,3) &amp; RIGHT($A249,4)) + TIMEVALUE($B249), "")</f>
        <v/>
      </c>
      <c r="P249" s="36" t="str">
        <f>IF(Account!$F249&lt;&gt;"", DATEVALUE(MID($C249,4,3) &amp; LEFT($C249,3) &amp; RIGHT($C249,4)), "")</f>
        <v/>
      </c>
      <c r="Q249" s="37" t="str">
        <f t="array" ref="Q249">IF($R249&lt;&gt;"",IFERROR(INDEX(ISIN!$B:$B,MATCH($R249,ISIN!$C:$C,0))),)</f>
        <v/>
      </c>
      <c r="R249" s="38" t="str">
        <f t="array" ref="R249">IF($E249&lt;&gt;"",IFERROR(INDEX(ISIN!$C:$C,MATCH($E249,ISIN!$A:$A,0)),IFERROR(INDEX($R250:$R1200,MATCH($K249,$K250:$K1200,0)))),IF(AND($Y249="change",$H249="EUR"),IF($O249=$O250,$R250,IF($O249=$O248,$R248)),IFERROR(INDEX($R250:$R1200,MATCH(SUBSTITUTE($I249,"-","",1),$K250:$K1200,0)))))</f>
        <v/>
      </c>
      <c r="S249" s="37" t="str">
        <f t="shared" si="1"/>
        <v/>
      </c>
      <c r="T249" s="39" t="str">
        <f t="shared" si="2"/>
        <v/>
      </c>
      <c r="U249" s="40" t="str">
        <f t="shared" si="3"/>
        <v/>
      </c>
      <c r="V249" s="34" t="str">
        <f t="shared" si="4"/>
        <v/>
      </c>
      <c r="W249" s="41" t="str">
        <f>IFERROR(__xludf.DUMMYFUNCTION(" IF(Account!$F249&lt;&gt;"""", SPLIT(Account!$F249, "" ""), """")"),"")</f>
        <v/>
      </c>
      <c r="X249" s="42"/>
      <c r="Y249" s="42"/>
      <c r="Z249" s="42"/>
      <c r="AA249" s="42"/>
      <c r="AB249" s="42"/>
      <c r="AC249" s="42"/>
      <c r="AD249" s="42"/>
      <c r="AE249" s="42"/>
      <c r="AF249" s="42"/>
      <c r="AG249" s="42"/>
      <c r="AH249" s="42"/>
      <c r="AI249" s="42"/>
      <c r="AJ249" s="42"/>
      <c r="AK249" s="42"/>
    </row>
    <row r="250">
      <c r="A250" s="20"/>
      <c r="B250" s="20"/>
      <c r="C250" s="20"/>
      <c r="D250" s="20"/>
      <c r="E250" s="20"/>
      <c r="F250" s="21"/>
      <c r="G250" s="45"/>
      <c r="H250" s="20"/>
      <c r="I250" s="20"/>
      <c r="J250" s="20"/>
      <c r="K250" s="20"/>
      <c r="L250" s="21"/>
      <c r="M250" s="33" t="str">
        <f>IFERROR(__xludf.DUMMYFUNCTION("IFS(W250=""Achat"",IFERROR(VALUE(X250),VALUE(REGEXREPLACE(T(X250),""[^0-9]"",""""))),W250=""Vente"",-IFERROR(VALUE(X250),VALUE(REGEXREPLACE(T(X250),""[^0-9]"",""""))),Y250=""Change"",0,Y250&lt;&gt;""Change"","""")"),"")</f>
        <v/>
      </c>
      <c r="N250" s="34" t="str">
        <f>IFERROR(__xludf.DUMMYFUNCTION("IF(Account!$F250&lt;&gt;"""", VALUE(REGEXREPLACE($I250, ""\,"", ""."")), """")"),"")</f>
        <v/>
      </c>
      <c r="O250" s="35" t="str">
        <f>IF(Account!$F250&lt;&gt;"", DATEVALUE(MID($A250,4,3) &amp; LEFT($A250,3) &amp; RIGHT($A250,4)) + TIMEVALUE($B250), "")</f>
        <v/>
      </c>
      <c r="P250" s="36" t="str">
        <f>IF(Account!$F250&lt;&gt;"", DATEVALUE(MID($C250,4,3) &amp; LEFT($C250,3) &amp; RIGHT($C250,4)), "")</f>
        <v/>
      </c>
      <c r="Q250" s="37" t="str">
        <f t="array" ref="Q250">IF($R250&lt;&gt;"",IFERROR(INDEX(ISIN!$B:$B,MATCH($R250,ISIN!$C:$C,0))),)</f>
        <v/>
      </c>
      <c r="R250" s="38" t="str">
        <f t="array" ref="R250">IF($E250&lt;&gt;"",IFERROR(INDEX(ISIN!$C:$C,MATCH($E250,ISIN!$A:$A,0)),IFERROR(INDEX($R251:$R1200,MATCH($K250,$K251:$K1200,0)))),IF(AND($Y250="change",$H250="EUR"),IF($O250=$O251,$R251,IF($O250=$O249,$R249)),IFERROR(INDEX($R251:$R1200,MATCH(SUBSTITUTE($I250,"-","",1),$K251:$K1200,0)))))</f>
        <v/>
      </c>
      <c r="S250" s="37" t="str">
        <f t="shared" si="1"/>
        <v/>
      </c>
      <c r="T250" s="39" t="str">
        <f t="shared" si="2"/>
        <v/>
      </c>
      <c r="U250" s="40" t="str">
        <f t="shared" si="3"/>
        <v/>
      </c>
      <c r="V250" s="34" t="str">
        <f t="shared" si="4"/>
        <v/>
      </c>
      <c r="W250" s="41" t="str">
        <f>IFERROR(__xludf.DUMMYFUNCTION(" IF(Account!$F250&lt;&gt;"""", SPLIT(Account!$F250, "" ""), """")"),"")</f>
        <v/>
      </c>
      <c r="X250" s="42"/>
      <c r="Y250" s="42"/>
      <c r="Z250" s="42"/>
      <c r="AA250" s="42"/>
      <c r="AB250" s="42"/>
      <c r="AC250" s="42"/>
      <c r="AD250" s="42"/>
      <c r="AE250" s="42"/>
      <c r="AF250" s="42"/>
      <c r="AG250" s="42"/>
      <c r="AH250" s="42"/>
      <c r="AI250" s="42"/>
      <c r="AJ250" s="42"/>
      <c r="AK250" s="42"/>
    </row>
    <row r="251">
      <c r="A251" s="20"/>
      <c r="B251" s="20"/>
      <c r="C251" s="20"/>
      <c r="D251" s="20"/>
      <c r="E251" s="20"/>
      <c r="F251" s="21"/>
      <c r="G251" s="20"/>
      <c r="H251" s="20"/>
      <c r="I251" s="20"/>
      <c r="J251" s="20"/>
      <c r="K251" s="20"/>
      <c r="L251" s="21"/>
      <c r="M251" s="33" t="str">
        <f>IFERROR(__xludf.DUMMYFUNCTION("IFS(W251=""Achat"",IFERROR(VALUE(X251),VALUE(REGEXREPLACE(T(X251),""[^0-9]"",""""))),W251=""Vente"",-IFERROR(VALUE(X251),VALUE(REGEXREPLACE(T(X251),""[^0-9]"",""""))),Y251=""Change"",0,Y251&lt;&gt;""Change"","""")"),"")</f>
        <v/>
      </c>
      <c r="N251" s="34" t="str">
        <f>IFERROR(__xludf.DUMMYFUNCTION("IF(Account!$F251&lt;&gt;"""", VALUE(REGEXREPLACE($I251, ""\,"", ""."")), """")"),"")</f>
        <v/>
      </c>
      <c r="O251" s="35" t="str">
        <f>IF(Account!$F251&lt;&gt;"", DATEVALUE(MID($A251,4,3) &amp; LEFT($A251,3) &amp; RIGHT($A251,4)) + TIMEVALUE($B251), "")</f>
        <v/>
      </c>
      <c r="P251" s="36" t="str">
        <f>IF(Account!$F251&lt;&gt;"", DATEVALUE(MID($C251,4,3) &amp; LEFT($C251,3) &amp; RIGHT($C251,4)), "")</f>
        <v/>
      </c>
      <c r="Q251" s="37" t="str">
        <f t="array" ref="Q251">IF($R251&lt;&gt;"",IFERROR(INDEX(ISIN!$B:$B,MATCH($R251,ISIN!$C:$C,0))),)</f>
        <v/>
      </c>
      <c r="R251" s="38" t="str">
        <f t="array" ref="R251">IF($E251&lt;&gt;"",IFERROR(INDEX(ISIN!$C:$C,MATCH($E251,ISIN!$A:$A,0)),IFERROR(INDEX($R252:$R1200,MATCH($K251,$K252:$K1200,0)))),IF(AND($Y251="change",$H251="EUR"),IF($O251=$O252,$R252,IF($O251=$O250,$R250)),IFERROR(INDEX($R252:$R1200,MATCH(SUBSTITUTE($I251,"-","",1),$K252:$K1200,0)))))</f>
        <v/>
      </c>
      <c r="S251" s="37" t="str">
        <f t="shared" si="1"/>
        <v/>
      </c>
      <c r="T251" s="39" t="str">
        <f t="shared" si="2"/>
        <v/>
      </c>
      <c r="U251" s="40" t="str">
        <f t="shared" si="3"/>
        <v/>
      </c>
      <c r="V251" s="34" t="str">
        <f t="shared" si="4"/>
        <v/>
      </c>
      <c r="W251" s="41" t="str">
        <f>IFERROR(__xludf.DUMMYFUNCTION(" IF(Account!$F251&lt;&gt;"""", SPLIT(Account!$F251, "" ""), """")"),"")</f>
        <v/>
      </c>
      <c r="X251" s="42"/>
      <c r="Y251" s="42"/>
      <c r="Z251" s="42"/>
      <c r="AA251" s="42"/>
      <c r="AB251" s="42"/>
      <c r="AC251" s="42"/>
      <c r="AD251" s="42"/>
      <c r="AE251" s="42"/>
      <c r="AF251" s="42"/>
      <c r="AG251" s="42"/>
      <c r="AH251" s="42"/>
      <c r="AI251" s="42"/>
      <c r="AJ251" s="42"/>
      <c r="AK251" s="42"/>
    </row>
    <row r="252">
      <c r="A252" s="20"/>
      <c r="B252" s="20"/>
      <c r="C252" s="20"/>
      <c r="D252" s="20"/>
      <c r="E252" s="20"/>
      <c r="F252" s="21"/>
      <c r="G252" s="45"/>
      <c r="H252" s="20"/>
      <c r="I252" s="20"/>
      <c r="J252" s="20"/>
      <c r="K252" s="20"/>
      <c r="L252" s="21"/>
      <c r="M252" s="33" t="str">
        <f>IFERROR(__xludf.DUMMYFUNCTION("IFS(W252=""Achat"",IFERROR(VALUE(X252),VALUE(REGEXREPLACE(T(X252),""[^0-9]"",""""))),W252=""Vente"",-IFERROR(VALUE(X252),VALUE(REGEXREPLACE(T(X252),""[^0-9]"",""""))),Y252=""Change"",0,Y252&lt;&gt;""Change"","""")"),"")</f>
        <v/>
      </c>
      <c r="N252" s="34" t="str">
        <f>IFERROR(__xludf.DUMMYFUNCTION("IF(Account!$F252&lt;&gt;"""", VALUE(REGEXREPLACE($I252, ""\,"", ""."")), """")"),"")</f>
        <v/>
      </c>
      <c r="O252" s="35" t="str">
        <f>IF(Account!$F252&lt;&gt;"", DATEVALUE(MID($A252,4,3) &amp; LEFT($A252,3) &amp; RIGHT($A252,4)) + TIMEVALUE($B252), "")</f>
        <v/>
      </c>
      <c r="P252" s="36" t="str">
        <f>IF(Account!$F252&lt;&gt;"", DATEVALUE(MID($C252,4,3) &amp; LEFT($C252,3) &amp; RIGHT($C252,4)), "")</f>
        <v/>
      </c>
      <c r="Q252" s="37" t="str">
        <f t="array" ref="Q252">IF($R252&lt;&gt;"",IFERROR(INDEX(ISIN!$B:$B,MATCH($R252,ISIN!$C:$C,0))),)</f>
        <v/>
      </c>
      <c r="R252" s="38" t="str">
        <f t="array" ref="R252">IF($E252&lt;&gt;"",IFERROR(INDEX(ISIN!$C:$C,MATCH($E252,ISIN!$A:$A,0)),IFERROR(INDEX($R253:$R1200,MATCH($K252,$K253:$K1200,0)))),IF(AND($Y252="change",$H252="EUR"),IF($O252=$O253,$R253,IF($O252=$O251,$R251)),IFERROR(INDEX($R253:$R1200,MATCH(SUBSTITUTE($I252,"-","",1),$K253:$K1200,0)))))</f>
        <v/>
      </c>
      <c r="S252" s="37" t="str">
        <f t="shared" si="1"/>
        <v/>
      </c>
      <c r="T252" s="39" t="str">
        <f t="shared" si="2"/>
        <v/>
      </c>
      <c r="U252" s="40" t="str">
        <f t="shared" si="3"/>
        <v/>
      </c>
      <c r="V252" s="34" t="str">
        <f t="shared" si="4"/>
        <v/>
      </c>
      <c r="W252" s="41" t="str">
        <f>IFERROR(__xludf.DUMMYFUNCTION(" IF(Account!$F252&lt;&gt;"""", SPLIT(Account!$F252, "" ""), """")"),"")</f>
        <v/>
      </c>
      <c r="X252" s="42"/>
      <c r="Y252" s="42"/>
      <c r="Z252" s="42"/>
      <c r="AA252" s="42"/>
      <c r="AB252" s="42"/>
      <c r="AC252" s="42"/>
      <c r="AD252" s="42"/>
      <c r="AE252" s="42"/>
      <c r="AF252" s="42"/>
      <c r="AG252" s="42"/>
      <c r="AH252" s="42"/>
      <c r="AI252" s="42"/>
      <c r="AJ252" s="42"/>
      <c r="AK252" s="42"/>
    </row>
    <row r="253">
      <c r="A253" s="20"/>
      <c r="B253" s="20"/>
      <c r="C253" s="20"/>
      <c r="D253" s="20"/>
      <c r="E253" s="20"/>
      <c r="F253" s="21"/>
      <c r="G253" s="20"/>
      <c r="H253" s="20"/>
      <c r="I253" s="20"/>
      <c r="J253" s="20"/>
      <c r="K253" s="20"/>
      <c r="L253" s="21"/>
      <c r="M253" s="33" t="str">
        <f>IFERROR(__xludf.DUMMYFUNCTION("IFS(W253=""Achat"",IFERROR(VALUE(X253),VALUE(REGEXREPLACE(T(X253),""[^0-9]"",""""))),W253=""Vente"",-IFERROR(VALUE(X253),VALUE(REGEXREPLACE(T(X253),""[^0-9]"",""""))),Y253=""Change"",0,Y253&lt;&gt;""Change"","""")"),"")</f>
        <v/>
      </c>
      <c r="N253" s="34" t="str">
        <f>IFERROR(__xludf.DUMMYFUNCTION("IF(Account!$F253&lt;&gt;"""", VALUE(REGEXREPLACE($I253, ""\,"", ""."")), """")"),"")</f>
        <v/>
      </c>
      <c r="O253" s="35" t="str">
        <f>IF(Account!$F253&lt;&gt;"", DATEVALUE(MID($A253,4,3) &amp; LEFT($A253,3) &amp; RIGHT($A253,4)) + TIMEVALUE($B253), "")</f>
        <v/>
      </c>
      <c r="P253" s="36" t="str">
        <f>IF(Account!$F253&lt;&gt;"", DATEVALUE(MID($C253,4,3) &amp; LEFT($C253,3) &amp; RIGHT($C253,4)), "")</f>
        <v/>
      </c>
      <c r="Q253" s="37" t="str">
        <f t="array" ref="Q253">IF($R253&lt;&gt;"",IFERROR(INDEX(ISIN!$B:$B,MATCH($R253,ISIN!$C:$C,0))),)</f>
        <v/>
      </c>
      <c r="R253" s="38" t="str">
        <f t="array" ref="R253">IF($E253&lt;&gt;"",IFERROR(INDEX(ISIN!$C:$C,MATCH($E253,ISIN!$A:$A,0)),IFERROR(INDEX($R254:$R1200,MATCH($K253,$K254:$K1200,0)))),IF(AND($Y253="change",$H253="EUR"),IF($O253=$O254,$R254,IF($O253=$O252,$R252)),IFERROR(INDEX($R254:$R1200,MATCH(SUBSTITUTE($I253,"-","",1),$K254:$K1200,0)))))</f>
        <v/>
      </c>
      <c r="S253" s="37" t="str">
        <f t="shared" si="1"/>
        <v/>
      </c>
      <c r="T253" s="39" t="str">
        <f t="shared" si="2"/>
        <v/>
      </c>
      <c r="U253" s="40" t="str">
        <f t="shared" si="3"/>
        <v/>
      </c>
      <c r="V253" s="34" t="str">
        <f t="shared" si="4"/>
        <v/>
      </c>
      <c r="W253" s="41" t="str">
        <f>IFERROR(__xludf.DUMMYFUNCTION(" IF(Account!$F253&lt;&gt;"""", SPLIT(Account!$F253, "" ""), """")"),"")</f>
        <v/>
      </c>
      <c r="X253" s="42"/>
      <c r="Y253" s="42"/>
      <c r="Z253" s="42"/>
      <c r="AA253" s="42"/>
      <c r="AB253" s="42"/>
      <c r="AC253" s="42"/>
      <c r="AD253" s="42"/>
      <c r="AE253" s="42"/>
      <c r="AF253" s="42"/>
      <c r="AG253" s="42"/>
      <c r="AH253" s="42"/>
      <c r="AI253" s="42"/>
      <c r="AJ253" s="42"/>
      <c r="AK253" s="42"/>
    </row>
    <row r="254">
      <c r="A254" s="20"/>
      <c r="B254" s="20"/>
      <c r="C254" s="20"/>
      <c r="D254" s="20"/>
      <c r="E254" s="20"/>
      <c r="F254" s="21"/>
      <c r="G254" s="20"/>
      <c r="H254" s="20"/>
      <c r="I254" s="20"/>
      <c r="J254" s="20"/>
      <c r="K254" s="20"/>
      <c r="L254" s="21"/>
      <c r="M254" s="33" t="str">
        <f>IFERROR(__xludf.DUMMYFUNCTION("IFS(W254=""Achat"",IFERROR(VALUE(X254),VALUE(REGEXREPLACE(T(X254),""[^0-9]"",""""))),W254=""Vente"",-IFERROR(VALUE(X254),VALUE(REGEXREPLACE(T(X254),""[^0-9]"",""""))),Y254=""Change"",0,Y254&lt;&gt;""Change"","""")"),"")</f>
        <v/>
      </c>
      <c r="N254" s="34" t="str">
        <f>IFERROR(__xludf.DUMMYFUNCTION("IF(Account!$F254&lt;&gt;"""", VALUE(REGEXREPLACE($I254, ""\,"", ""."")), """")"),"")</f>
        <v/>
      </c>
      <c r="O254" s="35" t="str">
        <f>IF(Account!$F254&lt;&gt;"", DATEVALUE(MID($A254,4,3) &amp; LEFT($A254,3) &amp; RIGHT($A254,4)) + TIMEVALUE($B254), "")</f>
        <v/>
      </c>
      <c r="P254" s="36" t="str">
        <f>IF(Account!$F254&lt;&gt;"", DATEVALUE(MID($C254,4,3) &amp; LEFT($C254,3) &amp; RIGHT($C254,4)), "")</f>
        <v/>
      </c>
      <c r="Q254" s="37" t="str">
        <f t="array" ref="Q254">IF($R254&lt;&gt;"",IFERROR(INDEX(ISIN!$B:$B,MATCH($R254,ISIN!$C:$C,0))),)</f>
        <v/>
      </c>
      <c r="R254" s="38" t="str">
        <f t="array" ref="R254">IF($E254&lt;&gt;"",IFERROR(INDEX(ISIN!$C:$C,MATCH($E254,ISIN!$A:$A,0)),IFERROR(INDEX($R255:$R1200,MATCH($K254,$K255:$K1200,0)))),IF(AND($Y254="change",$H254="EUR"),IF($O254=$O255,$R255,IF($O254=$O253,$R253)),IFERROR(INDEX($R255:$R1200,MATCH(SUBSTITUTE($I254,"-","",1),$K255:$K1200,0)))))</f>
        <v/>
      </c>
      <c r="S254" s="37" t="str">
        <f t="shared" si="1"/>
        <v/>
      </c>
      <c r="T254" s="39" t="str">
        <f t="shared" si="2"/>
        <v/>
      </c>
      <c r="U254" s="40" t="str">
        <f t="shared" si="3"/>
        <v/>
      </c>
      <c r="V254" s="34" t="str">
        <f t="shared" si="4"/>
        <v/>
      </c>
      <c r="W254" s="41" t="str">
        <f>IFERROR(__xludf.DUMMYFUNCTION(" IF(Account!$F254&lt;&gt;"""", SPLIT(Account!$F254, "" ""), """")"),"")</f>
        <v/>
      </c>
      <c r="X254" s="42"/>
      <c r="Y254" s="42"/>
      <c r="Z254" s="42"/>
      <c r="AA254" s="42"/>
      <c r="AB254" s="42"/>
      <c r="AC254" s="42"/>
      <c r="AD254" s="42"/>
      <c r="AE254" s="42"/>
      <c r="AF254" s="42"/>
      <c r="AG254" s="42"/>
      <c r="AH254" s="42"/>
      <c r="AI254" s="42"/>
      <c r="AJ254" s="42"/>
      <c r="AK254" s="42"/>
    </row>
    <row r="255">
      <c r="A255" s="20"/>
      <c r="B255" s="20"/>
      <c r="C255" s="20"/>
      <c r="D255" s="20"/>
      <c r="E255" s="20"/>
      <c r="F255" s="21"/>
      <c r="G255" s="20"/>
      <c r="H255" s="20"/>
      <c r="I255" s="20"/>
      <c r="J255" s="20"/>
      <c r="K255" s="20"/>
      <c r="L255" s="21"/>
      <c r="M255" s="33" t="str">
        <f>IFERROR(__xludf.DUMMYFUNCTION("IFS(W255=""Achat"",IFERROR(VALUE(X255),VALUE(REGEXREPLACE(T(X255),""[^0-9]"",""""))),W255=""Vente"",-IFERROR(VALUE(X255),VALUE(REGEXREPLACE(T(X255),""[^0-9]"",""""))),Y255=""Change"",0,Y255&lt;&gt;""Change"","""")"),"")</f>
        <v/>
      </c>
      <c r="N255" s="34" t="str">
        <f>IFERROR(__xludf.DUMMYFUNCTION("IF(Account!$F255&lt;&gt;"""", VALUE(REGEXREPLACE($I255, ""\,"", ""."")), """")"),"")</f>
        <v/>
      </c>
      <c r="O255" s="35" t="str">
        <f>IF(Account!$F255&lt;&gt;"", DATEVALUE(MID($A255,4,3) &amp; LEFT($A255,3) &amp; RIGHT($A255,4)) + TIMEVALUE($B255), "")</f>
        <v/>
      </c>
      <c r="P255" s="36" t="str">
        <f>IF(Account!$F255&lt;&gt;"", DATEVALUE(MID($C255,4,3) &amp; LEFT($C255,3) &amp; RIGHT($C255,4)), "")</f>
        <v/>
      </c>
      <c r="Q255" s="37" t="str">
        <f t="array" ref="Q255">IF($R255&lt;&gt;"",IFERROR(INDEX(ISIN!$B:$B,MATCH($R255,ISIN!$C:$C,0))),)</f>
        <v/>
      </c>
      <c r="R255" s="38" t="str">
        <f t="array" ref="R255">IF($E255&lt;&gt;"",IFERROR(INDEX(ISIN!$C:$C,MATCH($E255,ISIN!$A:$A,0)),IFERROR(INDEX($R256:$R1200,MATCH($K255,$K256:$K1200,0)))),IF(AND($Y255="change",$H255="EUR"),IF($O255=$O256,$R256,IF($O255=$O254,$R254)),IFERROR(INDEX($R256:$R1200,MATCH(SUBSTITUTE($I255,"-","",1),$K256:$K1200,0)))))</f>
        <v/>
      </c>
      <c r="S255" s="37" t="str">
        <f t="shared" si="1"/>
        <v/>
      </c>
      <c r="T255" s="39" t="str">
        <f t="shared" si="2"/>
        <v/>
      </c>
      <c r="U255" s="40" t="str">
        <f t="shared" si="3"/>
        <v/>
      </c>
      <c r="V255" s="34" t="str">
        <f t="shared" si="4"/>
        <v/>
      </c>
      <c r="W255" s="41" t="str">
        <f>IFERROR(__xludf.DUMMYFUNCTION(" IF(Account!$F255&lt;&gt;"""", SPLIT(Account!$F255, "" ""), """")"),"")</f>
        <v/>
      </c>
      <c r="X255" s="42"/>
      <c r="Y255" s="42"/>
      <c r="Z255" s="42"/>
      <c r="AA255" s="42"/>
      <c r="AB255" s="42"/>
      <c r="AC255" s="42"/>
      <c r="AD255" s="42"/>
      <c r="AE255" s="42"/>
      <c r="AF255" s="42"/>
      <c r="AG255" s="42"/>
      <c r="AH255" s="42"/>
      <c r="AI255" s="42"/>
      <c r="AJ255" s="42"/>
      <c r="AK255" s="42"/>
    </row>
    <row r="256">
      <c r="A256" s="20"/>
      <c r="B256" s="20"/>
      <c r="C256" s="20"/>
      <c r="D256" s="20"/>
      <c r="E256" s="20"/>
      <c r="F256" s="21"/>
      <c r="G256" s="45"/>
      <c r="H256" s="20"/>
      <c r="I256" s="20"/>
      <c r="J256" s="20"/>
      <c r="K256" s="20"/>
      <c r="L256" s="21"/>
      <c r="M256" s="33" t="str">
        <f>IFERROR(__xludf.DUMMYFUNCTION("IFS(W256=""Achat"",IFERROR(VALUE(X256),VALUE(REGEXREPLACE(T(X256),""[^0-9]"",""""))),W256=""Vente"",-IFERROR(VALUE(X256),VALUE(REGEXREPLACE(T(X256),""[^0-9]"",""""))),Y256=""Change"",0,Y256&lt;&gt;""Change"","""")"),"")</f>
        <v/>
      </c>
      <c r="N256" s="34" t="str">
        <f>IFERROR(__xludf.DUMMYFUNCTION("IF(Account!$F256&lt;&gt;"""", VALUE(REGEXREPLACE($I256, ""\,"", ""."")), """")"),"")</f>
        <v/>
      </c>
      <c r="O256" s="35" t="str">
        <f>IF(Account!$F256&lt;&gt;"", DATEVALUE(MID($A256,4,3) &amp; LEFT($A256,3) &amp; RIGHT($A256,4)) + TIMEVALUE($B256), "")</f>
        <v/>
      </c>
      <c r="P256" s="36" t="str">
        <f>IF(Account!$F256&lt;&gt;"", DATEVALUE(MID($C256,4,3) &amp; LEFT($C256,3) &amp; RIGHT($C256,4)), "")</f>
        <v/>
      </c>
      <c r="Q256" s="37" t="str">
        <f t="array" ref="Q256">IF($R256&lt;&gt;"",IFERROR(INDEX(ISIN!$B:$B,MATCH($R256,ISIN!$C:$C,0))),)</f>
        <v/>
      </c>
      <c r="R256" s="38" t="str">
        <f t="array" ref="R256">IF($E256&lt;&gt;"",IFERROR(INDEX(ISIN!$C:$C,MATCH($E256,ISIN!$A:$A,0)),IFERROR(INDEX($R257:$R1200,MATCH($K256,$K257:$K1200,0)))),IF(AND($Y256="change",$H256="EUR"),IF($O256=$O257,$R257,IF($O256=$O255,$R255)),IFERROR(INDEX($R257:$R1200,MATCH(SUBSTITUTE($I256,"-","",1),$K257:$K1200,0)))))</f>
        <v/>
      </c>
      <c r="S256" s="37" t="str">
        <f t="shared" si="1"/>
        <v/>
      </c>
      <c r="T256" s="39" t="str">
        <f t="shared" si="2"/>
        <v/>
      </c>
      <c r="U256" s="40" t="str">
        <f t="shared" si="3"/>
        <v/>
      </c>
      <c r="V256" s="34" t="str">
        <f t="shared" si="4"/>
        <v/>
      </c>
      <c r="W256" s="41" t="str">
        <f>IFERROR(__xludf.DUMMYFUNCTION(" IF(Account!$F256&lt;&gt;"""", SPLIT(Account!$F256, "" ""), """")"),"")</f>
        <v/>
      </c>
      <c r="X256" s="42"/>
      <c r="Y256" s="42"/>
      <c r="Z256" s="42"/>
      <c r="AA256" s="42"/>
      <c r="AB256" s="42"/>
      <c r="AC256" s="42"/>
      <c r="AD256" s="42"/>
      <c r="AE256" s="42"/>
      <c r="AF256" s="42"/>
      <c r="AG256" s="42"/>
      <c r="AH256" s="42"/>
      <c r="AI256" s="42"/>
      <c r="AJ256" s="42"/>
      <c r="AK256" s="42"/>
    </row>
    <row r="257">
      <c r="A257" s="20"/>
      <c r="B257" s="20"/>
      <c r="C257" s="20"/>
      <c r="D257" s="20"/>
      <c r="E257" s="20"/>
      <c r="F257" s="21"/>
      <c r="G257" s="20"/>
      <c r="H257" s="20"/>
      <c r="I257" s="20"/>
      <c r="J257" s="20"/>
      <c r="K257" s="20"/>
      <c r="L257" s="21"/>
      <c r="M257" s="33" t="str">
        <f>IFERROR(__xludf.DUMMYFUNCTION("IFS(W257=""Achat"",IFERROR(VALUE(X257),VALUE(REGEXREPLACE(T(X257),""[^0-9]"",""""))),W257=""Vente"",-IFERROR(VALUE(X257),VALUE(REGEXREPLACE(T(X257),""[^0-9]"",""""))),Y257=""Change"",0,Y257&lt;&gt;""Change"","""")"),"")</f>
        <v/>
      </c>
      <c r="N257" s="34" t="str">
        <f>IFERROR(__xludf.DUMMYFUNCTION("IF(Account!$F257&lt;&gt;"""", VALUE(REGEXREPLACE($I257, ""\,"", ""."")), """")"),"")</f>
        <v/>
      </c>
      <c r="O257" s="35" t="str">
        <f>IF(Account!$F257&lt;&gt;"", DATEVALUE(MID($A257,4,3) &amp; LEFT($A257,3) &amp; RIGHT($A257,4)) + TIMEVALUE($B257), "")</f>
        <v/>
      </c>
      <c r="P257" s="36" t="str">
        <f>IF(Account!$F257&lt;&gt;"", DATEVALUE(MID($C257,4,3) &amp; LEFT($C257,3) &amp; RIGHT($C257,4)), "")</f>
        <v/>
      </c>
      <c r="Q257" s="37" t="str">
        <f t="array" ref="Q257">IF($R257&lt;&gt;"",IFERROR(INDEX(ISIN!$B:$B,MATCH($R257,ISIN!$C:$C,0))),)</f>
        <v/>
      </c>
      <c r="R257" s="38" t="str">
        <f t="array" ref="R257">IF($E257&lt;&gt;"",IFERROR(INDEX(ISIN!$C:$C,MATCH($E257,ISIN!$A:$A,0)),IFERROR(INDEX($R258:$R1200,MATCH($K257,$K258:$K1200,0)))),IF(AND($Y257="change",$H257="EUR"),IF($O257=$O258,$R258,IF($O257=$O256,$R256)),IFERROR(INDEX($R258:$R1200,MATCH(SUBSTITUTE($I257,"-","",1),$K258:$K1200,0)))))</f>
        <v/>
      </c>
      <c r="S257" s="37" t="str">
        <f t="shared" si="1"/>
        <v/>
      </c>
      <c r="T257" s="39" t="str">
        <f t="shared" si="2"/>
        <v/>
      </c>
      <c r="U257" s="40" t="str">
        <f t="shared" si="3"/>
        <v/>
      </c>
      <c r="V257" s="34" t="str">
        <f t="shared" si="4"/>
        <v/>
      </c>
      <c r="W257" s="41" t="str">
        <f>IFERROR(__xludf.DUMMYFUNCTION(" IF(Account!$F257&lt;&gt;"""", SPLIT(Account!$F257, "" ""), """")"),"")</f>
        <v/>
      </c>
      <c r="X257" s="42"/>
      <c r="Y257" s="42"/>
      <c r="Z257" s="42"/>
      <c r="AA257" s="42"/>
      <c r="AB257" s="42"/>
      <c r="AC257" s="42"/>
      <c r="AD257" s="42"/>
      <c r="AE257" s="42"/>
      <c r="AF257" s="42"/>
      <c r="AG257" s="42"/>
      <c r="AH257" s="42"/>
      <c r="AI257" s="42"/>
      <c r="AJ257" s="42"/>
      <c r="AK257" s="42"/>
    </row>
    <row r="258">
      <c r="A258" s="20"/>
      <c r="B258" s="20"/>
      <c r="C258" s="20"/>
      <c r="D258" s="20"/>
      <c r="E258" s="20"/>
      <c r="F258" s="21"/>
      <c r="G258" s="45"/>
      <c r="H258" s="20"/>
      <c r="I258" s="20"/>
      <c r="J258" s="20"/>
      <c r="K258" s="20"/>
      <c r="L258" s="21"/>
      <c r="M258" s="33" t="str">
        <f>IFERROR(__xludf.DUMMYFUNCTION("IFS(W258=""Achat"",IFERROR(VALUE(X258),VALUE(REGEXREPLACE(T(X258),""[^0-9]"",""""))),W258=""Vente"",-IFERROR(VALUE(X258),VALUE(REGEXREPLACE(T(X258),""[^0-9]"",""""))),Y258=""Change"",0,Y258&lt;&gt;""Change"","""")"),"")</f>
        <v/>
      </c>
      <c r="N258" s="34" t="str">
        <f>IFERROR(__xludf.DUMMYFUNCTION("IF(Account!$F258&lt;&gt;"""", VALUE(REGEXREPLACE($I258, ""\,"", ""."")), """")"),"")</f>
        <v/>
      </c>
      <c r="O258" s="35" t="str">
        <f>IF(Account!$F258&lt;&gt;"", DATEVALUE(MID($A258,4,3) &amp; LEFT($A258,3) &amp; RIGHT($A258,4)) + TIMEVALUE($B258), "")</f>
        <v/>
      </c>
      <c r="P258" s="36" t="str">
        <f>IF(Account!$F258&lt;&gt;"", DATEVALUE(MID($C258,4,3) &amp; LEFT($C258,3) &amp; RIGHT($C258,4)), "")</f>
        <v/>
      </c>
      <c r="Q258" s="37" t="str">
        <f t="array" ref="Q258">IF($R258&lt;&gt;"",IFERROR(INDEX(ISIN!$B:$B,MATCH($R258,ISIN!$C:$C,0))),)</f>
        <v/>
      </c>
      <c r="R258" s="38" t="str">
        <f t="array" ref="R258">IF($E258&lt;&gt;"",IFERROR(INDEX(ISIN!$C:$C,MATCH($E258,ISIN!$A:$A,0)),IFERROR(INDEX($R259:$R1200,MATCH($K258,$K259:$K1200,0)))),IF(AND($Y258="change",$H258="EUR"),IF($O258=$O259,$R259,IF($O258=$O257,$R257)),IFERROR(INDEX($R259:$R1200,MATCH(SUBSTITUTE($I258,"-","",1),$K259:$K1200,0)))))</f>
        <v/>
      </c>
      <c r="S258" s="37" t="str">
        <f t="shared" si="1"/>
        <v/>
      </c>
      <c r="T258" s="39" t="str">
        <f t="shared" si="2"/>
        <v/>
      </c>
      <c r="U258" s="40" t="str">
        <f t="shared" si="3"/>
        <v/>
      </c>
      <c r="V258" s="34" t="str">
        <f t="shared" si="4"/>
        <v/>
      </c>
      <c r="W258" s="41" t="str">
        <f>IFERROR(__xludf.DUMMYFUNCTION(" IF(Account!$F258&lt;&gt;"""", SPLIT(Account!$F258, "" ""), """")"),"")</f>
        <v/>
      </c>
      <c r="X258" s="42"/>
      <c r="Y258" s="42"/>
      <c r="Z258" s="42"/>
      <c r="AA258" s="42"/>
      <c r="AB258" s="42"/>
      <c r="AC258" s="42"/>
      <c r="AD258" s="42"/>
      <c r="AE258" s="42"/>
      <c r="AF258" s="42"/>
      <c r="AG258" s="42"/>
      <c r="AH258" s="42"/>
      <c r="AI258" s="42"/>
      <c r="AJ258" s="42"/>
      <c r="AK258" s="42"/>
    </row>
    <row r="259">
      <c r="A259" s="20"/>
      <c r="B259" s="20"/>
      <c r="C259" s="20"/>
      <c r="D259" s="20"/>
      <c r="E259" s="20"/>
      <c r="F259" s="21"/>
      <c r="G259" s="45"/>
      <c r="H259" s="20"/>
      <c r="I259" s="20"/>
      <c r="J259" s="20"/>
      <c r="K259" s="20"/>
      <c r="L259" s="21"/>
      <c r="M259" s="33" t="str">
        <f>IFERROR(__xludf.DUMMYFUNCTION("IFS(W259=""Achat"",IFERROR(VALUE(X259),VALUE(REGEXREPLACE(T(X259),""[^0-9]"",""""))),W259=""Vente"",-IFERROR(VALUE(X259),VALUE(REGEXREPLACE(T(X259),""[^0-9]"",""""))),Y259=""Change"",0,Y259&lt;&gt;""Change"","""")"),"")</f>
        <v/>
      </c>
      <c r="N259" s="34" t="str">
        <f>IFERROR(__xludf.DUMMYFUNCTION("IF(Account!$F259&lt;&gt;"""", VALUE(REGEXREPLACE($I259, ""\,"", ""."")), """")"),"")</f>
        <v/>
      </c>
      <c r="O259" s="35" t="str">
        <f>IF(Account!$F259&lt;&gt;"", DATEVALUE(MID($A259,4,3) &amp; LEFT($A259,3) &amp; RIGHT($A259,4)) + TIMEVALUE($B259), "")</f>
        <v/>
      </c>
      <c r="P259" s="36" t="str">
        <f>IF(Account!$F259&lt;&gt;"", DATEVALUE(MID($C259,4,3) &amp; LEFT($C259,3) &amp; RIGHT($C259,4)), "")</f>
        <v/>
      </c>
      <c r="Q259" s="37" t="str">
        <f t="array" ref="Q259">IF($R259&lt;&gt;"",IFERROR(INDEX(ISIN!$B:$B,MATCH($R259,ISIN!$C:$C,0))),)</f>
        <v/>
      </c>
      <c r="R259" s="38" t="str">
        <f t="array" ref="R259">IF($E259&lt;&gt;"",IFERROR(INDEX(ISIN!$C:$C,MATCH($E259,ISIN!$A:$A,0)),IFERROR(INDEX($R260:$R1200,MATCH($K259,$K260:$K1200,0)))),IF(AND($Y259="change",$H259="EUR"),IF($O259=$O260,$R260,IF($O259=$O258,$R258)),IFERROR(INDEX($R260:$R1200,MATCH(SUBSTITUTE($I259,"-","",1),$K260:$K1200,0)))))</f>
        <v/>
      </c>
      <c r="S259" s="37" t="str">
        <f t="shared" si="1"/>
        <v/>
      </c>
      <c r="T259" s="39" t="str">
        <f t="shared" si="2"/>
        <v/>
      </c>
      <c r="U259" s="40" t="str">
        <f t="shared" si="3"/>
        <v/>
      </c>
      <c r="V259" s="34" t="str">
        <f t="shared" si="4"/>
        <v/>
      </c>
      <c r="W259" s="41" t="str">
        <f>IFERROR(__xludf.DUMMYFUNCTION(" IF(Account!$F259&lt;&gt;"""", SPLIT(Account!$F259, "" ""), """")"),"")</f>
        <v/>
      </c>
      <c r="X259" s="42"/>
      <c r="Y259" s="42"/>
      <c r="Z259" s="42"/>
      <c r="AA259" s="42"/>
      <c r="AB259" s="42"/>
      <c r="AC259" s="42"/>
      <c r="AD259" s="42"/>
      <c r="AE259" s="42"/>
      <c r="AF259" s="42"/>
      <c r="AG259" s="42"/>
      <c r="AH259" s="42"/>
      <c r="AI259" s="42"/>
      <c r="AJ259" s="42"/>
      <c r="AK259" s="42"/>
    </row>
    <row r="260">
      <c r="A260" s="20"/>
      <c r="B260" s="20"/>
      <c r="C260" s="20"/>
      <c r="D260" s="20"/>
      <c r="E260" s="20"/>
      <c r="F260" s="21"/>
      <c r="G260" s="20"/>
      <c r="H260" s="20"/>
      <c r="I260" s="20"/>
      <c r="J260" s="20"/>
      <c r="K260" s="20"/>
      <c r="L260" s="21"/>
      <c r="M260" s="33" t="str">
        <f>IFERROR(__xludf.DUMMYFUNCTION("IFS(W260=""Achat"",IFERROR(VALUE(X260),VALUE(REGEXREPLACE(T(X260),""[^0-9]"",""""))),W260=""Vente"",-IFERROR(VALUE(X260),VALUE(REGEXREPLACE(T(X260),""[^0-9]"",""""))),Y260=""Change"",0,Y260&lt;&gt;""Change"","""")"),"")</f>
        <v/>
      </c>
      <c r="N260" s="34" t="str">
        <f>IFERROR(__xludf.DUMMYFUNCTION("IF(Account!$F260&lt;&gt;"""", VALUE(REGEXREPLACE($I260, ""\,"", ""."")), """")"),"")</f>
        <v/>
      </c>
      <c r="O260" s="35" t="str">
        <f>IF(Account!$F260&lt;&gt;"", DATEVALUE(MID($A260,4,3) &amp; LEFT($A260,3) &amp; RIGHT($A260,4)) + TIMEVALUE($B260), "")</f>
        <v/>
      </c>
      <c r="P260" s="36" t="str">
        <f>IF(Account!$F260&lt;&gt;"", DATEVALUE(MID($C260,4,3) &amp; LEFT($C260,3) &amp; RIGHT($C260,4)), "")</f>
        <v/>
      </c>
      <c r="Q260" s="37" t="str">
        <f t="array" ref="Q260">IF($R260&lt;&gt;"",IFERROR(INDEX(ISIN!$B:$B,MATCH($R260,ISIN!$C:$C,0))),)</f>
        <v/>
      </c>
      <c r="R260" s="38" t="str">
        <f t="array" ref="R260">IF($E260&lt;&gt;"",IFERROR(INDEX(ISIN!$C:$C,MATCH($E260,ISIN!$A:$A,0)),IFERROR(INDEX($R261:$R1200,MATCH($K260,$K261:$K1200,0)))),IF(AND($Y260="change",$H260="EUR"),IF($O260=$O261,$R261,IF($O260=$O259,$R259)),IFERROR(INDEX($R261:$R1200,MATCH(SUBSTITUTE($I260,"-","",1),$K261:$K1200,0)))))</f>
        <v/>
      </c>
      <c r="S260" s="37" t="str">
        <f t="shared" si="1"/>
        <v/>
      </c>
      <c r="T260" s="39" t="str">
        <f t="shared" si="2"/>
        <v/>
      </c>
      <c r="U260" s="40" t="str">
        <f t="shared" si="3"/>
        <v/>
      </c>
      <c r="V260" s="34" t="str">
        <f t="shared" si="4"/>
        <v/>
      </c>
      <c r="W260" s="41" t="str">
        <f>IFERROR(__xludf.DUMMYFUNCTION(" IF(Account!$F260&lt;&gt;"""", SPLIT(Account!$F260, "" ""), """")"),"")</f>
        <v/>
      </c>
      <c r="X260" s="42"/>
      <c r="Y260" s="42"/>
      <c r="Z260" s="42"/>
      <c r="AA260" s="42"/>
      <c r="AB260" s="42"/>
      <c r="AC260" s="42"/>
      <c r="AD260" s="42"/>
      <c r="AE260" s="42"/>
      <c r="AF260" s="42"/>
      <c r="AG260" s="42"/>
      <c r="AH260" s="42"/>
      <c r="AI260" s="42"/>
      <c r="AJ260" s="42"/>
      <c r="AK260" s="42"/>
    </row>
    <row r="261">
      <c r="A261" s="20"/>
      <c r="B261" s="20"/>
      <c r="C261" s="20"/>
      <c r="D261" s="20"/>
      <c r="E261" s="20"/>
      <c r="F261" s="21"/>
      <c r="G261" s="45"/>
      <c r="H261" s="20"/>
      <c r="I261" s="20"/>
      <c r="J261" s="20"/>
      <c r="K261" s="20"/>
      <c r="L261" s="21"/>
      <c r="M261" s="33" t="str">
        <f>IFERROR(__xludf.DUMMYFUNCTION("IFS(W261=""Achat"",IFERROR(VALUE(X261),VALUE(REGEXREPLACE(T(X261),""[^0-9]"",""""))),W261=""Vente"",-IFERROR(VALUE(X261),VALUE(REGEXREPLACE(T(X261),""[^0-9]"",""""))),Y261=""Change"",0,Y261&lt;&gt;""Change"","""")"),"")</f>
        <v/>
      </c>
      <c r="N261" s="34" t="str">
        <f>IFERROR(__xludf.DUMMYFUNCTION("IF(Account!$F261&lt;&gt;"""", VALUE(REGEXREPLACE($I261, ""\,"", ""."")), """")"),"")</f>
        <v/>
      </c>
      <c r="O261" s="35" t="str">
        <f>IF(Account!$F261&lt;&gt;"", DATEVALUE(MID($A261,4,3) &amp; LEFT($A261,3) &amp; RIGHT($A261,4)) + TIMEVALUE($B261), "")</f>
        <v/>
      </c>
      <c r="P261" s="36" t="str">
        <f>IF(Account!$F261&lt;&gt;"", DATEVALUE(MID($C261,4,3) &amp; LEFT($C261,3) &amp; RIGHT($C261,4)), "")</f>
        <v/>
      </c>
      <c r="Q261" s="37" t="str">
        <f t="array" ref="Q261">IF($R261&lt;&gt;"",IFERROR(INDEX(ISIN!$B:$B,MATCH($R261,ISIN!$C:$C,0))),)</f>
        <v/>
      </c>
      <c r="R261" s="38" t="str">
        <f t="array" ref="R261">IF($E261&lt;&gt;"",IFERROR(INDEX(ISIN!$C:$C,MATCH($E261,ISIN!$A:$A,0)),IFERROR(INDEX($R262:$R1200,MATCH($K261,$K262:$K1200,0)))),IF(AND($Y261="change",$H261="EUR"),IF($O261=$O262,$R262,IF($O261=$O260,$R260)),IFERROR(INDEX($R262:$R1200,MATCH(SUBSTITUTE($I261,"-","",1),$K262:$K1200,0)))))</f>
        <v/>
      </c>
      <c r="S261" s="37" t="str">
        <f t="shared" si="1"/>
        <v/>
      </c>
      <c r="T261" s="39" t="str">
        <f t="shared" si="2"/>
        <v/>
      </c>
      <c r="U261" s="40" t="str">
        <f t="shared" si="3"/>
        <v/>
      </c>
      <c r="V261" s="34" t="str">
        <f t="shared" si="4"/>
        <v/>
      </c>
      <c r="W261" s="41" t="str">
        <f>IFERROR(__xludf.DUMMYFUNCTION(" IF(Account!$F261&lt;&gt;"""", SPLIT(Account!$F261, "" ""), """")"),"")</f>
        <v/>
      </c>
      <c r="X261" s="42"/>
      <c r="Y261" s="42"/>
      <c r="Z261" s="42"/>
      <c r="AA261" s="42"/>
      <c r="AB261" s="42"/>
      <c r="AC261" s="42"/>
      <c r="AD261" s="42"/>
      <c r="AE261" s="42"/>
      <c r="AF261" s="42"/>
      <c r="AG261" s="42"/>
      <c r="AH261" s="42"/>
      <c r="AI261" s="42"/>
      <c r="AJ261" s="42"/>
      <c r="AK261" s="42"/>
    </row>
    <row r="262">
      <c r="A262" s="20"/>
      <c r="B262" s="20"/>
      <c r="C262" s="20"/>
      <c r="D262" s="20"/>
      <c r="E262" s="20"/>
      <c r="F262" s="21"/>
      <c r="G262" s="45"/>
      <c r="H262" s="20"/>
      <c r="I262" s="20"/>
      <c r="J262" s="20"/>
      <c r="K262" s="20"/>
      <c r="L262" s="21"/>
      <c r="M262" s="33" t="str">
        <f>IFERROR(__xludf.DUMMYFUNCTION("IFS(W262=""Achat"",IFERROR(VALUE(X262),VALUE(REGEXREPLACE(T(X262),""[^0-9]"",""""))),W262=""Vente"",-IFERROR(VALUE(X262),VALUE(REGEXREPLACE(T(X262),""[^0-9]"",""""))),Y262=""Change"",0,Y262&lt;&gt;""Change"","""")"),"")</f>
        <v/>
      </c>
      <c r="N262" s="34" t="str">
        <f>IFERROR(__xludf.DUMMYFUNCTION("IF(Account!$F262&lt;&gt;"""", VALUE(REGEXREPLACE($I262, ""\,"", ""."")), """")"),"")</f>
        <v/>
      </c>
      <c r="O262" s="35" t="str">
        <f>IF(Account!$F262&lt;&gt;"", DATEVALUE(MID($A262,4,3) &amp; LEFT($A262,3) &amp; RIGHT($A262,4)) + TIMEVALUE($B262), "")</f>
        <v/>
      </c>
      <c r="P262" s="36" t="str">
        <f>IF(Account!$F262&lt;&gt;"", DATEVALUE(MID($C262,4,3) &amp; LEFT($C262,3) &amp; RIGHT($C262,4)), "")</f>
        <v/>
      </c>
      <c r="Q262" s="37" t="str">
        <f t="array" ref="Q262">IF($R262&lt;&gt;"",IFERROR(INDEX(ISIN!$B:$B,MATCH($R262,ISIN!$C:$C,0))),)</f>
        <v/>
      </c>
      <c r="R262" s="38" t="str">
        <f t="array" ref="R262">IF($E262&lt;&gt;"",IFERROR(INDEX(ISIN!$C:$C,MATCH($E262,ISIN!$A:$A,0)),IFERROR(INDEX($R263:$R1200,MATCH($K262,$K263:$K1200,0)))),IF(AND($Y262="change",$H262="EUR"),IF($O262=$O263,$R263,IF($O262=$O261,$R261)),IFERROR(INDEX($R263:$R1200,MATCH(SUBSTITUTE($I262,"-","",1),$K263:$K1200,0)))))</f>
        <v/>
      </c>
      <c r="S262" s="37" t="str">
        <f t="shared" si="1"/>
        <v/>
      </c>
      <c r="T262" s="39" t="str">
        <f t="shared" si="2"/>
        <v/>
      </c>
      <c r="U262" s="40" t="str">
        <f t="shared" si="3"/>
        <v/>
      </c>
      <c r="V262" s="34" t="str">
        <f t="shared" si="4"/>
        <v/>
      </c>
      <c r="W262" s="41" t="str">
        <f>IFERROR(__xludf.DUMMYFUNCTION(" IF(Account!$F262&lt;&gt;"""", SPLIT(Account!$F262, "" ""), """")"),"")</f>
        <v/>
      </c>
      <c r="X262" s="42"/>
      <c r="Y262" s="42"/>
      <c r="Z262" s="42"/>
      <c r="AA262" s="42"/>
      <c r="AB262" s="42"/>
      <c r="AC262" s="42"/>
      <c r="AD262" s="42"/>
      <c r="AE262" s="42"/>
      <c r="AF262" s="42"/>
      <c r="AG262" s="42"/>
      <c r="AH262" s="42"/>
      <c r="AI262" s="42"/>
      <c r="AJ262" s="42"/>
      <c r="AK262" s="42"/>
    </row>
    <row r="263">
      <c r="A263" s="20"/>
      <c r="B263" s="20"/>
      <c r="C263" s="20"/>
      <c r="D263" s="20"/>
      <c r="E263" s="20"/>
      <c r="F263" s="21"/>
      <c r="G263" s="45"/>
      <c r="H263" s="20"/>
      <c r="I263" s="20"/>
      <c r="J263" s="20"/>
      <c r="K263" s="20"/>
      <c r="L263" s="21"/>
      <c r="M263" s="33" t="str">
        <f>IFERROR(__xludf.DUMMYFUNCTION("IFS(W263=""Achat"",IFERROR(VALUE(X263),VALUE(REGEXREPLACE(T(X263),""[^0-9]"",""""))),W263=""Vente"",-IFERROR(VALUE(X263),VALUE(REGEXREPLACE(T(X263),""[^0-9]"",""""))),Y263=""Change"",0,Y263&lt;&gt;""Change"","""")"),"")</f>
        <v/>
      </c>
      <c r="N263" s="34" t="str">
        <f>IFERROR(__xludf.DUMMYFUNCTION("IF(Account!$F263&lt;&gt;"""", VALUE(REGEXREPLACE($I263, ""\,"", ""."")), """")"),"")</f>
        <v/>
      </c>
      <c r="O263" s="35" t="str">
        <f>IF(Account!$F263&lt;&gt;"", DATEVALUE(MID($A263,4,3) &amp; LEFT($A263,3) &amp; RIGHT($A263,4)) + TIMEVALUE($B263), "")</f>
        <v/>
      </c>
      <c r="P263" s="36" t="str">
        <f>IF(Account!$F263&lt;&gt;"", DATEVALUE(MID($C263,4,3) &amp; LEFT($C263,3) &amp; RIGHT($C263,4)), "")</f>
        <v/>
      </c>
      <c r="Q263" s="37" t="str">
        <f t="array" ref="Q263">IF($R263&lt;&gt;"",IFERROR(INDEX(ISIN!$B:$B,MATCH($R263,ISIN!$C:$C,0))),)</f>
        <v/>
      </c>
      <c r="R263" s="38" t="str">
        <f t="array" ref="R263">IF($E263&lt;&gt;"",IFERROR(INDEX(ISIN!$C:$C,MATCH($E263,ISIN!$A:$A,0)),IFERROR(INDEX($R264:$R1200,MATCH($K263,$K264:$K1200,0)))),IF(AND($Y263="change",$H263="EUR"),IF($O263=$O264,$R264,IF($O263=$O262,$R262)),IFERROR(INDEX($R264:$R1200,MATCH(SUBSTITUTE($I263,"-","",1),$K264:$K1200,0)))))</f>
        <v/>
      </c>
      <c r="S263" s="37" t="str">
        <f t="shared" si="1"/>
        <v/>
      </c>
      <c r="T263" s="39" t="str">
        <f t="shared" si="2"/>
        <v/>
      </c>
      <c r="U263" s="40" t="str">
        <f t="shared" si="3"/>
        <v/>
      </c>
      <c r="V263" s="34" t="str">
        <f t="shared" si="4"/>
        <v/>
      </c>
      <c r="W263" s="41" t="str">
        <f>IFERROR(__xludf.DUMMYFUNCTION(" IF(Account!$F263&lt;&gt;"""", SPLIT(Account!$F263, "" ""), """")"),"")</f>
        <v/>
      </c>
      <c r="X263" s="42"/>
      <c r="Y263" s="42"/>
      <c r="Z263" s="42"/>
      <c r="AA263" s="42"/>
      <c r="AB263" s="42"/>
      <c r="AC263" s="42"/>
      <c r="AD263" s="42"/>
      <c r="AE263" s="42"/>
      <c r="AF263" s="42"/>
      <c r="AG263" s="42"/>
      <c r="AH263" s="42"/>
      <c r="AI263" s="42"/>
      <c r="AJ263" s="42"/>
      <c r="AK263" s="42"/>
    </row>
    <row r="264">
      <c r="A264" s="20"/>
      <c r="B264" s="20"/>
      <c r="C264" s="20"/>
      <c r="D264" s="20"/>
      <c r="E264" s="20"/>
      <c r="F264" s="21"/>
      <c r="G264" s="20"/>
      <c r="H264" s="20"/>
      <c r="I264" s="20"/>
      <c r="J264" s="20"/>
      <c r="K264" s="20"/>
      <c r="L264" s="21"/>
      <c r="M264" s="33" t="str">
        <f>IFERROR(__xludf.DUMMYFUNCTION("IFS(W264=""Achat"",IFERROR(VALUE(X264),VALUE(REGEXREPLACE(T(X264),""[^0-9]"",""""))),W264=""Vente"",-IFERROR(VALUE(X264),VALUE(REGEXREPLACE(T(X264),""[^0-9]"",""""))),Y264=""Change"",0,Y264&lt;&gt;""Change"","""")"),"")</f>
        <v/>
      </c>
      <c r="N264" s="34" t="str">
        <f>IFERROR(__xludf.DUMMYFUNCTION("IF(Account!$F264&lt;&gt;"""", VALUE(REGEXREPLACE($I264, ""\,"", ""."")), """")"),"")</f>
        <v/>
      </c>
      <c r="O264" s="35" t="str">
        <f>IF(Account!$F264&lt;&gt;"", DATEVALUE(MID($A264,4,3) &amp; LEFT($A264,3) &amp; RIGHT($A264,4)) + TIMEVALUE($B264), "")</f>
        <v/>
      </c>
      <c r="P264" s="36" t="str">
        <f>IF(Account!$F264&lt;&gt;"", DATEVALUE(MID($C264,4,3) &amp; LEFT($C264,3) &amp; RIGHT($C264,4)), "")</f>
        <v/>
      </c>
      <c r="Q264" s="37" t="str">
        <f t="array" ref="Q264">IF($R264&lt;&gt;"",IFERROR(INDEX(ISIN!$B:$B,MATCH($R264,ISIN!$C:$C,0))),)</f>
        <v/>
      </c>
      <c r="R264" s="38" t="str">
        <f t="array" ref="R264">IF($E264&lt;&gt;"",IFERROR(INDEX(ISIN!$C:$C,MATCH($E264,ISIN!$A:$A,0)),IFERROR(INDEX($R265:$R1200,MATCH($K264,$K265:$K1200,0)))),IF(AND($Y264="change",$H264="EUR"),IF($O264=$O265,$R265,IF($O264=$O263,$R263)),IFERROR(INDEX($R265:$R1200,MATCH(SUBSTITUTE($I264,"-","",1),$K265:$K1200,0)))))</f>
        <v/>
      </c>
      <c r="S264" s="37" t="str">
        <f t="shared" si="1"/>
        <v/>
      </c>
      <c r="T264" s="39" t="str">
        <f t="shared" si="2"/>
        <v/>
      </c>
      <c r="U264" s="40" t="str">
        <f t="shared" si="3"/>
        <v/>
      </c>
      <c r="V264" s="34" t="str">
        <f t="shared" si="4"/>
        <v/>
      </c>
      <c r="W264" s="41" t="str">
        <f>IFERROR(__xludf.DUMMYFUNCTION(" IF(Account!$F264&lt;&gt;"""", SPLIT(Account!$F264, "" ""), """")"),"")</f>
        <v/>
      </c>
      <c r="X264" s="42"/>
      <c r="Y264" s="42"/>
      <c r="Z264" s="42"/>
      <c r="AA264" s="42"/>
      <c r="AB264" s="42"/>
      <c r="AC264" s="42"/>
      <c r="AD264" s="42"/>
      <c r="AE264" s="42"/>
      <c r="AF264" s="42"/>
      <c r="AG264" s="42"/>
      <c r="AH264" s="42"/>
      <c r="AI264" s="42"/>
      <c r="AJ264" s="42"/>
      <c r="AK264" s="42"/>
    </row>
    <row r="265">
      <c r="A265" s="20"/>
      <c r="B265" s="20"/>
      <c r="C265" s="20"/>
      <c r="D265" s="20"/>
      <c r="E265" s="20"/>
      <c r="F265" s="21"/>
      <c r="G265" s="20"/>
      <c r="H265" s="20"/>
      <c r="I265" s="20"/>
      <c r="J265" s="20"/>
      <c r="K265" s="20"/>
      <c r="L265" s="21"/>
      <c r="M265" s="33" t="str">
        <f>IFERROR(__xludf.DUMMYFUNCTION("IFS(W265=""Achat"",IFERROR(VALUE(X265),VALUE(REGEXREPLACE(T(X265),""[^0-9]"",""""))),W265=""Vente"",-IFERROR(VALUE(X265),VALUE(REGEXREPLACE(T(X265),""[^0-9]"",""""))),Y265=""Change"",0,Y265&lt;&gt;""Change"","""")"),"")</f>
        <v/>
      </c>
      <c r="N265" s="34" t="str">
        <f>IFERROR(__xludf.DUMMYFUNCTION("IF(Account!$F265&lt;&gt;"""", VALUE(REGEXREPLACE($I265, ""\,"", ""."")), """")"),"")</f>
        <v/>
      </c>
      <c r="O265" s="35" t="str">
        <f>IF(Account!$F265&lt;&gt;"", DATEVALUE(MID($A265,4,3) &amp; LEFT($A265,3) &amp; RIGHT($A265,4)) + TIMEVALUE($B265), "")</f>
        <v/>
      </c>
      <c r="P265" s="36" t="str">
        <f>IF(Account!$F265&lt;&gt;"", DATEVALUE(MID($C265,4,3) &amp; LEFT($C265,3) &amp; RIGHT($C265,4)), "")</f>
        <v/>
      </c>
      <c r="Q265" s="37" t="str">
        <f t="array" ref="Q265">IF($R265&lt;&gt;"",IFERROR(INDEX(ISIN!$B:$B,MATCH($R265,ISIN!$C:$C,0))),)</f>
        <v/>
      </c>
      <c r="R265" s="38" t="str">
        <f t="array" ref="R265">IF($E265&lt;&gt;"",IFERROR(INDEX(ISIN!$C:$C,MATCH($E265,ISIN!$A:$A,0)),IFERROR(INDEX($R266:$R1200,MATCH($K265,$K266:$K1200,0)))),IF(AND($Y265="change",$H265="EUR"),IF($O265=$O266,$R266,IF($O265=$O264,$R264)),IFERROR(INDEX($R266:$R1200,MATCH(SUBSTITUTE($I265,"-","",1),$K266:$K1200,0)))))</f>
        <v/>
      </c>
      <c r="S265" s="37" t="str">
        <f t="shared" si="1"/>
        <v/>
      </c>
      <c r="T265" s="39" t="str">
        <f t="shared" si="2"/>
        <v/>
      </c>
      <c r="U265" s="40" t="str">
        <f t="shared" si="3"/>
        <v/>
      </c>
      <c r="V265" s="34" t="str">
        <f t="shared" si="4"/>
        <v/>
      </c>
      <c r="W265" s="41" t="str">
        <f>IFERROR(__xludf.DUMMYFUNCTION(" IF(Account!$F265&lt;&gt;"""", SPLIT(Account!$F265, "" ""), """")"),"")</f>
        <v/>
      </c>
      <c r="X265" s="42"/>
      <c r="Y265" s="42"/>
      <c r="Z265" s="42"/>
      <c r="AA265" s="42"/>
      <c r="AB265" s="42"/>
      <c r="AC265" s="42"/>
      <c r="AD265" s="42"/>
      <c r="AE265" s="42"/>
      <c r="AF265" s="42"/>
      <c r="AG265" s="42"/>
      <c r="AH265" s="42"/>
      <c r="AI265" s="42"/>
      <c r="AJ265" s="42"/>
      <c r="AK265" s="42"/>
    </row>
    <row r="266">
      <c r="A266" s="20"/>
      <c r="B266" s="20"/>
      <c r="C266" s="20"/>
      <c r="D266" s="20"/>
      <c r="E266" s="20"/>
      <c r="F266" s="21"/>
      <c r="G266" s="45"/>
      <c r="H266" s="20"/>
      <c r="I266" s="20"/>
      <c r="J266" s="20"/>
      <c r="K266" s="20"/>
      <c r="L266" s="21"/>
      <c r="M266" s="33" t="str">
        <f>IFERROR(__xludf.DUMMYFUNCTION("IFS(W266=""Achat"",IFERROR(VALUE(X266),VALUE(REGEXREPLACE(T(X266),""[^0-9]"",""""))),W266=""Vente"",-IFERROR(VALUE(X266),VALUE(REGEXREPLACE(T(X266),""[^0-9]"",""""))),Y266=""Change"",0,Y266&lt;&gt;""Change"","""")"),"")</f>
        <v/>
      </c>
      <c r="N266" s="34" t="str">
        <f>IFERROR(__xludf.DUMMYFUNCTION("IF(Account!$F266&lt;&gt;"""", VALUE(REGEXREPLACE($I266, ""\,"", ""."")), """")"),"")</f>
        <v/>
      </c>
      <c r="O266" s="35" t="str">
        <f>IF(Account!$F266&lt;&gt;"", DATEVALUE(MID($A266,4,3) &amp; LEFT($A266,3) &amp; RIGHT($A266,4)) + TIMEVALUE($B266), "")</f>
        <v/>
      </c>
      <c r="P266" s="36" t="str">
        <f>IF(Account!$F266&lt;&gt;"", DATEVALUE(MID($C266,4,3) &amp; LEFT($C266,3) &amp; RIGHT($C266,4)), "")</f>
        <v/>
      </c>
      <c r="Q266" s="37" t="str">
        <f t="array" ref="Q266">IF($R266&lt;&gt;"",IFERROR(INDEX(ISIN!$B:$B,MATCH($R266,ISIN!$C:$C,0))),)</f>
        <v/>
      </c>
      <c r="R266" s="38" t="str">
        <f t="array" ref="R266">IF($E266&lt;&gt;"",IFERROR(INDEX(ISIN!$C:$C,MATCH($E266,ISIN!$A:$A,0)),IFERROR(INDEX($R267:$R1200,MATCH($K266,$K267:$K1200,0)))),IF(AND($Y266="change",$H266="EUR"),IF($O266=$O267,$R267,IF($O266=$O265,$R265)),IFERROR(INDEX($R267:$R1200,MATCH(SUBSTITUTE($I266,"-","",1),$K267:$K1200,0)))))</f>
        <v/>
      </c>
      <c r="S266" s="37" t="str">
        <f t="shared" si="1"/>
        <v/>
      </c>
      <c r="T266" s="39" t="str">
        <f t="shared" si="2"/>
        <v/>
      </c>
      <c r="U266" s="40" t="str">
        <f t="shared" si="3"/>
        <v/>
      </c>
      <c r="V266" s="34" t="str">
        <f t="shared" si="4"/>
        <v/>
      </c>
      <c r="W266" s="41" t="str">
        <f>IFERROR(__xludf.DUMMYFUNCTION(" IF(Account!$F266&lt;&gt;"""", SPLIT(Account!$F266, "" ""), """")"),"")</f>
        <v/>
      </c>
      <c r="X266" s="42"/>
      <c r="Y266" s="42"/>
      <c r="Z266" s="42"/>
      <c r="AA266" s="42"/>
      <c r="AB266" s="42"/>
      <c r="AC266" s="42"/>
      <c r="AD266" s="42"/>
      <c r="AE266" s="42"/>
      <c r="AF266" s="42"/>
      <c r="AG266" s="42"/>
      <c r="AH266" s="42"/>
      <c r="AI266" s="42"/>
      <c r="AJ266" s="42"/>
      <c r="AK266" s="42"/>
    </row>
    <row r="267">
      <c r="A267" s="20"/>
      <c r="B267" s="20"/>
      <c r="C267" s="20"/>
      <c r="D267" s="20"/>
      <c r="E267" s="20"/>
      <c r="F267" s="21"/>
      <c r="G267" s="45"/>
      <c r="H267" s="20"/>
      <c r="I267" s="20"/>
      <c r="J267" s="20"/>
      <c r="K267" s="20"/>
      <c r="L267" s="21"/>
      <c r="M267" s="33" t="str">
        <f>IFERROR(__xludf.DUMMYFUNCTION("IFS(W267=""Achat"",IFERROR(VALUE(X267),VALUE(REGEXREPLACE(T(X267),""[^0-9]"",""""))),W267=""Vente"",-IFERROR(VALUE(X267),VALUE(REGEXREPLACE(T(X267),""[^0-9]"",""""))),Y267=""Change"",0,Y267&lt;&gt;""Change"","""")"),"")</f>
        <v/>
      </c>
      <c r="N267" s="34" t="str">
        <f>IFERROR(__xludf.DUMMYFUNCTION("IF(Account!$F267&lt;&gt;"""", VALUE(REGEXREPLACE($I267, ""\,"", ""."")), """")"),"")</f>
        <v/>
      </c>
      <c r="O267" s="35" t="str">
        <f>IF(Account!$F267&lt;&gt;"", DATEVALUE(MID($A267,4,3) &amp; LEFT($A267,3) &amp; RIGHT($A267,4)) + TIMEVALUE($B267), "")</f>
        <v/>
      </c>
      <c r="P267" s="36" t="str">
        <f>IF(Account!$F267&lt;&gt;"", DATEVALUE(MID($C267,4,3) &amp; LEFT($C267,3) &amp; RIGHT($C267,4)), "")</f>
        <v/>
      </c>
      <c r="Q267" s="37" t="str">
        <f t="array" ref="Q267">IF($R267&lt;&gt;"",IFERROR(INDEX(ISIN!$B:$B,MATCH($R267,ISIN!$C:$C,0))),)</f>
        <v/>
      </c>
      <c r="R267" s="38" t="str">
        <f t="array" ref="R267">IF($E267&lt;&gt;"",IFERROR(INDEX(ISIN!$C:$C,MATCH($E267,ISIN!$A:$A,0)),IFERROR(INDEX($R268:$R1200,MATCH($K267,$K268:$K1200,0)))),IF(AND($Y267="change",$H267="EUR"),IF($O267=$O268,$R268,IF($O267=$O266,$R266)),IFERROR(INDEX($R268:$R1200,MATCH(SUBSTITUTE($I267,"-","",1),$K268:$K1200,0)))))</f>
        <v/>
      </c>
      <c r="S267" s="37" t="str">
        <f t="shared" si="1"/>
        <v/>
      </c>
      <c r="T267" s="39" t="str">
        <f t="shared" si="2"/>
        <v/>
      </c>
      <c r="U267" s="40" t="str">
        <f t="shared" si="3"/>
        <v/>
      </c>
      <c r="V267" s="34" t="str">
        <f t="shared" si="4"/>
        <v/>
      </c>
      <c r="W267" s="41" t="str">
        <f>IFERROR(__xludf.DUMMYFUNCTION(" IF(Account!$F267&lt;&gt;"""", SPLIT(Account!$F267, "" ""), """")"),"")</f>
        <v/>
      </c>
      <c r="X267" s="42"/>
      <c r="Y267" s="42"/>
      <c r="Z267" s="42"/>
      <c r="AA267" s="42"/>
      <c r="AB267" s="42"/>
      <c r="AC267" s="42"/>
      <c r="AD267" s="42"/>
      <c r="AE267" s="42"/>
      <c r="AF267" s="42"/>
      <c r="AG267" s="42"/>
      <c r="AH267" s="42"/>
      <c r="AI267" s="42"/>
      <c r="AJ267" s="42"/>
      <c r="AK267" s="42"/>
    </row>
    <row r="268">
      <c r="A268" s="20"/>
      <c r="B268" s="20"/>
      <c r="C268" s="20"/>
      <c r="D268" s="20"/>
      <c r="E268" s="20"/>
      <c r="F268" s="21"/>
      <c r="G268" s="20"/>
      <c r="H268" s="20"/>
      <c r="I268" s="20"/>
      <c r="J268" s="20"/>
      <c r="K268" s="20"/>
      <c r="L268" s="21"/>
      <c r="M268" s="33" t="str">
        <f>IFERROR(__xludf.DUMMYFUNCTION("IFS(W268=""Achat"",IFERROR(VALUE(X268),VALUE(REGEXREPLACE(T(X268),""[^0-9]"",""""))),W268=""Vente"",-IFERROR(VALUE(X268),VALUE(REGEXREPLACE(T(X268),""[^0-9]"",""""))),Y268=""Change"",0,Y268&lt;&gt;""Change"","""")"),"")</f>
        <v/>
      </c>
      <c r="N268" s="34" t="str">
        <f>IFERROR(__xludf.DUMMYFUNCTION("IF(Account!$F268&lt;&gt;"""", VALUE(REGEXREPLACE($I268, ""\,"", ""."")), """")"),"")</f>
        <v/>
      </c>
      <c r="O268" s="35" t="str">
        <f>IF(Account!$F268&lt;&gt;"", DATEVALUE(MID($A268,4,3) &amp; LEFT($A268,3) &amp; RIGHT($A268,4)) + TIMEVALUE($B268), "")</f>
        <v/>
      </c>
      <c r="P268" s="36" t="str">
        <f>IF(Account!$F268&lt;&gt;"", DATEVALUE(MID($C268,4,3) &amp; LEFT($C268,3) &amp; RIGHT($C268,4)), "")</f>
        <v/>
      </c>
      <c r="Q268" s="37" t="str">
        <f t="array" ref="Q268">IF($R268&lt;&gt;"",IFERROR(INDEX(ISIN!$B:$B,MATCH($R268,ISIN!$C:$C,0))),)</f>
        <v/>
      </c>
      <c r="R268" s="38" t="str">
        <f t="array" ref="R268">IF($E268&lt;&gt;"",IFERROR(INDEX(ISIN!$C:$C,MATCH($E268,ISIN!$A:$A,0)),IFERROR(INDEX($R269:$R1200,MATCH($K268,$K269:$K1200,0)))),IF(AND($Y268="change",$H268="EUR"),IF($O268=$O269,$R269,IF($O268=$O267,$R267)),IFERROR(INDEX($R269:$R1200,MATCH(SUBSTITUTE($I268,"-","",1),$K269:$K1200,0)))))</f>
        <v/>
      </c>
      <c r="S268" s="37" t="str">
        <f t="shared" si="1"/>
        <v/>
      </c>
      <c r="T268" s="39" t="str">
        <f t="shared" si="2"/>
        <v/>
      </c>
      <c r="U268" s="40" t="str">
        <f t="shared" si="3"/>
        <v/>
      </c>
      <c r="V268" s="34" t="str">
        <f t="shared" si="4"/>
        <v/>
      </c>
      <c r="W268" s="41" t="str">
        <f>IFERROR(__xludf.DUMMYFUNCTION(" IF(Account!$F268&lt;&gt;"""", SPLIT(Account!$F268, "" ""), """")"),"")</f>
        <v/>
      </c>
      <c r="X268" s="42"/>
      <c r="Y268" s="42"/>
      <c r="Z268" s="42"/>
      <c r="AA268" s="42"/>
      <c r="AB268" s="42"/>
      <c r="AC268" s="42"/>
      <c r="AD268" s="42"/>
      <c r="AE268" s="42"/>
      <c r="AF268" s="42"/>
      <c r="AG268" s="42"/>
      <c r="AH268" s="42"/>
      <c r="AI268" s="42"/>
      <c r="AJ268" s="42"/>
      <c r="AK268" s="42"/>
    </row>
    <row r="269">
      <c r="A269" s="20"/>
      <c r="B269" s="20"/>
      <c r="C269" s="20"/>
      <c r="D269" s="20"/>
      <c r="E269" s="20"/>
      <c r="F269" s="21"/>
      <c r="G269" s="45"/>
      <c r="H269" s="20"/>
      <c r="I269" s="20"/>
      <c r="J269" s="20"/>
      <c r="K269" s="20"/>
      <c r="L269" s="21"/>
      <c r="M269" s="33" t="str">
        <f>IFERROR(__xludf.DUMMYFUNCTION("IFS(W269=""Achat"",IFERROR(VALUE(X269),VALUE(REGEXREPLACE(T(X269),""[^0-9]"",""""))),W269=""Vente"",-IFERROR(VALUE(X269),VALUE(REGEXREPLACE(T(X269),""[^0-9]"",""""))),Y269=""Change"",0,Y269&lt;&gt;""Change"","""")"),"")</f>
        <v/>
      </c>
      <c r="N269" s="34" t="str">
        <f>IFERROR(__xludf.DUMMYFUNCTION("IF(Account!$F269&lt;&gt;"""", VALUE(REGEXREPLACE($I269, ""\,"", ""."")), """")"),"")</f>
        <v/>
      </c>
      <c r="O269" s="35" t="str">
        <f>IF(Account!$F269&lt;&gt;"", DATEVALUE(MID($A269,4,3) &amp; LEFT($A269,3) &amp; RIGHT($A269,4)) + TIMEVALUE($B269), "")</f>
        <v/>
      </c>
      <c r="P269" s="36" t="str">
        <f>IF(Account!$F269&lt;&gt;"", DATEVALUE(MID($C269,4,3) &amp; LEFT($C269,3) &amp; RIGHT($C269,4)), "")</f>
        <v/>
      </c>
      <c r="Q269" s="37" t="str">
        <f t="array" ref="Q269">IF($R269&lt;&gt;"",IFERROR(INDEX(ISIN!$B:$B,MATCH($R269,ISIN!$C:$C,0))),)</f>
        <v/>
      </c>
      <c r="R269" s="38" t="str">
        <f t="array" ref="R269">IF($E269&lt;&gt;"",IFERROR(INDEX(ISIN!$C:$C,MATCH($E269,ISIN!$A:$A,0)),IFERROR(INDEX($R270:$R1200,MATCH($K269,$K270:$K1200,0)))),IF(AND($Y269="change",$H269="EUR"),IF($O269=$O270,$R270,IF($O269=$O268,$R268)),IFERROR(INDEX($R270:$R1200,MATCH(SUBSTITUTE($I269,"-","",1),$K270:$K1200,0)))))</f>
        <v/>
      </c>
      <c r="S269" s="37" t="str">
        <f t="shared" si="1"/>
        <v/>
      </c>
      <c r="T269" s="39" t="str">
        <f t="shared" si="2"/>
        <v/>
      </c>
      <c r="U269" s="40" t="str">
        <f t="shared" si="3"/>
        <v/>
      </c>
      <c r="V269" s="34" t="str">
        <f t="shared" si="4"/>
        <v/>
      </c>
      <c r="W269" s="41" t="str">
        <f>IFERROR(__xludf.DUMMYFUNCTION(" IF(Account!$F269&lt;&gt;"""", SPLIT(Account!$F269, "" ""), """")"),"")</f>
        <v/>
      </c>
      <c r="X269" s="42"/>
      <c r="Y269" s="42"/>
      <c r="Z269" s="42"/>
      <c r="AA269" s="42"/>
      <c r="AB269" s="42"/>
      <c r="AC269" s="42"/>
      <c r="AD269" s="42"/>
      <c r="AE269" s="42"/>
      <c r="AF269" s="42"/>
      <c r="AG269" s="42"/>
      <c r="AH269" s="42"/>
      <c r="AI269" s="42"/>
      <c r="AJ269" s="42"/>
      <c r="AK269" s="42"/>
    </row>
    <row r="270">
      <c r="A270" s="20"/>
      <c r="B270" s="20"/>
      <c r="C270" s="20"/>
      <c r="D270" s="20"/>
      <c r="E270" s="20"/>
      <c r="F270" s="21"/>
      <c r="G270" s="20"/>
      <c r="H270" s="20"/>
      <c r="I270" s="20"/>
      <c r="J270" s="20"/>
      <c r="K270" s="20"/>
      <c r="L270" s="21"/>
      <c r="M270" s="33" t="str">
        <f>IFERROR(__xludf.DUMMYFUNCTION("IFS(W270=""Achat"",IFERROR(VALUE(X270),VALUE(REGEXREPLACE(T(X270),""[^0-9]"",""""))),W270=""Vente"",-IFERROR(VALUE(X270),VALUE(REGEXREPLACE(T(X270),""[^0-9]"",""""))),Y270=""Change"",0,Y270&lt;&gt;""Change"","""")"),"")</f>
        <v/>
      </c>
      <c r="N270" s="34" t="str">
        <f>IFERROR(__xludf.DUMMYFUNCTION("IF(Account!$F270&lt;&gt;"""", VALUE(REGEXREPLACE($I270, ""\,"", ""."")), """")"),"")</f>
        <v/>
      </c>
      <c r="O270" s="35" t="str">
        <f>IF(Account!$F270&lt;&gt;"", DATEVALUE(MID($A270,4,3) &amp; LEFT($A270,3) &amp; RIGHT($A270,4)) + TIMEVALUE($B270), "")</f>
        <v/>
      </c>
      <c r="P270" s="36" t="str">
        <f>IF(Account!$F270&lt;&gt;"", DATEVALUE(MID($C270,4,3) &amp; LEFT($C270,3) &amp; RIGHT($C270,4)), "")</f>
        <v/>
      </c>
      <c r="Q270" s="37" t="str">
        <f t="array" ref="Q270">IF($R270&lt;&gt;"",IFERROR(INDEX(ISIN!$B:$B,MATCH($R270,ISIN!$C:$C,0))),)</f>
        <v/>
      </c>
      <c r="R270" s="38" t="str">
        <f t="array" ref="R270">IF($E270&lt;&gt;"",IFERROR(INDEX(ISIN!$C:$C,MATCH($E270,ISIN!$A:$A,0)),IFERROR(INDEX($R271:$R1200,MATCH($K270,$K271:$K1200,0)))),IF(AND($Y270="change",$H270="EUR"),IF($O270=$O271,$R271,IF($O270=$O269,$R269)),IFERROR(INDEX($R271:$R1200,MATCH(SUBSTITUTE($I270,"-","",1),$K271:$K1200,0)))))</f>
        <v/>
      </c>
      <c r="S270" s="37" t="str">
        <f t="shared" si="1"/>
        <v/>
      </c>
      <c r="T270" s="39" t="str">
        <f t="shared" si="2"/>
        <v/>
      </c>
      <c r="U270" s="40" t="str">
        <f t="shared" si="3"/>
        <v/>
      </c>
      <c r="V270" s="34" t="str">
        <f t="shared" si="4"/>
        <v/>
      </c>
      <c r="W270" s="41" t="str">
        <f>IFERROR(__xludf.DUMMYFUNCTION(" IF(Account!$F270&lt;&gt;"""", SPLIT(Account!$F270, "" ""), """")"),"")</f>
        <v/>
      </c>
      <c r="X270" s="42"/>
      <c r="Y270" s="42"/>
      <c r="Z270" s="42"/>
      <c r="AA270" s="42"/>
      <c r="AB270" s="42"/>
      <c r="AC270" s="42"/>
      <c r="AD270" s="42"/>
      <c r="AE270" s="42"/>
      <c r="AF270" s="42"/>
      <c r="AG270" s="42"/>
      <c r="AH270" s="42"/>
      <c r="AI270" s="42"/>
      <c r="AJ270" s="42"/>
      <c r="AK270" s="42"/>
    </row>
    <row r="271">
      <c r="A271" s="20"/>
      <c r="B271" s="20"/>
      <c r="C271" s="20"/>
      <c r="D271" s="20"/>
      <c r="E271" s="20"/>
      <c r="F271" s="21"/>
      <c r="G271" s="20"/>
      <c r="H271" s="20"/>
      <c r="I271" s="20"/>
      <c r="J271" s="20"/>
      <c r="K271" s="20"/>
      <c r="L271" s="21"/>
      <c r="M271" s="33" t="str">
        <f>IFERROR(__xludf.DUMMYFUNCTION("IFS(W271=""Achat"",IFERROR(VALUE(X271),VALUE(REGEXREPLACE(T(X271),""[^0-9]"",""""))),W271=""Vente"",-IFERROR(VALUE(X271),VALUE(REGEXREPLACE(T(X271),""[^0-9]"",""""))),Y271=""Change"",0,Y271&lt;&gt;""Change"","""")"),"")</f>
        <v/>
      </c>
      <c r="N271" s="34" t="str">
        <f>IFERROR(__xludf.DUMMYFUNCTION("IF(Account!$F271&lt;&gt;"""", VALUE(REGEXREPLACE($I271, ""\,"", ""."")), """")"),"")</f>
        <v/>
      </c>
      <c r="O271" s="35" t="str">
        <f>IF(Account!$F271&lt;&gt;"", DATEVALUE(MID($A271,4,3) &amp; LEFT($A271,3) &amp; RIGHT($A271,4)) + TIMEVALUE($B271), "")</f>
        <v/>
      </c>
      <c r="P271" s="36" t="str">
        <f>IF(Account!$F271&lt;&gt;"", DATEVALUE(MID($C271,4,3) &amp; LEFT($C271,3) &amp; RIGHT($C271,4)), "")</f>
        <v/>
      </c>
      <c r="Q271" s="37" t="str">
        <f t="array" ref="Q271">IF($R271&lt;&gt;"",IFERROR(INDEX(ISIN!$B:$B,MATCH($R271,ISIN!$C:$C,0))),)</f>
        <v/>
      </c>
      <c r="R271" s="38" t="str">
        <f t="array" ref="R271">IF($E271&lt;&gt;"",IFERROR(INDEX(ISIN!$C:$C,MATCH($E271,ISIN!$A:$A,0)),IFERROR(INDEX($R272:$R1200,MATCH($K271,$K272:$K1200,0)))),IF(AND($Y271="change",$H271="EUR"),IF($O271=$O272,$R272,IF($O271=$O270,$R270)),IFERROR(INDEX($R272:$R1200,MATCH(SUBSTITUTE($I271,"-","",1),$K272:$K1200,0)))))</f>
        <v/>
      </c>
      <c r="S271" s="37" t="str">
        <f t="shared" si="1"/>
        <v/>
      </c>
      <c r="T271" s="39" t="str">
        <f t="shared" si="2"/>
        <v/>
      </c>
      <c r="U271" s="40" t="str">
        <f t="shared" si="3"/>
        <v/>
      </c>
      <c r="V271" s="34" t="str">
        <f t="shared" si="4"/>
        <v/>
      </c>
      <c r="W271" s="41" t="str">
        <f>IFERROR(__xludf.DUMMYFUNCTION(" IF(Account!$F271&lt;&gt;"""", SPLIT(Account!$F271, "" ""), """")"),"")</f>
        <v/>
      </c>
      <c r="X271" s="42"/>
      <c r="Y271" s="42"/>
      <c r="Z271" s="42"/>
      <c r="AA271" s="42"/>
      <c r="AB271" s="42"/>
      <c r="AC271" s="42"/>
      <c r="AD271" s="42"/>
      <c r="AE271" s="42"/>
      <c r="AF271" s="42"/>
      <c r="AG271" s="42"/>
      <c r="AH271" s="42"/>
      <c r="AI271" s="42"/>
      <c r="AJ271" s="42"/>
      <c r="AK271" s="42"/>
    </row>
    <row r="272">
      <c r="A272" s="20"/>
      <c r="B272" s="20"/>
      <c r="C272" s="20"/>
      <c r="D272" s="20"/>
      <c r="E272" s="20"/>
      <c r="F272" s="21"/>
      <c r="G272" s="45"/>
      <c r="H272" s="20"/>
      <c r="I272" s="20"/>
      <c r="J272" s="20"/>
      <c r="K272" s="20"/>
      <c r="L272" s="21"/>
      <c r="M272" s="33" t="str">
        <f>IFERROR(__xludf.DUMMYFUNCTION("IFS(W272=""Achat"",IFERROR(VALUE(X272),VALUE(REGEXREPLACE(T(X272),""[^0-9]"",""""))),W272=""Vente"",-IFERROR(VALUE(X272),VALUE(REGEXREPLACE(T(X272),""[^0-9]"",""""))),Y272=""Change"",0,Y272&lt;&gt;""Change"","""")"),"")</f>
        <v/>
      </c>
      <c r="N272" s="34" t="str">
        <f>IFERROR(__xludf.DUMMYFUNCTION("IF(Account!$F272&lt;&gt;"""", VALUE(REGEXREPLACE($I272, ""\,"", ""."")), """")"),"")</f>
        <v/>
      </c>
      <c r="O272" s="35" t="str">
        <f>IF(Account!$F272&lt;&gt;"", DATEVALUE(MID($A272,4,3) &amp; LEFT($A272,3) &amp; RIGHT($A272,4)) + TIMEVALUE($B272), "")</f>
        <v/>
      </c>
      <c r="P272" s="36" t="str">
        <f>IF(Account!$F272&lt;&gt;"", DATEVALUE(MID($C272,4,3) &amp; LEFT($C272,3) &amp; RIGHT($C272,4)), "")</f>
        <v/>
      </c>
      <c r="Q272" s="37" t="str">
        <f t="array" ref="Q272">IF($R272&lt;&gt;"",IFERROR(INDEX(ISIN!$B:$B,MATCH($R272,ISIN!$C:$C,0))),)</f>
        <v/>
      </c>
      <c r="R272" s="38" t="str">
        <f t="array" ref="R272">IF($E272&lt;&gt;"",IFERROR(INDEX(ISIN!$C:$C,MATCH($E272,ISIN!$A:$A,0)),IFERROR(INDEX($R273:$R1200,MATCH($K272,$K273:$K1200,0)))),IF(AND($Y272="change",$H272="EUR"),IF($O272=$O273,$R273,IF($O272=$O271,$R271)),IFERROR(INDEX($R273:$R1200,MATCH(SUBSTITUTE($I272,"-","",1),$K273:$K1200,0)))))</f>
        <v/>
      </c>
      <c r="S272" s="37" t="str">
        <f t="shared" si="1"/>
        <v/>
      </c>
      <c r="T272" s="39" t="str">
        <f t="shared" si="2"/>
        <v/>
      </c>
      <c r="U272" s="40" t="str">
        <f t="shared" si="3"/>
        <v/>
      </c>
      <c r="V272" s="34" t="str">
        <f t="shared" si="4"/>
        <v/>
      </c>
      <c r="W272" s="41" t="str">
        <f>IFERROR(__xludf.DUMMYFUNCTION(" IF(Account!$F272&lt;&gt;"""", SPLIT(Account!$F272, "" ""), """")"),"")</f>
        <v/>
      </c>
      <c r="X272" s="42"/>
      <c r="Y272" s="42"/>
      <c r="Z272" s="42"/>
      <c r="AA272" s="42"/>
      <c r="AB272" s="42"/>
      <c r="AC272" s="42"/>
      <c r="AD272" s="42"/>
      <c r="AE272" s="42"/>
      <c r="AF272" s="42"/>
      <c r="AG272" s="42"/>
      <c r="AH272" s="42"/>
      <c r="AI272" s="42"/>
      <c r="AJ272" s="42"/>
      <c r="AK272" s="42"/>
    </row>
    <row r="273">
      <c r="A273" s="20"/>
      <c r="B273" s="20"/>
      <c r="C273" s="20"/>
      <c r="D273" s="20"/>
      <c r="E273" s="20"/>
      <c r="F273" s="21"/>
      <c r="G273" s="45"/>
      <c r="H273" s="20"/>
      <c r="I273" s="20"/>
      <c r="J273" s="20"/>
      <c r="K273" s="20"/>
      <c r="L273" s="21"/>
      <c r="M273" s="33" t="str">
        <f>IFERROR(__xludf.DUMMYFUNCTION("IFS(W273=""Achat"",IFERROR(VALUE(X273),VALUE(REGEXREPLACE(T(X273),""[^0-9]"",""""))),W273=""Vente"",-IFERROR(VALUE(X273),VALUE(REGEXREPLACE(T(X273),""[^0-9]"",""""))),Y273=""Change"",0,Y273&lt;&gt;""Change"","""")"),"")</f>
        <v/>
      </c>
      <c r="N273" s="34" t="str">
        <f>IFERROR(__xludf.DUMMYFUNCTION("IF(Account!$F273&lt;&gt;"""", VALUE(REGEXREPLACE($I273, ""\,"", ""."")), """")"),"")</f>
        <v/>
      </c>
      <c r="O273" s="35" t="str">
        <f>IF(Account!$F273&lt;&gt;"", DATEVALUE(MID($A273,4,3) &amp; LEFT($A273,3) &amp; RIGHT($A273,4)) + TIMEVALUE($B273), "")</f>
        <v/>
      </c>
      <c r="P273" s="36" t="str">
        <f>IF(Account!$F273&lt;&gt;"", DATEVALUE(MID($C273,4,3) &amp; LEFT($C273,3) &amp; RIGHT($C273,4)), "")</f>
        <v/>
      </c>
      <c r="Q273" s="37" t="str">
        <f t="array" ref="Q273">IF($R273&lt;&gt;"",IFERROR(INDEX(ISIN!$B:$B,MATCH($R273,ISIN!$C:$C,0))),)</f>
        <v/>
      </c>
      <c r="R273" s="38" t="str">
        <f t="array" ref="R273">IF($E273&lt;&gt;"",IFERROR(INDEX(ISIN!$C:$C,MATCH($E273,ISIN!$A:$A,0)),IFERROR(INDEX($R274:$R1200,MATCH($K273,$K274:$K1200,0)))),IF(AND($Y273="change",$H273="EUR"),IF($O273=$O274,$R274,IF($O273=$O272,$R272)),IFERROR(INDEX($R274:$R1200,MATCH(SUBSTITUTE($I273,"-","",1),$K274:$K1200,0)))))</f>
        <v/>
      </c>
      <c r="S273" s="37" t="str">
        <f t="shared" si="1"/>
        <v/>
      </c>
      <c r="T273" s="39" t="str">
        <f t="shared" si="2"/>
        <v/>
      </c>
      <c r="U273" s="40" t="str">
        <f t="shared" si="3"/>
        <v/>
      </c>
      <c r="V273" s="34" t="str">
        <f t="shared" si="4"/>
        <v/>
      </c>
      <c r="W273" s="41" t="str">
        <f>IFERROR(__xludf.DUMMYFUNCTION(" IF(Account!$F273&lt;&gt;"""", SPLIT(Account!$F273, "" ""), """")"),"")</f>
        <v/>
      </c>
      <c r="X273" s="42"/>
      <c r="Y273" s="42"/>
      <c r="Z273" s="42"/>
      <c r="AA273" s="42"/>
      <c r="AB273" s="42"/>
      <c r="AC273" s="42"/>
      <c r="AD273" s="42"/>
      <c r="AE273" s="42"/>
      <c r="AF273" s="42"/>
      <c r="AG273" s="42"/>
      <c r="AH273" s="42"/>
      <c r="AI273" s="42"/>
      <c r="AJ273" s="42"/>
      <c r="AK273" s="42"/>
    </row>
    <row r="274">
      <c r="A274" s="20"/>
      <c r="B274" s="20"/>
      <c r="C274" s="20"/>
      <c r="D274" s="20"/>
      <c r="E274" s="20"/>
      <c r="F274" s="21"/>
      <c r="G274" s="45"/>
      <c r="H274" s="20"/>
      <c r="I274" s="20"/>
      <c r="J274" s="20"/>
      <c r="K274" s="20"/>
      <c r="L274" s="21"/>
      <c r="M274" s="33" t="str">
        <f>IFERROR(__xludf.DUMMYFUNCTION("IFS(W274=""Achat"",IFERROR(VALUE(X274),VALUE(REGEXREPLACE(T(X274),""[^0-9]"",""""))),W274=""Vente"",-IFERROR(VALUE(X274),VALUE(REGEXREPLACE(T(X274),""[^0-9]"",""""))),Y274=""Change"",0,Y274&lt;&gt;""Change"","""")"),"")</f>
        <v/>
      </c>
      <c r="N274" s="34" t="str">
        <f>IFERROR(__xludf.DUMMYFUNCTION("IF(Account!$F274&lt;&gt;"""", VALUE(REGEXREPLACE($I274, ""\,"", ""."")), """")"),"")</f>
        <v/>
      </c>
      <c r="O274" s="35" t="str">
        <f>IF(Account!$F274&lt;&gt;"", DATEVALUE(MID($A274,4,3) &amp; LEFT($A274,3) &amp; RIGHT($A274,4)) + TIMEVALUE($B274), "")</f>
        <v/>
      </c>
      <c r="P274" s="36" t="str">
        <f>IF(Account!$F274&lt;&gt;"", DATEVALUE(MID($C274,4,3) &amp; LEFT($C274,3) &amp; RIGHT($C274,4)), "")</f>
        <v/>
      </c>
      <c r="Q274" s="37" t="str">
        <f t="array" ref="Q274">IF($R274&lt;&gt;"",IFERROR(INDEX(ISIN!$B:$B,MATCH($R274,ISIN!$C:$C,0))),)</f>
        <v/>
      </c>
      <c r="R274" s="38" t="str">
        <f t="array" ref="R274">IF($E274&lt;&gt;"",IFERROR(INDEX(ISIN!$C:$C,MATCH($E274,ISIN!$A:$A,0)),IFERROR(INDEX($R275:$R1200,MATCH($K274,$K275:$K1200,0)))),IF(AND($Y274="change",$H274="EUR"),IF($O274=$O275,$R275,IF($O274=$O273,$R273)),IFERROR(INDEX($R275:$R1200,MATCH(SUBSTITUTE($I274,"-","",1),$K275:$K1200,0)))))</f>
        <v/>
      </c>
      <c r="S274" s="37" t="str">
        <f t="shared" si="1"/>
        <v/>
      </c>
      <c r="T274" s="39" t="str">
        <f t="shared" si="2"/>
        <v/>
      </c>
      <c r="U274" s="40" t="str">
        <f t="shared" si="3"/>
        <v/>
      </c>
      <c r="V274" s="34" t="str">
        <f t="shared" si="4"/>
        <v/>
      </c>
      <c r="W274" s="41" t="str">
        <f>IFERROR(__xludf.DUMMYFUNCTION(" IF(Account!$F274&lt;&gt;"""", SPLIT(Account!$F274, "" ""), """")"),"")</f>
        <v/>
      </c>
      <c r="X274" s="42"/>
      <c r="Y274" s="42"/>
      <c r="Z274" s="42"/>
      <c r="AA274" s="42"/>
      <c r="AB274" s="42"/>
      <c r="AC274" s="42"/>
      <c r="AD274" s="42"/>
      <c r="AE274" s="42"/>
      <c r="AF274" s="42"/>
      <c r="AG274" s="42"/>
      <c r="AH274" s="42"/>
      <c r="AI274" s="42"/>
      <c r="AJ274" s="42"/>
      <c r="AK274" s="42"/>
    </row>
    <row r="275">
      <c r="A275" s="20"/>
      <c r="B275" s="20"/>
      <c r="C275" s="20"/>
      <c r="D275" s="20"/>
      <c r="E275" s="20"/>
      <c r="F275" s="21"/>
      <c r="G275" s="20"/>
      <c r="H275" s="20"/>
      <c r="I275" s="20"/>
      <c r="J275" s="20"/>
      <c r="K275" s="20"/>
      <c r="L275" s="21"/>
      <c r="M275" s="33" t="str">
        <f>IFERROR(__xludf.DUMMYFUNCTION("IFS(W275=""Achat"",IFERROR(VALUE(X275),VALUE(REGEXREPLACE(T(X275),""[^0-9]"",""""))),W275=""Vente"",-IFERROR(VALUE(X275),VALUE(REGEXREPLACE(T(X275),""[^0-9]"",""""))),Y275=""Change"",0,Y275&lt;&gt;""Change"","""")"),"")</f>
        <v/>
      </c>
      <c r="N275" s="34" t="str">
        <f>IFERROR(__xludf.DUMMYFUNCTION("IF(Account!$F275&lt;&gt;"""", VALUE(REGEXREPLACE($I275, ""\,"", ""."")), """")"),"")</f>
        <v/>
      </c>
      <c r="O275" s="35" t="str">
        <f>IF(Account!$F275&lt;&gt;"", DATEVALUE(MID($A275,4,3) &amp; LEFT($A275,3) &amp; RIGHT($A275,4)) + TIMEVALUE($B275), "")</f>
        <v/>
      </c>
      <c r="P275" s="36" t="str">
        <f>IF(Account!$F275&lt;&gt;"", DATEVALUE(MID($C275,4,3) &amp; LEFT($C275,3) &amp; RIGHT($C275,4)), "")</f>
        <v/>
      </c>
      <c r="Q275" s="37" t="str">
        <f t="array" ref="Q275">IF($R275&lt;&gt;"",IFERROR(INDEX(ISIN!$B:$B,MATCH($R275,ISIN!$C:$C,0))),)</f>
        <v/>
      </c>
      <c r="R275" s="38" t="str">
        <f t="array" ref="R275">IF($E275&lt;&gt;"",IFERROR(INDEX(ISIN!$C:$C,MATCH($E275,ISIN!$A:$A,0)),IFERROR(INDEX($R276:$R1200,MATCH($K275,$K276:$K1200,0)))),IF(AND($Y275="change",$H275="EUR"),IF($O275=$O276,$R276,IF($O275=$O274,$R274)),IFERROR(INDEX($R276:$R1200,MATCH(SUBSTITUTE($I275,"-","",1),$K276:$K1200,0)))))</f>
        <v/>
      </c>
      <c r="S275" s="37" t="str">
        <f t="shared" si="1"/>
        <v/>
      </c>
      <c r="T275" s="39" t="str">
        <f t="shared" si="2"/>
        <v/>
      </c>
      <c r="U275" s="40" t="str">
        <f t="shared" si="3"/>
        <v/>
      </c>
      <c r="V275" s="34" t="str">
        <f t="shared" si="4"/>
        <v/>
      </c>
      <c r="W275" s="41" t="str">
        <f>IFERROR(__xludf.DUMMYFUNCTION(" IF(Account!$F275&lt;&gt;"""", SPLIT(Account!$F275, "" ""), """")"),"")</f>
        <v/>
      </c>
      <c r="X275" s="42"/>
      <c r="Y275" s="42"/>
      <c r="Z275" s="42"/>
      <c r="AA275" s="42"/>
      <c r="AB275" s="42"/>
      <c r="AC275" s="42"/>
      <c r="AD275" s="42"/>
      <c r="AE275" s="42"/>
      <c r="AF275" s="42"/>
      <c r="AG275" s="42"/>
      <c r="AH275" s="42"/>
      <c r="AI275" s="42"/>
      <c r="AJ275" s="42"/>
      <c r="AK275" s="42"/>
    </row>
    <row r="276">
      <c r="A276" s="20"/>
      <c r="B276" s="20"/>
      <c r="C276" s="20"/>
      <c r="D276" s="20"/>
      <c r="E276" s="20"/>
      <c r="F276" s="21"/>
      <c r="G276" s="45"/>
      <c r="H276" s="20"/>
      <c r="I276" s="20"/>
      <c r="J276" s="20"/>
      <c r="K276" s="20"/>
      <c r="L276" s="21"/>
      <c r="M276" s="33" t="str">
        <f>IFERROR(__xludf.DUMMYFUNCTION("IFS(W276=""Achat"",IFERROR(VALUE(X276),VALUE(REGEXREPLACE(T(X276),""[^0-9]"",""""))),W276=""Vente"",-IFERROR(VALUE(X276),VALUE(REGEXREPLACE(T(X276),""[^0-9]"",""""))),Y276=""Change"",0,Y276&lt;&gt;""Change"","""")"),"")</f>
        <v/>
      </c>
      <c r="N276" s="34" t="str">
        <f>IFERROR(__xludf.DUMMYFUNCTION("IF(Account!$F276&lt;&gt;"""", VALUE(REGEXREPLACE($I276, ""\,"", ""."")), """")"),"")</f>
        <v/>
      </c>
      <c r="O276" s="35" t="str">
        <f>IF(Account!$F276&lt;&gt;"", DATEVALUE(MID($A276,4,3) &amp; LEFT($A276,3) &amp; RIGHT($A276,4)) + TIMEVALUE($B276), "")</f>
        <v/>
      </c>
      <c r="P276" s="36" t="str">
        <f>IF(Account!$F276&lt;&gt;"", DATEVALUE(MID($C276,4,3) &amp; LEFT($C276,3) &amp; RIGHT($C276,4)), "")</f>
        <v/>
      </c>
      <c r="Q276" s="37" t="str">
        <f t="array" ref="Q276">IF($R276&lt;&gt;"",IFERROR(INDEX(ISIN!$B:$B,MATCH($R276,ISIN!$C:$C,0))),)</f>
        <v/>
      </c>
      <c r="R276" s="38" t="str">
        <f t="array" ref="R276">IF($E276&lt;&gt;"",IFERROR(INDEX(ISIN!$C:$C,MATCH($E276,ISIN!$A:$A,0)),IFERROR(INDEX($R277:$R1200,MATCH($K276,$K277:$K1200,0)))),IF(AND($Y276="change",$H276="EUR"),IF($O276=$O277,$R277,IF($O276=$O275,$R275)),IFERROR(INDEX($R277:$R1200,MATCH(SUBSTITUTE($I276,"-","",1),$K277:$K1200,0)))))</f>
        <v/>
      </c>
      <c r="S276" s="37" t="str">
        <f t="shared" si="1"/>
        <v/>
      </c>
      <c r="T276" s="39" t="str">
        <f t="shared" si="2"/>
        <v/>
      </c>
      <c r="U276" s="40" t="str">
        <f t="shared" si="3"/>
        <v/>
      </c>
      <c r="V276" s="34" t="str">
        <f t="shared" si="4"/>
        <v/>
      </c>
      <c r="W276" s="41" t="str">
        <f>IFERROR(__xludf.DUMMYFUNCTION(" IF(Account!$F276&lt;&gt;"""", SPLIT(Account!$F276, "" ""), """")"),"")</f>
        <v/>
      </c>
      <c r="X276" s="42"/>
      <c r="Y276" s="42"/>
      <c r="Z276" s="42"/>
      <c r="AA276" s="42"/>
      <c r="AB276" s="42"/>
      <c r="AC276" s="42"/>
      <c r="AD276" s="42"/>
      <c r="AE276" s="42"/>
      <c r="AF276" s="42"/>
      <c r="AG276" s="42"/>
      <c r="AH276" s="42"/>
      <c r="AI276" s="42"/>
      <c r="AJ276" s="42"/>
      <c r="AK276" s="42"/>
    </row>
    <row r="277">
      <c r="A277" s="20"/>
      <c r="B277" s="20"/>
      <c r="C277" s="20"/>
      <c r="D277" s="20"/>
      <c r="E277" s="20"/>
      <c r="F277" s="21"/>
      <c r="G277" s="20"/>
      <c r="H277" s="20"/>
      <c r="I277" s="20"/>
      <c r="J277" s="20"/>
      <c r="K277" s="20"/>
      <c r="L277" s="21"/>
      <c r="M277" s="33" t="str">
        <f>IFERROR(__xludf.DUMMYFUNCTION("IFS(W277=""Achat"",IFERROR(VALUE(X277),VALUE(REGEXREPLACE(T(X277),""[^0-9]"",""""))),W277=""Vente"",-IFERROR(VALUE(X277),VALUE(REGEXREPLACE(T(X277),""[^0-9]"",""""))),Y277=""Change"",0,Y277&lt;&gt;""Change"","""")"),"")</f>
        <v/>
      </c>
      <c r="N277" s="34" t="str">
        <f>IFERROR(__xludf.DUMMYFUNCTION("IF(Account!$F277&lt;&gt;"""", VALUE(REGEXREPLACE($I277, ""\,"", ""."")), """")"),"")</f>
        <v/>
      </c>
      <c r="O277" s="35" t="str">
        <f>IF(Account!$F277&lt;&gt;"", DATEVALUE(MID($A277,4,3) &amp; LEFT($A277,3) &amp; RIGHT($A277,4)) + TIMEVALUE($B277), "")</f>
        <v/>
      </c>
      <c r="P277" s="36" t="str">
        <f>IF(Account!$F277&lt;&gt;"", DATEVALUE(MID($C277,4,3) &amp; LEFT($C277,3) &amp; RIGHT($C277,4)), "")</f>
        <v/>
      </c>
      <c r="Q277" s="37" t="str">
        <f t="array" ref="Q277">IF($R277&lt;&gt;"",IFERROR(INDEX(ISIN!$B:$B,MATCH($R277,ISIN!$C:$C,0))),)</f>
        <v/>
      </c>
      <c r="R277" s="38" t="str">
        <f t="array" ref="R277">IF($E277&lt;&gt;"",IFERROR(INDEX(ISIN!$C:$C,MATCH($E277,ISIN!$A:$A,0)),IFERROR(INDEX($R278:$R1200,MATCH($K277,$K278:$K1200,0)))),IF(AND($Y277="change",$H277="EUR"),IF($O277=$O278,$R278,IF($O277=$O276,$R276)),IFERROR(INDEX($R278:$R1200,MATCH(SUBSTITUTE($I277,"-","",1),$K278:$K1200,0)))))</f>
        <v/>
      </c>
      <c r="S277" s="37" t="str">
        <f t="shared" si="1"/>
        <v/>
      </c>
      <c r="T277" s="39" t="str">
        <f t="shared" si="2"/>
        <v/>
      </c>
      <c r="U277" s="40" t="str">
        <f t="shared" si="3"/>
        <v/>
      </c>
      <c r="V277" s="34" t="str">
        <f t="shared" si="4"/>
        <v/>
      </c>
      <c r="W277" s="41" t="str">
        <f>IFERROR(__xludf.DUMMYFUNCTION(" IF(Account!$F277&lt;&gt;"""", SPLIT(Account!$F277, "" ""), """")"),"")</f>
        <v/>
      </c>
      <c r="X277" s="42"/>
      <c r="Y277" s="42"/>
      <c r="Z277" s="42"/>
      <c r="AA277" s="42"/>
      <c r="AB277" s="42"/>
      <c r="AC277" s="42"/>
      <c r="AD277" s="42"/>
      <c r="AE277" s="42"/>
      <c r="AF277" s="42"/>
      <c r="AG277" s="42"/>
      <c r="AH277" s="42"/>
      <c r="AI277" s="42"/>
      <c r="AJ277" s="42"/>
      <c r="AK277" s="42"/>
    </row>
    <row r="278">
      <c r="A278" s="20"/>
      <c r="B278" s="20"/>
      <c r="C278" s="20"/>
      <c r="D278" s="20"/>
      <c r="E278" s="20"/>
      <c r="F278" s="21"/>
      <c r="G278" s="20"/>
      <c r="H278" s="20"/>
      <c r="I278" s="20"/>
      <c r="J278" s="20"/>
      <c r="K278" s="20"/>
      <c r="L278" s="21"/>
      <c r="M278" s="33" t="str">
        <f>IFERROR(__xludf.DUMMYFUNCTION("IFS(W278=""Achat"",IFERROR(VALUE(X278),VALUE(REGEXREPLACE(T(X278),""[^0-9]"",""""))),W278=""Vente"",-IFERROR(VALUE(X278),VALUE(REGEXREPLACE(T(X278),""[^0-9]"",""""))),Y278=""Change"",0,Y278&lt;&gt;""Change"","""")"),"")</f>
        <v/>
      </c>
      <c r="N278" s="34" t="str">
        <f>IFERROR(__xludf.DUMMYFUNCTION("IF(Account!$F278&lt;&gt;"""", VALUE(REGEXREPLACE($I278, ""\,"", ""."")), """")"),"")</f>
        <v/>
      </c>
      <c r="O278" s="35" t="str">
        <f>IF(Account!$F278&lt;&gt;"", DATEVALUE(MID($A278,4,3) &amp; LEFT($A278,3) &amp; RIGHT($A278,4)) + TIMEVALUE($B278), "")</f>
        <v/>
      </c>
      <c r="P278" s="36" t="str">
        <f>IF(Account!$F278&lt;&gt;"", DATEVALUE(MID($C278,4,3) &amp; LEFT($C278,3) &amp; RIGHT($C278,4)), "")</f>
        <v/>
      </c>
      <c r="Q278" s="37" t="str">
        <f t="array" ref="Q278">IF($R278&lt;&gt;"",IFERROR(INDEX(ISIN!$B:$B,MATCH($R278,ISIN!$C:$C,0))),)</f>
        <v/>
      </c>
      <c r="R278" s="38" t="str">
        <f t="array" ref="R278">IF($E278&lt;&gt;"",IFERROR(INDEX(ISIN!$C:$C,MATCH($E278,ISIN!$A:$A,0)),IFERROR(INDEX($R279:$R1200,MATCH($K278,$K279:$K1200,0)))),IF(AND($Y278="change",$H278="EUR"),IF($O278=$O279,$R279,IF($O278=$O277,$R277)),IFERROR(INDEX($R279:$R1200,MATCH(SUBSTITUTE($I278,"-","",1),$K279:$K1200,0)))))</f>
        <v/>
      </c>
      <c r="S278" s="37" t="str">
        <f t="shared" si="1"/>
        <v/>
      </c>
      <c r="T278" s="39" t="str">
        <f t="shared" si="2"/>
        <v/>
      </c>
      <c r="U278" s="40" t="str">
        <f t="shared" si="3"/>
        <v/>
      </c>
      <c r="V278" s="34" t="str">
        <f t="shared" si="4"/>
        <v/>
      </c>
      <c r="W278" s="41" t="str">
        <f>IFERROR(__xludf.DUMMYFUNCTION(" IF(Account!$F278&lt;&gt;"""", SPLIT(Account!$F278, "" ""), """")"),"")</f>
        <v/>
      </c>
      <c r="X278" s="42"/>
      <c r="Y278" s="42"/>
      <c r="Z278" s="42"/>
      <c r="AA278" s="42"/>
      <c r="AB278" s="42"/>
      <c r="AC278" s="42"/>
      <c r="AD278" s="42"/>
      <c r="AE278" s="42"/>
      <c r="AF278" s="42"/>
      <c r="AG278" s="42"/>
      <c r="AH278" s="42"/>
      <c r="AI278" s="42"/>
      <c r="AJ278" s="42"/>
      <c r="AK278" s="42"/>
    </row>
    <row r="279">
      <c r="A279" s="20"/>
      <c r="B279" s="20"/>
      <c r="C279" s="20"/>
      <c r="D279" s="20"/>
      <c r="E279" s="20"/>
      <c r="F279" s="21"/>
      <c r="G279" s="20"/>
      <c r="H279" s="20"/>
      <c r="I279" s="20"/>
      <c r="J279" s="20"/>
      <c r="K279" s="20"/>
      <c r="L279" s="21"/>
      <c r="M279" s="33" t="str">
        <f>IFERROR(__xludf.DUMMYFUNCTION("IFS(W279=""Achat"",IFERROR(VALUE(X279),VALUE(REGEXREPLACE(T(X279),""[^0-9]"",""""))),W279=""Vente"",-IFERROR(VALUE(X279),VALUE(REGEXREPLACE(T(X279),""[^0-9]"",""""))),Y279=""Change"",0,Y279&lt;&gt;""Change"","""")"),"")</f>
        <v/>
      </c>
      <c r="N279" s="34" t="str">
        <f>IFERROR(__xludf.DUMMYFUNCTION("IF(Account!$F279&lt;&gt;"""", VALUE(REGEXREPLACE($I279, ""\,"", ""."")), """")"),"")</f>
        <v/>
      </c>
      <c r="O279" s="35" t="str">
        <f>IF(Account!$F279&lt;&gt;"", DATEVALUE(MID($A279,4,3) &amp; LEFT($A279,3) &amp; RIGHT($A279,4)) + TIMEVALUE($B279), "")</f>
        <v/>
      </c>
      <c r="P279" s="36" t="str">
        <f>IF(Account!$F279&lt;&gt;"", DATEVALUE(MID($C279,4,3) &amp; LEFT($C279,3) &amp; RIGHT($C279,4)), "")</f>
        <v/>
      </c>
      <c r="Q279" s="37" t="str">
        <f t="array" ref="Q279">IF($R279&lt;&gt;"",IFERROR(INDEX(ISIN!$B:$B,MATCH($R279,ISIN!$C:$C,0))),)</f>
        <v/>
      </c>
      <c r="R279" s="38" t="str">
        <f t="array" ref="R279">IF($E279&lt;&gt;"",IFERROR(INDEX(ISIN!$C:$C,MATCH($E279,ISIN!$A:$A,0)),IFERROR(INDEX($R280:$R1200,MATCH($K279,$K280:$K1200,0)))),IF(AND($Y279="change",$H279="EUR"),IF($O279=$O280,$R280,IF($O279=$O278,$R278)),IFERROR(INDEX($R280:$R1200,MATCH(SUBSTITUTE($I279,"-","",1),$K280:$K1200,0)))))</f>
        <v/>
      </c>
      <c r="S279" s="37" t="str">
        <f t="shared" si="1"/>
        <v/>
      </c>
      <c r="T279" s="39" t="str">
        <f t="shared" si="2"/>
        <v/>
      </c>
      <c r="U279" s="40" t="str">
        <f t="shared" si="3"/>
        <v/>
      </c>
      <c r="V279" s="34" t="str">
        <f t="shared" si="4"/>
        <v/>
      </c>
      <c r="W279" s="41" t="str">
        <f>IFERROR(__xludf.DUMMYFUNCTION(" IF(Account!$F279&lt;&gt;"""", SPLIT(Account!$F279, "" ""), """")"),"")</f>
        <v/>
      </c>
      <c r="X279" s="42"/>
      <c r="Y279" s="42"/>
      <c r="Z279" s="42"/>
      <c r="AA279" s="42"/>
      <c r="AB279" s="42"/>
      <c r="AC279" s="42"/>
      <c r="AD279" s="42"/>
      <c r="AE279" s="42"/>
      <c r="AF279" s="42"/>
      <c r="AG279" s="42"/>
      <c r="AH279" s="42"/>
      <c r="AI279" s="42"/>
      <c r="AJ279" s="42"/>
      <c r="AK279" s="42"/>
    </row>
    <row r="280">
      <c r="A280" s="20"/>
      <c r="B280" s="20"/>
      <c r="C280" s="20"/>
      <c r="D280" s="20"/>
      <c r="E280" s="20"/>
      <c r="F280" s="21"/>
      <c r="G280" s="45"/>
      <c r="H280" s="20"/>
      <c r="I280" s="20"/>
      <c r="J280" s="20"/>
      <c r="K280" s="20"/>
      <c r="L280" s="21"/>
      <c r="M280" s="33" t="str">
        <f>IFERROR(__xludf.DUMMYFUNCTION("IFS(W280=""Achat"",IFERROR(VALUE(X280),VALUE(REGEXREPLACE(T(X280),""[^0-9]"",""""))),W280=""Vente"",-IFERROR(VALUE(X280),VALUE(REGEXREPLACE(T(X280),""[^0-9]"",""""))),Y280=""Change"",0,Y280&lt;&gt;""Change"","""")"),"")</f>
        <v/>
      </c>
      <c r="N280" s="34" t="str">
        <f>IFERROR(__xludf.DUMMYFUNCTION("IF(Account!$F280&lt;&gt;"""", VALUE(REGEXREPLACE($I280, ""\,"", ""."")), """")"),"")</f>
        <v/>
      </c>
      <c r="O280" s="35" t="str">
        <f>IF(Account!$F280&lt;&gt;"", DATEVALUE(MID($A280,4,3) &amp; LEFT($A280,3) &amp; RIGHT($A280,4)) + TIMEVALUE($B280), "")</f>
        <v/>
      </c>
      <c r="P280" s="36" t="str">
        <f>IF(Account!$F280&lt;&gt;"", DATEVALUE(MID($C280,4,3) &amp; LEFT($C280,3) &amp; RIGHT($C280,4)), "")</f>
        <v/>
      </c>
      <c r="Q280" s="37" t="str">
        <f t="array" ref="Q280">IF($R280&lt;&gt;"",IFERROR(INDEX(ISIN!$B:$B,MATCH($R280,ISIN!$C:$C,0))),)</f>
        <v/>
      </c>
      <c r="R280" s="38" t="str">
        <f t="array" ref="R280">IF($E280&lt;&gt;"",IFERROR(INDEX(ISIN!$C:$C,MATCH($E280,ISIN!$A:$A,0)),IFERROR(INDEX($R281:$R1200,MATCH($K280,$K281:$K1200,0)))),IF(AND($Y280="change",$H280="EUR"),IF($O280=$O281,$R281,IF($O280=$O279,$R279)),IFERROR(INDEX($R281:$R1200,MATCH(SUBSTITUTE($I280,"-","",1),$K281:$K1200,0)))))</f>
        <v/>
      </c>
      <c r="S280" s="37" t="str">
        <f t="shared" si="1"/>
        <v/>
      </c>
      <c r="T280" s="39" t="str">
        <f t="shared" si="2"/>
        <v/>
      </c>
      <c r="U280" s="40" t="str">
        <f t="shared" si="3"/>
        <v/>
      </c>
      <c r="V280" s="34" t="str">
        <f t="shared" si="4"/>
        <v/>
      </c>
      <c r="W280" s="41" t="str">
        <f>IFERROR(__xludf.DUMMYFUNCTION(" IF(Account!$F280&lt;&gt;"""", SPLIT(Account!$F280, "" ""), """")"),"")</f>
        <v/>
      </c>
      <c r="X280" s="42"/>
      <c r="Y280" s="42"/>
      <c r="Z280" s="42"/>
      <c r="AA280" s="42"/>
      <c r="AB280" s="42"/>
      <c r="AC280" s="42"/>
      <c r="AD280" s="42"/>
      <c r="AE280" s="42"/>
      <c r="AF280" s="42"/>
      <c r="AG280" s="42"/>
      <c r="AH280" s="42"/>
      <c r="AI280" s="42"/>
      <c r="AJ280" s="42"/>
      <c r="AK280" s="42"/>
    </row>
    <row r="281">
      <c r="A281" s="20"/>
      <c r="B281" s="20"/>
      <c r="C281" s="20"/>
      <c r="D281" s="20"/>
      <c r="E281" s="20"/>
      <c r="F281" s="21"/>
      <c r="G281" s="45"/>
      <c r="H281" s="20"/>
      <c r="I281" s="20"/>
      <c r="J281" s="20"/>
      <c r="K281" s="20"/>
      <c r="L281" s="21"/>
      <c r="M281" s="33" t="str">
        <f>IFERROR(__xludf.DUMMYFUNCTION("IFS(W281=""Achat"",IFERROR(VALUE(X281),VALUE(REGEXREPLACE(T(X281),""[^0-9]"",""""))),W281=""Vente"",-IFERROR(VALUE(X281),VALUE(REGEXREPLACE(T(X281),""[^0-9]"",""""))),Y281=""Change"",0,Y281&lt;&gt;""Change"","""")"),"")</f>
        <v/>
      </c>
      <c r="N281" s="34" t="str">
        <f>IFERROR(__xludf.DUMMYFUNCTION("IF(Account!$F281&lt;&gt;"""", VALUE(REGEXREPLACE($I281, ""\,"", ""."")), """")"),"")</f>
        <v/>
      </c>
      <c r="O281" s="35" t="str">
        <f>IF(Account!$F281&lt;&gt;"", DATEVALUE(MID($A281,4,3) &amp; LEFT($A281,3) &amp; RIGHT($A281,4)) + TIMEVALUE($B281), "")</f>
        <v/>
      </c>
      <c r="P281" s="36" t="str">
        <f>IF(Account!$F281&lt;&gt;"", DATEVALUE(MID($C281,4,3) &amp; LEFT($C281,3) &amp; RIGHT($C281,4)), "")</f>
        <v/>
      </c>
      <c r="Q281" s="37" t="str">
        <f t="array" ref="Q281">IF($R281&lt;&gt;"",IFERROR(INDEX(ISIN!$B:$B,MATCH($R281,ISIN!$C:$C,0))),)</f>
        <v/>
      </c>
      <c r="R281" s="38" t="str">
        <f t="array" ref="R281">IF($E281&lt;&gt;"",IFERROR(INDEX(ISIN!$C:$C,MATCH($E281,ISIN!$A:$A,0)),IFERROR(INDEX($R282:$R1200,MATCH($K281,$K282:$K1200,0)))),IF(AND($Y281="change",$H281="EUR"),IF($O281=$O282,$R282,IF($O281=$O280,$R280)),IFERROR(INDEX($R282:$R1200,MATCH(SUBSTITUTE($I281,"-","",1),$K282:$K1200,0)))))</f>
        <v/>
      </c>
      <c r="S281" s="37" t="str">
        <f t="shared" si="1"/>
        <v/>
      </c>
      <c r="T281" s="39" t="str">
        <f t="shared" si="2"/>
        <v/>
      </c>
      <c r="U281" s="40" t="str">
        <f t="shared" si="3"/>
        <v/>
      </c>
      <c r="V281" s="34" t="str">
        <f t="shared" si="4"/>
        <v/>
      </c>
      <c r="W281" s="41" t="str">
        <f>IFERROR(__xludf.DUMMYFUNCTION(" IF(Account!$F281&lt;&gt;"""", SPLIT(Account!$F281, "" ""), """")"),"")</f>
        <v/>
      </c>
      <c r="X281" s="42"/>
      <c r="Y281" s="42"/>
      <c r="Z281" s="42"/>
      <c r="AA281" s="42"/>
      <c r="AB281" s="42"/>
      <c r="AC281" s="42"/>
      <c r="AD281" s="42"/>
      <c r="AE281" s="42"/>
      <c r="AF281" s="42"/>
      <c r="AG281" s="42"/>
      <c r="AH281" s="42"/>
      <c r="AI281" s="42"/>
      <c r="AJ281" s="42"/>
      <c r="AK281" s="42"/>
    </row>
    <row r="282">
      <c r="A282" s="20"/>
      <c r="B282" s="20"/>
      <c r="C282" s="20"/>
      <c r="D282" s="20"/>
      <c r="E282" s="20"/>
      <c r="F282" s="21"/>
      <c r="G282" s="45"/>
      <c r="H282" s="20"/>
      <c r="I282" s="20"/>
      <c r="J282" s="20"/>
      <c r="K282" s="20"/>
      <c r="L282" s="21"/>
      <c r="M282" s="33" t="str">
        <f>IFERROR(__xludf.DUMMYFUNCTION("IFS(W282=""Achat"",IFERROR(VALUE(X282),VALUE(REGEXREPLACE(T(X282),""[^0-9]"",""""))),W282=""Vente"",-IFERROR(VALUE(X282),VALUE(REGEXREPLACE(T(X282),""[^0-9]"",""""))),Y282=""Change"",0,Y282&lt;&gt;""Change"","""")"),"")</f>
        <v/>
      </c>
      <c r="N282" s="34" t="str">
        <f>IFERROR(__xludf.DUMMYFUNCTION("IF(Account!$F282&lt;&gt;"""", VALUE(REGEXREPLACE($I282, ""\,"", ""."")), """")"),"")</f>
        <v/>
      </c>
      <c r="O282" s="35" t="str">
        <f>IF(Account!$F282&lt;&gt;"", DATEVALUE(MID($A282,4,3) &amp; LEFT($A282,3) &amp; RIGHT($A282,4)) + TIMEVALUE($B282), "")</f>
        <v/>
      </c>
      <c r="P282" s="36" t="str">
        <f>IF(Account!$F282&lt;&gt;"", DATEVALUE(MID($C282,4,3) &amp; LEFT($C282,3) &amp; RIGHT($C282,4)), "")</f>
        <v/>
      </c>
      <c r="Q282" s="37" t="str">
        <f t="array" ref="Q282">IF($R282&lt;&gt;"",IFERROR(INDEX(ISIN!$B:$B,MATCH($R282,ISIN!$C:$C,0))),)</f>
        <v/>
      </c>
      <c r="R282" s="38" t="str">
        <f t="array" ref="R282">IF($E282&lt;&gt;"",IFERROR(INDEX(ISIN!$C:$C,MATCH($E282,ISIN!$A:$A,0)),IFERROR(INDEX($R283:$R1200,MATCH($K282,$K283:$K1200,0)))),IF(AND($Y282="change",$H282="EUR"),IF($O282=$O283,$R283,IF($O282=$O281,$R281)),IFERROR(INDEX($R283:$R1200,MATCH(SUBSTITUTE($I282,"-","",1),$K283:$K1200,0)))))</f>
        <v/>
      </c>
      <c r="S282" s="37" t="str">
        <f t="shared" si="1"/>
        <v/>
      </c>
      <c r="T282" s="39" t="str">
        <f t="shared" si="2"/>
        <v/>
      </c>
      <c r="U282" s="40" t="str">
        <f t="shared" si="3"/>
        <v/>
      </c>
      <c r="V282" s="34" t="str">
        <f t="shared" si="4"/>
        <v/>
      </c>
      <c r="W282" s="41" t="str">
        <f>IFERROR(__xludf.DUMMYFUNCTION(" IF(Account!$F282&lt;&gt;"""", SPLIT(Account!$F282, "" ""), """")"),"")</f>
        <v/>
      </c>
      <c r="X282" s="42"/>
      <c r="Y282" s="42"/>
      <c r="Z282" s="42"/>
      <c r="AA282" s="42"/>
      <c r="AB282" s="42"/>
      <c r="AC282" s="42"/>
      <c r="AD282" s="42"/>
      <c r="AE282" s="42"/>
      <c r="AF282" s="42"/>
      <c r="AG282" s="42"/>
      <c r="AH282" s="42"/>
      <c r="AI282" s="42"/>
      <c r="AJ282" s="42"/>
      <c r="AK282" s="42"/>
    </row>
    <row r="283">
      <c r="A283" s="20"/>
      <c r="B283" s="20"/>
      <c r="C283" s="20"/>
      <c r="D283" s="20"/>
      <c r="E283" s="20"/>
      <c r="F283" s="21"/>
      <c r="G283" s="20"/>
      <c r="H283" s="20"/>
      <c r="I283" s="20"/>
      <c r="J283" s="20"/>
      <c r="K283" s="20"/>
      <c r="L283" s="21"/>
      <c r="M283" s="33" t="str">
        <f>IFERROR(__xludf.DUMMYFUNCTION("IFS(W283=""Achat"",IFERROR(VALUE(X283),VALUE(REGEXREPLACE(T(X283),""[^0-9]"",""""))),W283=""Vente"",-IFERROR(VALUE(X283),VALUE(REGEXREPLACE(T(X283),""[^0-9]"",""""))),Y283=""Change"",0,Y283&lt;&gt;""Change"","""")"),"")</f>
        <v/>
      </c>
      <c r="N283" s="34" t="str">
        <f>IFERROR(__xludf.DUMMYFUNCTION("IF(Account!$F283&lt;&gt;"""", VALUE(REGEXREPLACE($I283, ""\,"", ""."")), """")"),"")</f>
        <v/>
      </c>
      <c r="O283" s="35" t="str">
        <f>IF(Account!$F283&lt;&gt;"", DATEVALUE(MID($A283,4,3) &amp; LEFT($A283,3) &amp; RIGHT($A283,4)) + TIMEVALUE($B283), "")</f>
        <v/>
      </c>
      <c r="P283" s="36" t="str">
        <f>IF(Account!$F283&lt;&gt;"", DATEVALUE(MID($C283,4,3) &amp; LEFT($C283,3) &amp; RIGHT($C283,4)), "")</f>
        <v/>
      </c>
      <c r="Q283" s="37" t="str">
        <f t="array" ref="Q283">IF($R283&lt;&gt;"",IFERROR(INDEX(ISIN!$B:$B,MATCH($R283,ISIN!$C:$C,0))),)</f>
        <v/>
      </c>
      <c r="R283" s="38" t="str">
        <f t="array" ref="R283">IF($E283&lt;&gt;"",IFERROR(INDEX(ISIN!$C:$C,MATCH($E283,ISIN!$A:$A,0)),IFERROR(INDEX($R284:$R1200,MATCH($K283,$K284:$K1200,0)))),IF(AND($Y283="change",$H283="EUR"),IF($O283=$O284,$R284,IF($O283=$O282,$R282)),IFERROR(INDEX($R284:$R1200,MATCH(SUBSTITUTE($I283,"-","",1),$K284:$K1200,0)))))</f>
        <v/>
      </c>
      <c r="S283" s="37" t="str">
        <f t="shared" si="1"/>
        <v/>
      </c>
      <c r="T283" s="39" t="str">
        <f t="shared" si="2"/>
        <v/>
      </c>
      <c r="U283" s="40" t="str">
        <f t="shared" si="3"/>
        <v/>
      </c>
      <c r="V283" s="34" t="str">
        <f t="shared" si="4"/>
        <v/>
      </c>
      <c r="W283" s="41" t="str">
        <f>IFERROR(__xludf.DUMMYFUNCTION(" IF(Account!$F283&lt;&gt;"""", SPLIT(Account!$F283, "" ""), """")"),"")</f>
        <v/>
      </c>
      <c r="X283" s="42"/>
      <c r="Y283" s="42"/>
      <c r="Z283" s="42"/>
      <c r="AA283" s="42"/>
      <c r="AB283" s="42"/>
      <c r="AC283" s="42"/>
      <c r="AD283" s="42"/>
      <c r="AE283" s="42"/>
      <c r="AF283" s="42"/>
      <c r="AG283" s="42"/>
      <c r="AH283" s="42"/>
      <c r="AI283" s="42"/>
      <c r="AJ283" s="42"/>
      <c r="AK283" s="42"/>
    </row>
    <row r="284">
      <c r="A284" s="20"/>
      <c r="B284" s="20"/>
      <c r="C284" s="20"/>
      <c r="D284" s="20"/>
      <c r="E284" s="20"/>
      <c r="F284" s="21"/>
      <c r="G284" s="45"/>
      <c r="H284" s="20"/>
      <c r="I284" s="20"/>
      <c r="J284" s="20"/>
      <c r="K284" s="20"/>
      <c r="L284" s="21"/>
      <c r="M284" s="33" t="str">
        <f>IFERROR(__xludf.DUMMYFUNCTION("IFS(W284=""Achat"",IFERROR(VALUE(X284),VALUE(REGEXREPLACE(T(X284),""[^0-9]"",""""))),W284=""Vente"",-IFERROR(VALUE(X284),VALUE(REGEXREPLACE(T(X284),""[^0-9]"",""""))),Y284=""Change"",0,Y284&lt;&gt;""Change"","""")"),"")</f>
        <v/>
      </c>
      <c r="N284" s="34" t="str">
        <f>IFERROR(__xludf.DUMMYFUNCTION("IF(Account!$F284&lt;&gt;"""", VALUE(REGEXREPLACE($I284, ""\,"", ""."")), """")"),"")</f>
        <v/>
      </c>
      <c r="O284" s="35" t="str">
        <f>IF(Account!$F284&lt;&gt;"", DATEVALUE(MID($A284,4,3) &amp; LEFT($A284,3) &amp; RIGHT($A284,4)) + TIMEVALUE($B284), "")</f>
        <v/>
      </c>
      <c r="P284" s="36" t="str">
        <f>IF(Account!$F284&lt;&gt;"", DATEVALUE(MID($C284,4,3) &amp; LEFT($C284,3) &amp; RIGHT($C284,4)), "")</f>
        <v/>
      </c>
      <c r="Q284" s="37" t="str">
        <f t="array" ref="Q284">IF($R284&lt;&gt;"",IFERROR(INDEX(ISIN!$B:$B,MATCH($R284,ISIN!$C:$C,0))),)</f>
        <v/>
      </c>
      <c r="R284" s="38" t="str">
        <f t="array" ref="R284">IF($E284&lt;&gt;"",IFERROR(INDEX(ISIN!$C:$C,MATCH($E284,ISIN!$A:$A,0)),IFERROR(INDEX($R285:$R1200,MATCH($K284,$K285:$K1200,0)))),IF(AND($Y284="change",$H284="EUR"),IF($O284=$O285,$R285,IF($O284=$O283,$R283)),IFERROR(INDEX($R285:$R1200,MATCH(SUBSTITUTE($I284,"-","",1),$K285:$K1200,0)))))</f>
        <v/>
      </c>
      <c r="S284" s="37" t="str">
        <f t="shared" si="1"/>
        <v/>
      </c>
      <c r="T284" s="39" t="str">
        <f t="shared" si="2"/>
        <v/>
      </c>
      <c r="U284" s="40" t="str">
        <f t="shared" si="3"/>
        <v/>
      </c>
      <c r="V284" s="34" t="str">
        <f t="shared" si="4"/>
        <v/>
      </c>
      <c r="W284" s="41" t="str">
        <f>IFERROR(__xludf.DUMMYFUNCTION(" IF(Account!$F284&lt;&gt;"""", SPLIT(Account!$F284, "" ""), """")"),"")</f>
        <v/>
      </c>
      <c r="X284" s="42"/>
      <c r="Y284" s="42"/>
      <c r="Z284" s="42"/>
      <c r="AA284" s="42"/>
      <c r="AB284" s="42"/>
      <c r="AC284" s="42"/>
      <c r="AD284" s="42"/>
      <c r="AE284" s="42"/>
      <c r="AF284" s="42"/>
      <c r="AG284" s="42"/>
      <c r="AH284" s="42"/>
      <c r="AI284" s="42"/>
      <c r="AJ284" s="42"/>
      <c r="AK284" s="42"/>
    </row>
    <row r="285">
      <c r="A285" s="20"/>
      <c r="B285" s="20"/>
      <c r="C285" s="20"/>
      <c r="D285" s="20"/>
      <c r="E285" s="20"/>
      <c r="F285" s="21"/>
      <c r="G285" s="45"/>
      <c r="H285" s="20"/>
      <c r="I285" s="20"/>
      <c r="J285" s="20"/>
      <c r="K285" s="20"/>
      <c r="L285" s="21"/>
      <c r="M285" s="33" t="str">
        <f>IFERROR(__xludf.DUMMYFUNCTION("IFS(W285=""Achat"",IFERROR(VALUE(X285),VALUE(REGEXREPLACE(T(X285),""[^0-9]"",""""))),W285=""Vente"",-IFERROR(VALUE(X285),VALUE(REGEXREPLACE(T(X285),""[^0-9]"",""""))),Y285=""Change"",0,Y285&lt;&gt;""Change"","""")"),"")</f>
        <v/>
      </c>
      <c r="N285" s="34" t="str">
        <f>IFERROR(__xludf.DUMMYFUNCTION("IF(Account!$F285&lt;&gt;"""", VALUE(REGEXREPLACE($I285, ""\,"", ""."")), """")"),"")</f>
        <v/>
      </c>
      <c r="O285" s="35" t="str">
        <f>IF(Account!$F285&lt;&gt;"", DATEVALUE(MID($A285,4,3) &amp; LEFT($A285,3) &amp; RIGHT($A285,4)) + TIMEVALUE($B285), "")</f>
        <v/>
      </c>
      <c r="P285" s="36" t="str">
        <f>IF(Account!$F285&lt;&gt;"", DATEVALUE(MID($C285,4,3) &amp; LEFT($C285,3) &amp; RIGHT($C285,4)), "")</f>
        <v/>
      </c>
      <c r="Q285" s="37" t="str">
        <f t="array" ref="Q285">IF($R285&lt;&gt;"",IFERROR(INDEX(ISIN!$B:$B,MATCH($R285,ISIN!$C:$C,0))),)</f>
        <v/>
      </c>
      <c r="R285" s="38" t="str">
        <f t="array" ref="R285">IF($E285&lt;&gt;"",IFERROR(INDEX(ISIN!$C:$C,MATCH($E285,ISIN!$A:$A,0)),IFERROR(INDEX($R286:$R1200,MATCH($K285,$K286:$K1200,0)))),IF(AND($Y285="change",$H285="EUR"),IF($O285=$O286,$R286,IF($O285=$O284,$R284)),IFERROR(INDEX($R286:$R1200,MATCH(SUBSTITUTE($I285,"-","",1),$K286:$K1200,0)))))</f>
        <v/>
      </c>
      <c r="S285" s="37" t="str">
        <f t="shared" si="1"/>
        <v/>
      </c>
      <c r="T285" s="39" t="str">
        <f t="shared" si="2"/>
        <v/>
      </c>
      <c r="U285" s="40" t="str">
        <f t="shared" si="3"/>
        <v/>
      </c>
      <c r="V285" s="34" t="str">
        <f t="shared" si="4"/>
        <v/>
      </c>
      <c r="W285" s="41" t="str">
        <f>IFERROR(__xludf.DUMMYFUNCTION(" IF(Account!$F285&lt;&gt;"""", SPLIT(Account!$F285, "" ""), """")"),"")</f>
        <v/>
      </c>
      <c r="X285" s="42"/>
      <c r="Y285" s="42"/>
      <c r="Z285" s="42"/>
      <c r="AA285" s="42"/>
      <c r="AB285" s="42"/>
      <c r="AC285" s="42"/>
      <c r="AD285" s="42"/>
      <c r="AE285" s="42"/>
      <c r="AF285" s="42"/>
      <c r="AG285" s="42"/>
      <c r="AH285" s="42"/>
      <c r="AI285" s="42"/>
      <c r="AJ285" s="42"/>
      <c r="AK285" s="42"/>
    </row>
    <row r="286">
      <c r="A286" s="20"/>
      <c r="B286" s="20"/>
      <c r="C286" s="20"/>
      <c r="D286" s="20"/>
      <c r="E286" s="20"/>
      <c r="F286" s="21"/>
      <c r="G286" s="20"/>
      <c r="H286" s="20"/>
      <c r="I286" s="20"/>
      <c r="J286" s="20"/>
      <c r="K286" s="20"/>
      <c r="L286" s="21"/>
      <c r="M286" s="33" t="str">
        <f>IFERROR(__xludf.DUMMYFUNCTION("IFS(W286=""Achat"",IFERROR(VALUE(X286),VALUE(REGEXREPLACE(T(X286),""[^0-9]"",""""))),W286=""Vente"",-IFERROR(VALUE(X286),VALUE(REGEXREPLACE(T(X286),""[^0-9]"",""""))),Y286=""Change"",0,Y286&lt;&gt;""Change"","""")"),"")</f>
        <v/>
      </c>
      <c r="N286" s="34" t="str">
        <f>IFERROR(__xludf.DUMMYFUNCTION("IF(Account!$F286&lt;&gt;"""", VALUE(REGEXREPLACE($I286, ""\,"", ""."")), """")"),"")</f>
        <v/>
      </c>
      <c r="O286" s="35" t="str">
        <f>IF(Account!$F286&lt;&gt;"", DATEVALUE(MID($A286,4,3) &amp; LEFT($A286,3) &amp; RIGHT($A286,4)) + TIMEVALUE($B286), "")</f>
        <v/>
      </c>
      <c r="P286" s="36" t="str">
        <f>IF(Account!$F286&lt;&gt;"", DATEVALUE(MID($C286,4,3) &amp; LEFT($C286,3) &amp; RIGHT($C286,4)), "")</f>
        <v/>
      </c>
      <c r="Q286" s="37" t="str">
        <f t="array" ref="Q286">IF($R286&lt;&gt;"",IFERROR(INDEX(ISIN!$B:$B,MATCH($R286,ISIN!$C:$C,0))),)</f>
        <v/>
      </c>
      <c r="R286" s="38" t="str">
        <f t="array" ref="R286">IF($E286&lt;&gt;"",IFERROR(INDEX(ISIN!$C:$C,MATCH($E286,ISIN!$A:$A,0)),IFERROR(INDEX($R287:$R1200,MATCH($K286,$K287:$K1200,0)))),IF(AND($Y286="change",$H286="EUR"),IF($O286=$O287,$R287,IF($O286=$O285,$R285)),IFERROR(INDEX($R287:$R1200,MATCH(SUBSTITUTE($I286,"-","",1),$K287:$K1200,0)))))</f>
        <v/>
      </c>
      <c r="S286" s="37" t="str">
        <f t="shared" si="1"/>
        <v/>
      </c>
      <c r="T286" s="39" t="str">
        <f t="shared" si="2"/>
        <v/>
      </c>
      <c r="U286" s="40" t="str">
        <f t="shared" si="3"/>
        <v/>
      </c>
      <c r="V286" s="34" t="str">
        <f t="shared" si="4"/>
        <v/>
      </c>
      <c r="W286" s="41" t="str">
        <f>IFERROR(__xludf.DUMMYFUNCTION(" IF(Account!$F286&lt;&gt;"""", SPLIT(Account!$F286, "" ""), """")"),"")</f>
        <v/>
      </c>
      <c r="X286" s="42"/>
      <c r="Y286" s="42"/>
      <c r="Z286" s="42"/>
      <c r="AA286" s="42"/>
      <c r="AB286" s="42"/>
      <c r="AC286" s="42"/>
      <c r="AD286" s="42"/>
      <c r="AE286" s="42"/>
      <c r="AF286" s="42"/>
      <c r="AG286" s="42"/>
      <c r="AH286" s="42"/>
      <c r="AI286" s="42"/>
      <c r="AJ286" s="42"/>
      <c r="AK286" s="42"/>
    </row>
    <row r="287">
      <c r="A287" s="20"/>
      <c r="B287" s="20"/>
      <c r="C287" s="20"/>
      <c r="D287" s="20"/>
      <c r="E287" s="20"/>
      <c r="F287" s="21"/>
      <c r="G287" s="45"/>
      <c r="H287" s="20"/>
      <c r="I287" s="20"/>
      <c r="J287" s="20"/>
      <c r="K287" s="20"/>
      <c r="L287" s="21"/>
      <c r="M287" s="33" t="str">
        <f>IFERROR(__xludf.DUMMYFUNCTION("IFS(W287=""Achat"",IFERROR(VALUE(X287),VALUE(REGEXREPLACE(T(X287),""[^0-9]"",""""))),W287=""Vente"",-IFERROR(VALUE(X287),VALUE(REGEXREPLACE(T(X287),""[^0-9]"",""""))),Y287=""Change"",0,Y287&lt;&gt;""Change"","""")"),"")</f>
        <v/>
      </c>
      <c r="N287" s="34" t="str">
        <f>IFERROR(__xludf.DUMMYFUNCTION("IF(Account!$F287&lt;&gt;"""", VALUE(REGEXREPLACE($I287, ""\,"", ""."")), """")"),"")</f>
        <v/>
      </c>
      <c r="O287" s="35" t="str">
        <f>IF(Account!$F287&lt;&gt;"", DATEVALUE(MID($A287,4,3) &amp; LEFT($A287,3) &amp; RIGHT($A287,4)) + TIMEVALUE($B287), "")</f>
        <v/>
      </c>
      <c r="P287" s="36" t="str">
        <f>IF(Account!$F287&lt;&gt;"", DATEVALUE(MID($C287,4,3) &amp; LEFT($C287,3) &amp; RIGHT($C287,4)), "")</f>
        <v/>
      </c>
      <c r="Q287" s="37" t="str">
        <f t="array" ref="Q287">IF($R287&lt;&gt;"",IFERROR(INDEX(ISIN!$B:$B,MATCH($R287,ISIN!$C:$C,0))),)</f>
        <v/>
      </c>
      <c r="R287" s="38" t="str">
        <f t="array" ref="R287">IF($E287&lt;&gt;"",IFERROR(INDEX(ISIN!$C:$C,MATCH($E287,ISIN!$A:$A,0)),IFERROR(INDEX($R288:$R1200,MATCH($K287,$K288:$K1200,0)))),IF(AND($Y287="change",$H287="EUR"),IF($O287=$O288,$R288,IF($O287=$O286,$R286)),IFERROR(INDEX($R288:$R1200,MATCH(SUBSTITUTE($I287,"-","",1),$K288:$K1200,0)))))</f>
        <v/>
      </c>
      <c r="S287" s="37" t="str">
        <f t="shared" si="1"/>
        <v/>
      </c>
      <c r="T287" s="39" t="str">
        <f t="shared" si="2"/>
        <v/>
      </c>
      <c r="U287" s="40" t="str">
        <f t="shared" si="3"/>
        <v/>
      </c>
      <c r="V287" s="34" t="str">
        <f t="shared" si="4"/>
        <v/>
      </c>
      <c r="W287" s="41" t="str">
        <f>IFERROR(__xludf.DUMMYFUNCTION(" IF(Account!$F287&lt;&gt;"""", SPLIT(Account!$F287, "" ""), """")"),"")</f>
        <v/>
      </c>
      <c r="X287" s="42"/>
      <c r="Y287" s="42"/>
      <c r="Z287" s="42"/>
      <c r="AA287" s="42"/>
      <c r="AB287" s="42"/>
      <c r="AC287" s="42"/>
      <c r="AD287" s="42"/>
      <c r="AE287" s="42"/>
      <c r="AF287" s="42"/>
      <c r="AG287" s="42"/>
      <c r="AH287" s="42"/>
      <c r="AI287" s="42"/>
      <c r="AJ287" s="42"/>
      <c r="AK287" s="42"/>
    </row>
    <row r="288">
      <c r="A288" s="20"/>
      <c r="B288" s="20"/>
      <c r="C288" s="20"/>
      <c r="D288" s="20"/>
      <c r="E288" s="20"/>
      <c r="F288" s="21"/>
      <c r="G288" s="20"/>
      <c r="H288" s="20"/>
      <c r="I288" s="20"/>
      <c r="J288" s="20"/>
      <c r="K288" s="20"/>
      <c r="L288" s="21"/>
      <c r="M288" s="33" t="str">
        <f>IFERROR(__xludf.DUMMYFUNCTION("IFS(W288=""Achat"",IFERROR(VALUE(X288),VALUE(REGEXREPLACE(T(X288),""[^0-9]"",""""))),W288=""Vente"",-IFERROR(VALUE(X288),VALUE(REGEXREPLACE(T(X288),""[^0-9]"",""""))),Y288=""Change"",0,Y288&lt;&gt;""Change"","""")"),"")</f>
        <v/>
      </c>
      <c r="N288" s="34" t="str">
        <f>IFERROR(__xludf.DUMMYFUNCTION("IF(Account!$F288&lt;&gt;"""", VALUE(REGEXREPLACE($I288, ""\,"", ""."")), """")"),"")</f>
        <v/>
      </c>
      <c r="O288" s="35" t="str">
        <f>IF(Account!$F288&lt;&gt;"", DATEVALUE(MID($A288,4,3) &amp; LEFT($A288,3) &amp; RIGHT($A288,4)) + TIMEVALUE($B288), "")</f>
        <v/>
      </c>
      <c r="P288" s="36" t="str">
        <f>IF(Account!$F288&lt;&gt;"", DATEVALUE(MID($C288,4,3) &amp; LEFT($C288,3) &amp; RIGHT($C288,4)), "")</f>
        <v/>
      </c>
      <c r="Q288" s="37" t="str">
        <f t="array" ref="Q288">IF($R288&lt;&gt;"",IFERROR(INDEX(ISIN!$B:$B,MATCH($R288,ISIN!$C:$C,0))),)</f>
        <v/>
      </c>
      <c r="R288" s="38" t="str">
        <f t="array" ref="R288">IF($E288&lt;&gt;"",IFERROR(INDEX(ISIN!$C:$C,MATCH($E288,ISIN!$A:$A,0)),IFERROR(INDEX($R289:$R1200,MATCH($K288,$K289:$K1200,0)))),IF(AND($Y288="change",$H288="EUR"),IF($O288=$O289,$R289,IF($O288=$O287,$R287)),IFERROR(INDEX($R289:$R1200,MATCH(SUBSTITUTE($I288,"-","",1),$K289:$K1200,0)))))</f>
        <v/>
      </c>
      <c r="S288" s="37" t="str">
        <f t="shared" si="1"/>
        <v/>
      </c>
      <c r="T288" s="39" t="str">
        <f t="shared" si="2"/>
        <v/>
      </c>
      <c r="U288" s="40" t="str">
        <f t="shared" si="3"/>
        <v/>
      </c>
      <c r="V288" s="34" t="str">
        <f t="shared" si="4"/>
        <v/>
      </c>
      <c r="W288" s="41" t="str">
        <f>IFERROR(__xludf.DUMMYFUNCTION(" IF(Account!$F288&lt;&gt;"""", SPLIT(Account!$F288, "" ""), """")"),"")</f>
        <v/>
      </c>
      <c r="X288" s="42"/>
      <c r="Y288" s="42"/>
      <c r="Z288" s="42"/>
      <c r="AA288" s="42"/>
      <c r="AB288" s="42"/>
      <c r="AC288" s="42"/>
      <c r="AD288" s="42"/>
      <c r="AE288" s="42"/>
      <c r="AF288" s="42"/>
      <c r="AG288" s="42"/>
      <c r="AH288" s="42"/>
      <c r="AI288" s="42"/>
      <c r="AJ288" s="42"/>
      <c r="AK288" s="42"/>
    </row>
    <row r="289">
      <c r="A289" s="20"/>
      <c r="B289" s="20"/>
      <c r="C289" s="20"/>
      <c r="D289" s="20"/>
      <c r="E289" s="20"/>
      <c r="F289" s="21"/>
      <c r="G289" s="20"/>
      <c r="H289" s="20"/>
      <c r="I289" s="20"/>
      <c r="J289" s="20"/>
      <c r="K289" s="20"/>
      <c r="L289" s="21"/>
      <c r="M289" s="33" t="str">
        <f>IFERROR(__xludf.DUMMYFUNCTION("IFS(W289=""Achat"",IFERROR(VALUE(X289),VALUE(REGEXREPLACE(T(X289),""[^0-9]"",""""))),W289=""Vente"",-IFERROR(VALUE(X289),VALUE(REGEXREPLACE(T(X289),""[^0-9]"",""""))),Y289=""Change"",0,Y289&lt;&gt;""Change"","""")"),"")</f>
        <v/>
      </c>
      <c r="N289" s="34" t="str">
        <f>IFERROR(__xludf.DUMMYFUNCTION("IF(Account!$F289&lt;&gt;"""", VALUE(REGEXREPLACE($I289, ""\,"", ""."")), """")"),"")</f>
        <v/>
      </c>
      <c r="O289" s="35" t="str">
        <f>IF(Account!$F289&lt;&gt;"", DATEVALUE(MID($A289,4,3) &amp; LEFT($A289,3) &amp; RIGHT($A289,4)) + TIMEVALUE($B289), "")</f>
        <v/>
      </c>
      <c r="P289" s="36" t="str">
        <f>IF(Account!$F289&lt;&gt;"", DATEVALUE(MID($C289,4,3) &amp; LEFT($C289,3) &amp; RIGHT($C289,4)), "")</f>
        <v/>
      </c>
      <c r="Q289" s="37" t="str">
        <f t="array" ref="Q289">IF($R289&lt;&gt;"",IFERROR(INDEX(ISIN!$B:$B,MATCH($R289,ISIN!$C:$C,0))),)</f>
        <v/>
      </c>
      <c r="R289" s="38" t="str">
        <f t="array" ref="R289">IF($E289&lt;&gt;"",IFERROR(INDEX(ISIN!$C:$C,MATCH($E289,ISIN!$A:$A,0)),IFERROR(INDEX($R290:$R1200,MATCH($K289,$K290:$K1200,0)))),IF(AND($Y289="change",$H289="EUR"),IF($O289=$O290,$R290,IF($O289=$O288,$R288)),IFERROR(INDEX($R290:$R1200,MATCH(SUBSTITUTE($I289,"-","",1),$K290:$K1200,0)))))</f>
        <v/>
      </c>
      <c r="S289" s="37" t="str">
        <f t="shared" si="1"/>
        <v/>
      </c>
      <c r="T289" s="39" t="str">
        <f t="shared" si="2"/>
        <v/>
      </c>
      <c r="U289" s="40" t="str">
        <f t="shared" si="3"/>
        <v/>
      </c>
      <c r="V289" s="34" t="str">
        <f t="shared" si="4"/>
        <v/>
      </c>
      <c r="W289" s="41" t="str">
        <f>IFERROR(__xludf.DUMMYFUNCTION(" IF(Account!$F289&lt;&gt;"""", SPLIT(Account!$F289, "" ""), """")"),"")</f>
        <v/>
      </c>
      <c r="X289" s="42"/>
      <c r="Y289" s="42"/>
      <c r="Z289" s="42"/>
      <c r="AA289" s="42"/>
      <c r="AB289" s="42"/>
      <c r="AC289" s="42"/>
      <c r="AD289" s="42"/>
      <c r="AE289" s="42"/>
      <c r="AF289" s="42"/>
      <c r="AG289" s="42"/>
      <c r="AH289" s="42"/>
      <c r="AI289" s="42"/>
      <c r="AJ289" s="42"/>
      <c r="AK289" s="42"/>
    </row>
    <row r="290">
      <c r="A290" s="20"/>
      <c r="B290" s="20"/>
      <c r="C290" s="20"/>
      <c r="D290" s="20"/>
      <c r="E290" s="20"/>
      <c r="F290" s="21"/>
      <c r="G290" s="20"/>
      <c r="H290" s="20"/>
      <c r="I290" s="20"/>
      <c r="J290" s="20"/>
      <c r="K290" s="20"/>
      <c r="L290" s="21"/>
      <c r="M290" s="33" t="str">
        <f>IFERROR(__xludf.DUMMYFUNCTION("IFS(W290=""Achat"",IFERROR(VALUE(X290),VALUE(REGEXREPLACE(T(X290),""[^0-9]"",""""))),W290=""Vente"",-IFERROR(VALUE(X290),VALUE(REGEXREPLACE(T(X290),""[^0-9]"",""""))),Y290=""Change"",0,Y290&lt;&gt;""Change"","""")"),"")</f>
        <v/>
      </c>
      <c r="N290" s="34" t="str">
        <f>IFERROR(__xludf.DUMMYFUNCTION("IF(Account!$F290&lt;&gt;"""", VALUE(REGEXREPLACE($I290, ""\,"", ""."")), """")"),"")</f>
        <v/>
      </c>
      <c r="O290" s="35" t="str">
        <f>IF(Account!$F290&lt;&gt;"", DATEVALUE(MID($A290,4,3) &amp; LEFT($A290,3) &amp; RIGHT($A290,4)) + TIMEVALUE($B290), "")</f>
        <v/>
      </c>
      <c r="P290" s="36" t="str">
        <f>IF(Account!$F290&lt;&gt;"", DATEVALUE(MID($C290,4,3) &amp; LEFT($C290,3) &amp; RIGHT($C290,4)), "")</f>
        <v/>
      </c>
      <c r="Q290" s="37" t="str">
        <f t="array" ref="Q290">IF($R290&lt;&gt;"",IFERROR(INDEX(ISIN!$B:$B,MATCH($R290,ISIN!$C:$C,0))),)</f>
        <v/>
      </c>
      <c r="R290" s="38" t="str">
        <f t="array" ref="R290">IF($E290&lt;&gt;"",IFERROR(INDEX(ISIN!$C:$C,MATCH($E290,ISIN!$A:$A,0)),IFERROR(INDEX($R291:$R1200,MATCH($K290,$K291:$K1200,0)))),IF(AND($Y290="change",$H290="EUR"),IF($O290=$O291,$R291,IF($O290=$O289,$R289)),IFERROR(INDEX($R291:$R1200,MATCH(SUBSTITUTE($I290,"-","",1),$K291:$K1200,0)))))</f>
        <v/>
      </c>
      <c r="S290" s="37" t="str">
        <f t="shared" si="1"/>
        <v/>
      </c>
      <c r="T290" s="39" t="str">
        <f t="shared" si="2"/>
        <v/>
      </c>
      <c r="U290" s="40" t="str">
        <f t="shared" si="3"/>
        <v/>
      </c>
      <c r="V290" s="34" t="str">
        <f t="shared" si="4"/>
        <v/>
      </c>
      <c r="W290" s="41" t="str">
        <f>IFERROR(__xludf.DUMMYFUNCTION(" IF(Account!$F290&lt;&gt;"""", SPLIT(Account!$F290, "" ""), """")"),"")</f>
        <v/>
      </c>
      <c r="X290" s="42"/>
      <c r="Y290" s="42"/>
      <c r="Z290" s="42"/>
      <c r="AA290" s="42"/>
      <c r="AB290" s="42"/>
      <c r="AC290" s="42"/>
      <c r="AD290" s="42"/>
      <c r="AE290" s="42"/>
      <c r="AF290" s="42"/>
      <c r="AG290" s="42"/>
      <c r="AH290" s="42"/>
      <c r="AI290" s="42"/>
      <c r="AJ290" s="42"/>
      <c r="AK290" s="42"/>
    </row>
    <row r="291">
      <c r="A291" s="20"/>
      <c r="B291" s="20"/>
      <c r="C291" s="20"/>
      <c r="D291" s="20"/>
      <c r="E291" s="20"/>
      <c r="F291" s="21"/>
      <c r="G291" s="45"/>
      <c r="H291" s="20"/>
      <c r="I291" s="20"/>
      <c r="J291" s="20"/>
      <c r="K291" s="20"/>
      <c r="L291" s="21"/>
      <c r="M291" s="33" t="str">
        <f>IFERROR(__xludf.DUMMYFUNCTION("IFS(W291=""Achat"",IFERROR(VALUE(X291),VALUE(REGEXREPLACE(T(X291),""[^0-9]"",""""))),W291=""Vente"",-IFERROR(VALUE(X291),VALUE(REGEXREPLACE(T(X291),""[^0-9]"",""""))),Y291=""Change"",0,Y291&lt;&gt;""Change"","""")"),"")</f>
        <v/>
      </c>
      <c r="N291" s="34" t="str">
        <f>IFERROR(__xludf.DUMMYFUNCTION("IF(Account!$F291&lt;&gt;"""", VALUE(REGEXREPLACE($I291, ""\,"", ""."")), """")"),"")</f>
        <v/>
      </c>
      <c r="O291" s="35" t="str">
        <f>IF(Account!$F291&lt;&gt;"", DATEVALUE(MID($A291,4,3) &amp; LEFT($A291,3) &amp; RIGHT($A291,4)) + TIMEVALUE($B291), "")</f>
        <v/>
      </c>
      <c r="P291" s="36" t="str">
        <f>IF(Account!$F291&lt;&gt;"", DATEVALUE(MID($C291,4,3) &amp; LEFT($C291,3) &amp; RIGHT($C291,4)), "")</f>
        <v/>
      </c>
      <c r="Q291" s="37" t="str">
        <f t="array" ref="Q291">IF($R291&lt;&gt;"",IFERROR(INDEX(ISIN!$B:$B,MATCH($R291,ISIN!$C:$C,0))),)</f>
        <v/>
      </c>
      <c r="R291" s="38" t="str">
        <f t="array" ref="R291">IF($E291&lt;&gt;"",IFERROR(INDEX(ISIN!$C:$C,MATCH($E291,ISIN!$A:$A,0)),IFERROR(INDEX($R292:$R1200,MATCH($K291,$K292:$K1200,0)))),IF(AND($Y291="change",$H291="EUR"),IF($O291=$O292,$R292,IF($O291=$O290,$R290)),IFERROR(INDEX($R292:$R1200,MATCH(SUBSTITUTE($I291,"-","",1),$K292:$K1200,0)))))</f>
        <v/>
      </c>
      <c r="S291" s="37" t="str">
        <f t="shared" si="1"/>
        <v/>
      </c>
      <c r="T291" s="39" t="str">
        <f t="shared" si="2"/>
        <v/>
      </c>
      <c r="U291" s="40" t="str">
        <f t="shared" si="3"/>
        <v/>
      </c>
      <c r="V291" s="34" t="str">
        <f t="shared" si="4"/>
        <v/>
      </c>
      <c r="W291" s="41" t="str">
        <f>IFERROR(__xludf.DUMMYFUNCTION(" IF(Account!$F291&lt;&gt;"""", SPLIT(Account!$F291, "" ""), """")"),"")</f>
        <v/>
      </c>
      <c r="X291" s="42"/>
      <c r="Y291" s="42"/>
      <c r="Z291" s="42"/>
      <c r="AA291" s="42"/>
      <c r="AB291" s="42"/>
      <c r="AC291" s="42"/>
      <c r="AD291" s="42"/>
      <c r="AE291" s="42"/>
      <c r="AF291" s="42"/>
      <c r="AG291" s="42"/>
      <c r="AH291" s="42"/>
      <c r="AI291" s="42"/>
      <c r="AJ291" s="42"/>
      <c r="AK291" s="42"/>
    </row>
    <row r="292">
      <c r="A292" s="20"/>
      <c r="B292" s="20"/>
      <c r="C292" s="20"/>
      <c r="D292" s="20"/>
      <c r="E292" s="20"/>
      <c r="F292" s="21"/>
      <c r="G292" s="20"/>
      <c r="H292" s="20"/>
      <c r="I292" s="20"/>
      <c r="J292" s="20"/>
      <c r="K292" s="20"/>
      <c r="L292" s="21"/>
      <c r="M292" s="33" t="str">
        <f>IFERROR(__xludf.DUMMYFUNCTION("IFS(W292=""Achat"",IFERROR(VALUE(X292),VALUE(REGEXREPLACE(T(X292),""[^0-9]"",""""))),W292=""Vente"",-IFERROR(VALUE(X292),VALUE(REGEXREPLACE(T(X292),""[^0-9]"",""""))),Y292=""Change"",0,Y292&lt;&gt;""Change"","""")"),"")</f>
        <v/>
      </c>
      <c r="N292" s="34" t="str">
        <f>IFERROR(__xludf.DUMMYFUNCTION("IF(Account!$F292&lt;&gt;"""", VALUE(REGEXREPLACE($I292, ""\,"", ""."")), """")"),"")</f>
        <v/>
      </c>
      <c r="O292" s="35" t="str">
        <f>IF(Account!$F292&lt;&gt;"", DATEVALUE(MID($A292,4,3) &amp; LEFT($A292,3) &amp; RIGHT($A292,4)) + TIMEVALUE($B292), "")</f>
        <v/>
      </c>
      <c r="P292" s="36" t="str">
        <f>IF(Account!$F292&lt;&gt;"", DATEVALUE(MID($C292,4,3) &amp; LEFT($C292,3) &amp; RIGHT($C292,4)), "")</f>
        <v/>
      </c>
      <c r="Q292" s="37" t="str">
        <f t="array" ref="Q292">IF($R292&lt;&gt;"",IFERROR(INDEX(ISIN!$B:$B,MATCH($R292,ISIN!$C:$C,0))),)</f>
        <v/>
      </c>
      <c r="R292" s="38" t="str">
        <f t="array" ref="R292">IF($E292&lt;&gt;"",IFERROR(INDEX(ISIN!$C:$C,MATCH($E292,ISIN!$A:$A,0)),IFERROR(INDEX($R293:$R1200,MATCH($K292,$K293:$K1200,0)))),IF(AND($Y292="change",$H292="EUR"),IF($O292=$O293,$R293,IF($O292=$O291,$R291)),IFERROR(INDEX($R293:$R1200,MATCH(SUBSTITUTE($I292,"-","",1),$K293:$K1200,0)))))</f>
        <v/>
      </c>
      <c r="S292" s="37" t="str">
        <f t="shared" si="1"/>
        <v/>
      </c>
      <c r="T292" s="39" t="str">
        <f t="shared" si="2"/>
        <v/>
      </c>
      <c r="U292" s="40" t="str">
        <f t="shared" si="3"/>
        <v/>
      </c>
      <c r="V292" s="34" t="str">
        <f t="shared" si="4"/>
        <v/>
      </c>
      <c r="W292" s="41" t="str">
        <f>IFERROR(__xludf.DUMMYFUNCTION(" IF(Account!$F292&lt;&gt;"""", SPLIT(Account!$F292, "" ""), """")"),"")</f>
        <v/>
      </c>
      <c r="X292" s="42"/>
      <c r="Y292" s="42"/>
      <c r="Z292" s="42"/>
      <c r="AA292" s="42"/>
      <c r="AB292" s="42"/>
      <c r="AC292" s="42"/>
      <c r="AD292" s="42"/>
      <c r="AE292" s="42"/>
      <c r="AF292" s="42"/>
      <c r="AG292" s="42"/>
      <c r="AH292" s="42"/>
      <c r="AI292" s="42"/>
      <c r="AJ292" s="42"/>
      <c r="AK292" s="42"/>
    </row>
    <row r="293">
      <c r="A293" s="20"/>
      <c r="B293" s="20"/>
      <c r="C293" s="20"/>
      <c r="D293" s="20"/>
      <c r="E293" s="20"/>
      <c r="F293" s="21"/>
      <c r="G293" s="45"/>
      <c r="H293" s="20"/>
      <c r="I293" s="20"/>
      <c r="J293" s="20"/>
      <c r="K293" s="20"/>
      <c r="L293" s="21"/>
      <c r="M293" s="33" t="str">
        <f>IFERROR(__xludf.DUMMYFUNCTION("IFS(W293=""Achat"",IFERROR(VALUE(X293),VALUE(REGEXREPLACE(T(X293),""[^0-9]"",""""))),W293=""Vente"",-IFERROR(VALUE(X293),VALUE(REGEXREPLACE(T(X293),""[^0-9]"",""""))),Y293=""Change"",0,Y293&lt;&gt;""Change"","""")"),"")</f>
        <v/>
      </c>
      <c r="N293" s="34" t="str">
        <f>IFERROR(__xludf.DUMMYFUNCTION("IF(Account!$F293&lt;&gt;"""", VALUE(REGEXREPLACE($I293, ""\,"", ""."")), """")"),"")</f>
        <v/>
      </c>
      <c r="O293" s="35" t="str">
        <f>IF(Account!$F293&lt;&gt;"", DATEVALUE(MID($A293,4,3) &amp; LEFT($A293,3) &amp; RIGHT($A293,4)) + TIMEVALUE($B293), "")</f>
        <v/>
      </c>
      <c r="P293" s="36" t="str">
        <f>IF(Account!$F293&lt;&gt;"", DATEVALUE(MID($C293,4,3) &amp; LEFT($C293,3) &amp; RIGHT($C293,4)), "")</f>
        <v/>
      </c>
      <c r="Q293" s="37" t="str">
        <f t="array" ref="Q293">IF($R293&lt;&gt;"",IFERROR(INDEX(ISIN!$B:$B,MATCH($R293,ISIN!$C:$C,0))),)</f>
        <v/>
      </c>
      <c r="R293" s="38" t="str">
        <f t="array" ref="R293">IF($E293&lt;&gt;"",IFERROR(INDEX(ISIN!$C:$C,MATCH($E293,ISIN!$A:$A,0)),IFERROR(INDEX($R294:$R1200,MATCH($K293,$K294:$K1200,0)))),IF(AND($Y293="change",$H293="EUR"),IF($O293=$O294,$R294,IF($O293=$O292,$R292)),IFERROR(INDEX($R294:$R1200,MATCH(SUBSTITUTE($I293,"-","",1),$K294:$K1200,0)))))</f>
        <v/>
      </c>
      <c r="S293" s="37" t="str">
        <f t="shared" si="1"/>
        <v/>
      </c>
      <c r="T293" s="39" t="str">
        <f t="shared" si="2"/>
        <v/>
      </c>
      <c r="U293" s="40" t="str">
        <f t="shared" si="3"/>
        <v/>
      </c>
      <c r="V293" s="34" t="str">
        <f t="shared" si="4"/>
        <v/>
      </c>
      <c r="W293" s="41" t="str">
        <f>IFERROR(__xludf.DUMMYFUNCTION(" IF(Account!$F293&lt;&gt;"""", SPLIT(Account!$F293, "" ""), """")"),"")</f>
        <v/>
      </c>
      <c r="X293" s="42"/>
      <c r="Y293" s="42"/>
      <c r="Z293" s="42"/>
      <c r="AA293" s="42"/>
      <c r="AB293" s="42"/>
      <c r="AC293" s="42"/>
      <c r="AD293" s="42"/>
      <c r="AE293" s="42"/>
      <c r="AF293" s="42"/>
      <c r="AG293" s="42"/>
      <c r="AH293" s="42"/>
      <c r="AI293" s="42"/>
      <c r="AJ293" s="42"/>
      <c r="AK293" s="42"/>
    </row>
    <row r="294">
      <c r="A294" s="20"/>
      <c r="B294" s="20"/>
      <c r="C294" s="20"/>
      <c r="D294" s="20"/>
      <c r="E294" s="20"/>
      <c r="F294" s="21"/>
      <c r="G294" s="20"/>
      <c r="H294" s="20"/>
      <c r="I294" s="20"/>
      <c r="J294" s="20"/>
      <c r="K294" s="20"/>
      <c r="L294" s="21"/>
      <c r="M294" s="33" t="str">
        <f>IFERROR(__xludf.DUMMYFUNCTION("IFS(W294=""Achat"",IFERROR(VALUE(X294),VALUE(REGEXREPLACE(T(X294),""[^0-9]"",""""))),W294=""Vente"",-IFERROR(VALUE(X294),VALUE(REGEXREPLACE(T(X294),""[^0-9]"",""""))),Y294=""Change"",0,Y294&lt;&gt;""Change"","""")"),"")</f>
        <v/>
      </c>
      <c r="N294" s="34" t="str">
        <f>IFERROR(__xludf.DUMMYFUNCTION("IF(Account!$F294&lt;&gt;"""", VALUE(REGEXREPLACE($I294, ""\,"", ""."")), """")"),"")</f>
        <v/>
      </c>
      <c r="O294" s="35" t="str">
        <f>IF(Account!$F294&lt;&gt;"", DATEVALUE(MID($A294,4,3) &amp; LEFT($A294,3) &amp; RIGHT($A294,4)) + TIMEVALUE($B294), "")</f>
        <v/>
      </c>
      <c r="P294" s="36" t="str">
        <f>IF(Account!$F294&lt;&gt;"", DATEVALUE(MID($C294,4,3) &amp; LEFT($C294,3) &amp; RIGHT($C294,4)), "")</f>
        <v/>
      </c>
      <c r="Q294" s="37" t="str">
        <f t="array" ref="Q294">IF($R294&lt;&gt;"",IFERROR(INDEX(ISIN!$B:$B,MATCH($R294,ISIN!$C:$C,0))),)</f>
        <v/>
      </c>
      <c r="R294" s="38" t="str">
        <f t="array" ref="R294">IF($E294&lt;&gt;"",IFERROR(INDEX(ISIN!$C:$C,MATCH($E294,ISIN!$A:$A,0)),IFERROR(INDEX($R295:$R1200,MATCH($K294,$K295:$K1200,0)))),IF(AND($Y294="change",$H294="EUR"),IF($O294=$O295,$R295,IF($O294=$O293,$R293)),IFERROR(INDEX($R295:$R1200,MATCH(SUBSTITUTE($I294,"-","",1),$K295:$K1200,0)))))</f>
        <v/>
      </c>
      <c r="S294" s="37" t="str">
        <f t="shared" si="1"/>
        <v/>
      </c>
      <c r="T294" s="39" t="str">
        <f t="shared" si="2"/>
        <v/>
      </c>
      <c r="U294" s="40" t="str">
        <f t="shared" si="3"/>
        <v/>
      </c>
      <c r="V294" s="34" t="str">
        <f t="shared" si="4"/>
        <v/>
      </c>
      <c r="W294" s="41" t="str">
        <f>IFERROR(__xludf.DUMMYFUNCTION(" IF(Account!$F294&lt;&gt;"""", SPLIT(Account!$F294, "" ""), """")"),"")</f>
        <v/>
      </c>
      <c r="X294" s="42"/>
      <c r="Y294" s="42"/>
      <c r="Z294" s="42"/>
      <c r="AA294" s="42"/>
      <c r="AB294" s="42"/>
      <c r="AC294" s="42"/>
      <c r="AD294" s="42"/>
      <c r="AE294" s="42"/>
      <c r="AF294" s="42"/>
      <c r="AG294" s="42"/>
      <c r="AH294" s="42"/>
      <c r="AI294" s="42"/>
      <c r="AJ294" s="42"/>
      <c r="AK294" s="42"/>
    </row>
    <row r="295">
      <c r="A295" s="20"/>
      <c r="B295" s="20"/>
      <c r="C295" s="20"/>
      <c r="D295" s="20"/>
      <c r="E295" s="20"/>
      <c r="F295" s="21"/>
      <c r="G295" s="20"/>
      <c r="H295" s="20"/>
      <c r="I295" s="20"/>
      <c r="J295" s="20"/>
      <c r="K295" s="20"/>
      <c r="L295" s="21"/>
      <c r="M295" s="33" t="str">
        <f>IFERROR(__xludf.DUMMYFUNCTION("IFS(W295=""Achat"",IFERROR(VALUE(X295),VALUE(REGEXREPLACE(T(X295),""[^0-9]"",""""))),W295=""Vente"",-IFERROR(VALUE(X295),VALUE(REGEXREPLACE(T(X295),""[^0-9]"",""""))),Y295=""Change"",0,Y295&lt;&gt;""Change"","""")"),"")</f>
        <v/>
      </c>
      <c r="N295" s="34" t="str">
        <f>IFERROR(__xludf.DUMMYFUNCTION("IF(Account!$F295&lt;&gt;"""", VALUE(REGEXREPLACE($I295, ""\,"", ""."")), """")"),"")</f>
        <v/>
      </c>
      <c r="O295" s="35" t="str">
        <f>IF(Account!$F295&lt;&gt;"", DATEVALUE(MID($A295,4,3) &amp; LEFT($A295,3) &amp; RIGHT($A295,4)) + TIMEVALUE($B295), "")</f>
        <v/>
      </c>
      <c r="P295" s="36" t="str">
        <f>IF(Account!$F295&lt;&gt;"", DATEVALUE(MID($C295,4,3) &amp; LEFT($C295,3) &amp; RIGHT($C295,4)), "")</f>
        <v/>
      </c>
      <c r="Q295" s="37" t="str">
        <f t="array" ref="Q295">IF($R295&lt;&gt;"",IFERROR(INDEX(ISIN!$B:$B,MATCH($R295,ISIN!$C:$C,0))),)</f>
        <v/>
      </c>
      <c r="R295" s="38" t="str">
        <f t="array" ref="R295">IF($E295&lt;&gt;"",IFERROR(INDEX(ISIN!$C:$C,MATCH($E295,ISIN!$A:$A,0)),IFERROR(INDEX($R296:$R1200,MATCH($K295,$K296:$K1200,0)))),IF(AND($Y295="change",$H295="EUR"),IF($O295=$O296,$R296,IF($O295=$O294,$R294)),IFERROR(INDEX($R296:$R1200,MATCH(SUBSTITUTE($I295,"-","",1),$K296:$K1200,0)))))</f>
        <v/>
      </c>
      <c r="S295" s="37" t="str">
        <f t="shared" si="1"/>
        <v/>
      </c>
      <c r="T295" s="39" t="str">
        <f t="shared" si="2"/>
        <v/>
      </c>
      <c r="U295" s="40" t="str">
        <f t="shared" si="3"/>
        <v/>
      </c>
      <c r="V295" s="34" t="str">
        <f t="shared" si="4"/>
        <v/>
      </c>
      <c r="W295" s="41" t="str">
        <f>IFERROR(__xludf.DUMMYFUNCTION(" IF(Account!$F295&lt;&gt;"""", SPLIT(Account!$F295, "" ""), """")"),"")</f>
        <v/>
      </c>
      <c r="X295" s="42"/>
      <c r="Y295" s="42"/>
      <c r="Z295" s="42"/>
      <c r="AA295" s="42"/>
      <c r="AB295" s="42"/>
      <c r="AC295" s="42"/>
      <c r="AD295" s="42"/>
      <c r="AE295" s="42"/>
      <c r="AF295" s="42"/>
      <c r="AG295" s="42"/>
      <c r="AH295" s="42"/>
      <c r="AI295" s="42"/>
      <c r="AJ295" s="42"/>
      <c r="AK295" s="42"/>
    </row>
    <row r="296">
      <c r="A296" s="20"/>
      <c r="B296" s="20"/>
      <c r="C296" s="20"/>
      <c r="D296" s="20"/>
      <c r="E296" s="20"/>
      <c r="F296" s="21"/>
      <c r="G296" s="20"/>
      <c r="H296" s="20"/>
      <c r="I296" s="20"/>
      <c r="J296" s="20"/>
      <c r="K296" s="20"/>
      <c r="L296" s="21"/>
      <c r="M296" s="33" t="str">
        <f>IFERROR(__xludf.DUMMYFUNCTION("IFS(W296=""Achat"",IFERROR(VALUE(X296),VALUE(REGEXREPLACE(T(X296),""[^0-9]"",""""))),W296=""Vente"",-IFERROR(VALUE(X296),VALUE(REGEXREPLACE(T(X296),""[^0-9]"",""""))),Y296=""Change"",0,Y296&lt;&gt;""Change"","""")"),"")</f>
        <v/>
      </c>
      <c r="N296" s="34" t="str">
        <f>IFERROR(__xludf.DUMMYFUNCTION("IF(Account!$F296&lt;&gt;"""", VALUE(REGEXREPLACE($I296, ""\,"", ""."")), """")"),"")</f>
        <v/>
      </c>
      <c r="O296" s="35" t="str">
        <f>IF(Account!$F296&lt;&gt;"", DATEVALUE(MID($A296,4,3) &amp; LEFT($A296,3) &amp; RIGHT($A296,4)) + TIMEVALUE($B296), "")</f>
        <v/>
      </c>
      <c r="P296" s="36" t="str">
        <f>IF(Account!$F296&lt;&gt;"", DATEVALUE(MID($C296,4,3) &amp; LEFT($C296,3) &amp; RIGHT($C296,4)), "")</f>
        <v/>
      </c>
      <c r="Q296" s="37" t="str">
        <f t="array" ref="Q296">IF($R296&lt;&gt;"",IFERROR(INDEX(ISIN!$B:$B,MATCH($R296,ISIN!$C:$C,0))),)</f>
        <v/>
      </c>
      <c r="R296" s="38" t="str">
        <f t="array" ref="R296">IF($E296&lt;&gt;"",IFERROR(INDEX(ISIN!$C:$C,MATCH($E296,ISIN!$A:$A,0)),IFERROR(INDEX($R297:$R1200,MATCH($K296,$K297:$K1200,0)))),IF(AND($Y296="change",$H296="EUR"),IF($O296=$O297,$R297,IF($O296=$O295,$R295)),IFERROR(INDEX($R297:$R1200,MATCH(SUBSTITUTE($I296,"-","",1),$K297:$K1200,0)))))</f>
        <v/>
      </c>
      <c r="S296" s="37" t="str">
        <f t="shared" si="1"/>
        <v/>
      </c>
      <c r="T296" s="39" t="str">
        <f t="shared" si="2"/>
        <v/>
      </c>
      <c r="U296" s="40" t="str">
        <f t="shared" si="3"/>
        <v/>
      </c>
      <c r="V296" s="34" t="str">
        <f t="shared" si="4"/>
        <v/>
      </c>
      <c r="W296" s="41" t="str">
        <f>IFERROR(__xludf.DUMMYFUNCTION(" IF(Account!$F296&lt;&gt;"""", SPLIT(Account!$F296, "" ""), """")"),"")</f>
        <v/>
      </c>
      <c r="X296" s="42"/>
      <c r="Y296" s="42"/>
      <c r="Z296" s="42"/>
      <c r="AA296" s="42"/>
      <c r="AB296" s="42"/>
      <c r="AC296" s="42"/>
      <c r="AD296" s="42"/>
      <c r="AE296" s="42"/>
      <c r="AF296" s="42"/>
      <c r="AG296" s="42"/>
      <c r="AH296" s="42"/>
      <c r="AI296" s="42"/>
      <c r="AJ296" s="42"/>
      <c r="AK296" s="42"/>
    </row>
    <row r="297">
      <c r="A297" s="20"/>
      <c r="B297" s="20"/>
      <c r="C297" s="20"/>
      <c r="D297" s="20"/>
      <c r="E297" s="20"/>
      <c r="F297" s="21"/>
      <c r="G297" s="45"/>
      <c r="H297" s="20"/>
      <c r="I297" s="20"/>
      <c r="J297" s="20"/>
      <c r="K297" s="20"/>
      <c r="L297" s="21"/>
      <c r="M297" s="33" t="str">
        <f>IFERROR(__xludf.DUMMYFUNCTION("IFS(W297=""Achat"",IFERROR(VALUE(X297),VALUE(REGEXREPLACE(T(X297),""[^0-9]"",""""))),W297=""Vente"",-IFERROR(VALUE(X297),VALUE(REGEXREPLACE(T(X297),""[^0-9]"",""""))),Y297=""Change"",0,Y297&lt;&gt;""Change"","""")"),"")</f>
        <v/>
      </c>
      <c r="N297" s="34" t="str">
        <f>IFERROR(__xludf.DUMMYFUNCTION("IF(Account!$F297&lt;&gt;"""", VALUE(REGEXREPLACE($I297, ""\,"", ""."")), """")"),"")</f>
        <v/>
      </c>
      <c r="O297" s="35" t="str">
        <f>IF(Account!$F297&lt;&gt;"", DATEVALUE(MID($A297,4,3) &amp; LEFT($A297,3) &amp; RIGHT($A297,4)) + TIMEVALUE($B297), "")</f>
        <v/>
      </c>
      <c r="P297" s="36" t="str">
        <f>IF(Account!$F297&lt;&gt;"", DATEVALUE(MID($C297,4,3) &amp; LEFT($C297,3) &amp; RIGHT($C297,4)), "")</f>
        <v/>
      </c>
      <c r="Q297" s="37" t="str">
        <f t="array" ref="Q297">IF($R297&lt;&gt;"",IFERROR(INDEX(ISIN!$B:$B,MATCH($R297,ISIN!$C:$C,0))),)</f>
        <v/>
      </c>
      <c r="R297" s="38" t="str">
        <f t="array" ref="R297">IF($E297&lt;&gt;"",IFERROR(INDEX(ISIN!$C:$C,MATCH($E297,ISIN!$A:$A,0)),IFERROR(INDEX($R298:$R1200,MATCH($K297,$K298:$K1200,0)))),IF(AND($Y297="change",$H297="EUR"),IF($O297=$O298,$R298,IF($O297=$O296,$R296)),IFERROR(INDEX($R298:$R1200,MATCH(SUBSTITUTE($I297,"-","",1),$K298:$K1200,0)))))</f>
        <v/>
      </c>
      <c r="S297" s="37" t="str">
        <f t="shared" si="1"/>
        <v/>
      </c>
      <c r="T297" s="39" t="str">
        <f t="shared" si="2"/>
        <v/>
      </c>
      <c r="U297" s="40" t="str">
        <f t="shared" si="3"/>
        <v/>
      </c>
      <c r="V297" s="34" t="str">
        <f t="shared" si="4"/>
        <v/>
      </c>
      <c r="W297" s="41" t="str">
        <f>IFERROR(__xludf.DUMMYFUNCTION(" IF(Account!$F297&lt;&gt;"""", SPLIT(Account!$F297, "" ""), """")"),"")</f>
        <v/>
      </c>
      <c r="X297" s="42"/>
      <c r="Y297" s="42"/>
      <c r="Z297" s="42"/>
      <c r="AA297" s="42"/>
      <c r="AB297" s="42"/>
      <c r="AC297" s="42"/>
      <c r="AD297" s="42"/>
      <c r="AE297" s="42"/>
      <c r="AF297" s="42"/>
      <c r="AG297" s="42"/>
      <c r="AH297" s="42"/>
      <c r="AI297" s="42"/>
      <c r="AJ297" s="42"/>
      <c r="AK297" s="42"/>
    </row>
    <row r="298">
      <c r="A298" s="20"/>
      <c r="B298" s="20"/>
      <c r="C298" s="20"/>
      <c r="D298" s="20"/>
      <c r="E298" s="20"/>
      <c r="F298" s="21"/>
      <c r="G298" s="20"/>
      <c r="H298" s="20"/>
      <c r="I298" s="20"/>
      <c r="J298" s="20"/>
      <c r="K298" s="20"/>
      <c r="L298" s="21"/>
      <c r="M298" s="33" t="str">
        <f>IFERROR(__xludf.DUMMYFUNCTION("IFS(W298=""Achat"",IFERROR(VALUE(X298),VALUE(REGEXREPLACE(T(X298),""[^0-9]"",""""))),W298=""Vente"",-IFERROR(VALUE(X298),VALUE(REGEXREPLACE(T(X298),""[^0-9]"",""""))),Y298=""Change"",0,Y298&lt;&gt;""Change"","""")"),"")</f>
        <v/>
      </c>
      <c r="N298" s="34" t="str">
        <f>IFERROR(__xludf.DUMMYFUNCTION("IF(Account!$F298&lt;&gt;"""", VALUE(REGEXREPLACE($I298, ""\,"", ""."")), """")"),"")</f>
        <v/>
      </c>
      <c r="O298" s="35" t="str">
        <f>IF(Account!$F298&lt;&gt;"", DATEVALUE(MID($A298,4,3) &amp; LEFT($A298,3) &amp; RIGHT($A298,4)) + TIMEVALUE($B298), "")</f>
        <v/>
      </c>
      <c r="P298" s="36" t="str">
        <f>IF(Account!$F298&lt;&gt;"", DATEVALUE(MID($C298,4,3) &amp; LEFT($C298,3) &amp; RIGHT($C298,4)), "")</f>
        <v/>
      </c>
      <c r="Q298" s="37" t="str">
        <f t="array" ref="Q298">IF($R298&lt;&gt;"",IFERROR(INDEX(ISIN!$B:$B,MATCH($R298,ISIN!$C:$C,0))),)</f>
        <v/>
      </c>
      <c r="R298" s="38" t="str">
        <f t="array" ref="R298">IF($E298&lt;&gt;"",IFERROR(INDEX(ISIN!$C:$C,MATCH($E298,ISIN!$A:$A,0)),IFERROR(INDEX($R299:$R1200,MATCH($K298,$K299:$K1200,0)))),IF(AND($Y298="change",$H298="EUR"),IF($O298=$O299,$R299,IF($O298=$O297,$R297)),IFERROR(INDEX($R299:$R1200,MATCH(SUBSTITUTE($I298,"-","",1),$K299:$K1200,0)))))</f>
        <v/>
      </c>
      <c r="S298" s="37" t="str">
        <f t="shared" si="1"/>
        <v/>
      </c>
      <c r="T298" s="39" t="str">
        <f t="shared" si="2"/>
        <v/>
      </c>
      <c r="U298" s="40" t="str">
        <f t="shared" si="3"/>
        <v/>
      </c>
      <c r="V298" s="34" t="str">
        <f t="shared" si="4"/>
        <v/>
      </c>
      <c r="W298" s="41" t="str">
        <f>IFERROR(__xludf.DUMMYFUNCTION(" IF(Account!$F298&lt;&gt;"""", SPLIT(Account!$F298, "" ""), """")"),"")</f>
        <v/>
      </c>
      <c r="X298" s="42"/>
      <c r="Y298" s="42"/>
      <c r="Z298" s="42"/>
      <c r="AA298" s="42"/>
      <c r="AB298" s="42"/>
      <c r="AC298" s="42"/>
      <c r="AD298" s="42"/>
      <c r="AE298" s="42"/>
      <c r="AF298" s="42"/>
      <c r="AG298" s="42"/>
      <c r="AH298" s="42"/>
      <c r="AI298" s="42"/>
      <c r="AJ298" s="42"/>
      <c r="AK298" s="42"/>
    </row>
    <row r="299">
      <c r="A299" s="20"/>
      <c r="B299" s="20"/>
      <c r="C299" s="20"/>
      <c r="D299" s="20"/>
      <c r="E299" s="20"/>
      <c r="F299" s="21"/>
      <c r="G299" s="45"/>
      <c r="H299" s="20"/>
      <c r="I299" s="20"/>
      <c r="J299" s="20"/>
      <c r="K299" s="20"/>
      <c r="L299" s="21"/>
      <c r="M299" s="33" t="str">
        <f>IFERROR(__xludf.DUMMYFUNCTION("IFS(W299=""Achat"",IFERROR(VALUE(X299),VALUE(REGEXREPLACE(T(X299),""[^0-9]"",""""))),W299=""Vente"",-IFERROR(VALUE(X299),VALUE(REGEXREPLACE(T(X299),""[^0-9]"",""""))),Y299=""Change"",0,Y299&lt;&gt;""Change"","""")"),"")</f>
        <v/>
      </c>
      <c r="N299" s="34" t="str">
        <f>IFERROR(__xludf.DUMMYFUNCTION("IF(Account!$F299&lt;&gt;"""", VALUE(REGEXREPLACE($I299, ""\,"", ""."")), """")"),"")</f>
        <v/>
      </c>
      <c r="O299" s="35" t="str">
        <f>IF(Account!$F299&lt;&gt;"", DATEVALUE(MID($A299,4,3) &amp; LEFT($A299,3) &amp; RIGHT($A299,4)) + TIMEVALUE($B299), "")</f>
        <v/>
      </c>
      <c r="P299" s="36" t="str">
        <f>IF(Account!$F299&lt;&gt;"", DATEVALUE(MID($C299,4,3) &amp; LEFT($C299,3) &amp; RIGHT($C299,4)), "")</f>
        <v/>
      </c>
      <c r="Q299" s="37" t="str">
        <f t="array" ref="Q299">IF($R299&lt;&gt;"",IFERROR(INDEX(ISIN!$B:$B,MATCH($R299,ISIN!$C:$C,0))),)</f>
        <v/>
      </c>
      <c r="R299" s="38" t="str">
        <f t="array" ref="R299">IF($E299&lt;&gt;"",IFERROR(INDEX(ISIN!$C:$C,MATCH($E299,ISIN!$A:$A,0)),IFERROR(INDEX($R300:$R1200,MATCH($K299,$K300:$K1200,0)))),IF(AND($Y299="change",$H299="EUR"),IF($O299=$O300,$R300,IF($O299=$O298,$R298)),IFERROR(INDEX($R300:$R1200,MATCH(SUBSTITUTE($I299,"-","",1),$K300:$K1200,0)))))</f>
        <v/>
      </c>
      <c r="S299" s="37" t="str">
        <f t="shared" si="1"/>
        <v/>
      </c>
      <c r="T299" s="39" t="str">
        <f t="shared" si="2"/>
        <v/>
      </c>
      <c r="U299" s="40" t="str">
        <f t="shared" si="3"/>
        <v/>
      </c>
      <c r="V299" s="34" t="str">
        <f t="shared" si="4"/>
        <v/>
      </c>
      <c r="W299" s="41" t="str">
        <f>IFERROR(__xludf.DUMMYFUNCTION(" IF(Account!$F299&lt;&gt;"""", SPLIT(Account!$F299, "" ""), """")"),"")</f>
        <v/>
      </c>
      <c r="X299" s="42"/>
      <c r="Y299" s="42"/>
      <c r="Z299" s="42"/>
      <c r="AA299" s="42"/>
      <c r="AB299" s="42"/>
      <c r="AC299" s="42"/>
      <c r="AD299" s="42"/>
      <c r="AE299" s="42"/>
      <c r="AF299" s="42"/>
      <c r="AG299" s="42"/>
      <c r="AH299" s="42"/>
      <c r="AI299" s="42"/>
      <c r="AJ299" s="42"/>
      <c r="AK299" s="42"/>
    </row>
    <row r="300">
      <c r="A300" s="20"/>
      <c r="B300" s="20"/>
      <c r="C300" s="20"/>
      <c r="D300" s="20"/>
      <c r="E300" s="20"/>
      <c r="F300" s="21"/>
      <c r="G300" s="20"/>
      <c r="H300" s="20"/>
      <c r="I300" s="20"/>
      <c r="J300" s="20"/>
      <c r="K300" s="20"/>
      <c r="L300" s="21"/>
      <c r="M300" s="33" t="str">
        <f>IFERROR(__xludf.DUMMYFUNCTION("IFS(W300=""Achat"",IFERROR(VALUE(X300),VALUE(REGEXREPLACE(T(X300),""[^0-9]"",""""))),W300=""Vente"",-IFERROR(VALUE(X300),VALUE(REGEXREPLACE(T(X300),""[^0-9]"",""""))),Y300=""Change"",0,Y300&lt;&gt;""Change"","""")"),"")</f>
        <v/>
      </c>
      <c r="N300" s="34" t="str">
        <f>IFERROR(__xludf.DUMMYFUNCTION("IF(Account!$F300&lt;&gt;"""", VALUE(REGEXREPLACE($I300, ""\,"", ""."")), """")"),"")</f>
        <v/>
      </c>
      <c r="O300" s="35" t="str">
        <f>IF(Account!$F300&lt;&gt;"", DATEVALUE(MID($A300,4,3) &amp; LEFT($A300,3) &amp; RIGHT($A300,4)) + TIMEVALUE($B300), "")</f>
        <v/>
      </c>
      <c r="P300" s="36" t="str">
        <f>IF(Account!$F300&lt;&gt;"", DATEVALUE(MID($C300,4,3) &amp; LEFT($C300,3) &amp; RIGHT($C300,4)), "")</f>
        <v/>
      </c>
      <c r="Q300" s="37" t="str">
        <f t="array" ref="Q300">IF($R300&lt;&gt;"",IFERROR(INDEX(ISIN!$B:$B,MATCH($R300,ISIN!$C:$C,0))),)</f>
        <v/>
      </c>
      <c r="R300" s="38" t="str">
        <f t="array" ref="R300">IF($E300&lt;&gt;"",IFERROR(INDEX(ISIN!$C:$C,MATCH($E300,ISIN!$A:$A,0)),IFERROR(INDEX($R301:$R1200,MATCH($K300,$K301:$K1200,0)))),IF(AND($Y300="change",$H300="EUR"),IF($O300=$O301,$R301,IF($O300=$O299,$R299)),IFERROR(INDEX($R301:$R1200,MATCH(SUBSTITUTE($I300,"-","",1),$K301:$K1200,0)))))</f>
        <v/>
      </c>
      <c r="S300" s="37" t="str">
        <f t="shared" si="1"/>
        <v/>
      </c>
      <c r="T300" s="39" t="str">
        <f t="shared" si="2"/>
        <v/>
      </c>
      <c r="U300" s="40" t="str">
        <f t="shared" si="3"/>
        <v/>
      </c>
      <c r="V300" s="34" t="str">
        <f t="shared" si="4"/>
        <v/>
      </c>
      <c r="W300" s="41" t="str">
        <f>IFERROR(__xludf.DUMMYFUNCTION(" IF(Account!$F300&lt;&gt;"""", SPLIT(Account!$F300, "" ""), """")"),"")</f>
        <v/>
      </c>
      <c r="X300" s="42"/>
      <c r="Y300" s="42"/>
      <c r="Z300" s="42"/>
      <c r="AA300" s="42"/>
      <c r="AB300" s="42"/>
      <c r="AC300" s="42"/>
      <c r="AD300" s="42"/>
      <c r="AE300" s="42"/>
      <c r="AF300" s="42"/>
      <c r="AG300" s="42"/>
      <c r="AH300" s="42"/>
      <c r="AI300" s="42"/>
      <c r="AJ300" s="42"/>
      <c r="AK300" s="42"/>
    </row>
    <row r="301">
      <c r="A301" s="20"/>
      <c r="B301" s="20"/>
      <c r="C301" s="20"/>
      <c r="D301" s="20"/>
      <c r="E301" s="20"/>
      <c r="F301" s="21"/>
      <c r="G301" s="45"/>
      <c r="H301" s="20"/>
      <c r="I301" s="20"/>
      <c r="J301" s="20"/>
      <c r="K301" s="20"/>
      <c r="L301" s="21"/>
      <c r="M301" s="33" t="str">
        <f>IFERROR(__xludf.DUMMYFUNCTION("IFS(W301=""Achat"",IFERROR(VALUE(X301),VALUE(REGEXREPLACE(T(X301),""[^0-9]"",""""))),W301=""Vente"",-IFERROR(VALUE(X301),VALUE(REGEXREPLACE(T(X301),""[^0-9]"",""""))),Y301=""Change"",0,Y301&lt;&gt;""Change"","""")"),"")</f>
        <v/>
      </c>
      <c r="N301" s="34" t="str">
        <f>IFERROR(__xludf.DUMMYFUNCTION("IF(Account!$F301&lt;&gt;"""", VALUE(REGEXREPLACE($I301, ""\,"", ""."")), """")"),"")</f>
        <v/>
      </c>
      <c r="O301" s="35" t="str">
        <f>IF(Account!$F301&lt;&gt;"", DATEVALUE(MID($A301,4,3) &amp; LEFT($A301,3) &amp; RIGHT($A301,4)) + TIMEVALUE($B301), "")</f>
        <v/>
      </c>
      <c r="P301" s="36" t="str">
        <f>IF(Account!$F301&lt;&gt;"", DATEVALUE(MID($C301,4,3) &amp; LEFT($C301,3) &amp; RIGHT($C301,4)), "")</f>
        <v/>
      </c>
      <c r="Q301" s="37" t="str">
        <f t="array" ref="Q301">IF($R301&lt;&gt;"",IFERROR(INDEX(ISIN!$B:$B,MATCH($R301,ISIN!$C:$C,0))),)</f>
        <v/>
      </c>
      <c r="R301" s="38" t="str">
        <f t="array" ref="R301">IF($E301&lt;&gt;"",IFERROR(INDEX(ISIN!$C:$C,MATCH($E301,ISIN!$A:$A,0)),IFERROR(INDEX($R302:$R1200,MATCH($K301,$K302:$K1200,0)))),IF(AND($Y301="change",$H301="EUR"),IF($O301=$O302,$R302,IF($O301=$O300,$R300)),IFERROR(INDEX($R302:$R1200,MATCH(SUBSTITUTE($I301,"-","",1),$K302:$K1200,0)))))</f>
        <v/>
      </c>
      <c r="S301" s="37" t="str">
        <f t="shared" si="1"/>
        <v/>
      </c>
      <c r="T301" s="39" t="str">
        <f t="shared" si="2"/>
        <v/>
      </c>
      <c r="U301" s="40" t="str">
        <f t="shared" si="3"/>
        <v/>
      </c>
      <c r="V301" s="34" t="str">
        <f t="shared" si="4"/>
        <v/>
      </c>
      <c r="W301" s="41" t="str">
        <f>IFERROR(__xludf.DUMMYFUNCTION(" IF(Account!$F301&lt;&gt;"""", SPLIT(Account!$F301, "" ""), """")"),"")</f>
        <v/>
      </c>
      <c r="X301" s="42"/>
      <c r="Y301" s="42"/>
      <c r="Z301" s="42"/>
      <c r="AA301" s="42"/>
      <c r="AB301" s="42"/>
      <c r="AC301" s="42"/>
      <c r="AD301" s="42"/>
      <c r="AE301" s="42"/>
      <c r="AF301" s="42"/>
      <c r="AG301" s="42"/>
      <c r="AH301" s="42"/>
      <c r="AI301" s="42"/>
      <c r="AJ301" s="42"/>
      <c r="AK301" s="42"/>
    </row>
    <row r="302">
      <c r="A302" s="20"/>
      <c r="B302" s="20"/>
      <c r="C302" s="20"/>
      <c r="D302" s="20"/>
      <c r="E302" s="20"/>
      <c r="F302" s="21"/>
      <c r="G302" s="20"/>
      <c r="H302" s="20"/>
      <c r="I302" s="20"/>
      <c r="J302" s="20"/>
      <c r="K302" s="20"/>
      <c r="L302" s="21"/>
      <c r="M302" s="33" t="str">
        <f>IFERROR(__xludf.DUMMYFUNCTION("IFS(W302=""Achat"",IFERROR(VALUE(X302),VALUE(REGEXREPLACE(T(X302),""[^0-9]"",""""))),W302=""Vente"",-IFERROR(VALUE(X302),VALUE(REGEXREPLACE(T(X302),""[^0-9]"",""""))),Y302=""Change"",0,Y302&lt;&gt;""Change"","""")"),"")</f>
        <v/>
      </c>
      <c r="N302" s="34" t="str">
        <f>IFERROR(__xludf.DUMMYFUNCTION("IF(Account!$F302&lt;&gt;"""", VALUE(REGEXREPLACE($I302, ""\,"", ""."")), """")"),"")</f>
        <v/>
      </c>
      <c r="O302" s="35" t="str">
        <f>IF(Account!$F302&lt;&gt;"", DATEVALUE(MID($A302,4,3) &amp; LEFT($A302,3) &amp; RIGHT($A302,4)) + TIMEVALUE($B302), "")</f>
        <v/>
      </c>
      <c r="P302" s="36" t="str">
        <f>IF(Account!$F302&lt;&gt;"", DATEVALUE(MID($C302,4,3) &amp; LEFT($C302,3) &amp; RIGHT($C302,4)), "")</f>
        <v/>
      </c>
      <c r="Q302" s="37" t="str">
        <f t="array" ref="Q302">IF($R302&lt;&gt;"",IFERROR(INDEX(ISIN!$B:$B,MATCH($R302,ISIN!$C:$C,0))),)</f>
        <v/>
      </c>
      <c r="R302" s="38" t="str">
        <f t="array" ref="R302">IF($E302&lt;&gt;"",IFERROR(INDEX(ISIN!$C:$C,MATCH($E302,ISIN!$A:$A,0)),IFERROR(INDEX($R303:$R1200,MATCH($K302,$K303:$K1200,0)))),IF(AND($Y302="change",$H302="EUR"),IF($O302=$O303,$R303,IF($O302=$O301,$R301)),IFERROR(INDEX($R303:$R1200,MATCH(SUBSTITUTE($I302,"-","",1),$K303:$K1200,0)))))</f>
        <v/>
      </c>
      <c r="S302" s="37" t="str">
        <f t="shared" si="1"/>
        <v/>
      </c>
      <c r="T302" s="39" t="str">
        <f t="shared" si="2"/>
        <v/>
      </c>
      <c r="U302" s="40" t="str">
        <f t="shared" si="3"/>
        <v/>
      </c>
      <c r="V302" s="34" t="str">
        <f t="shared" si="4"/>
        <v/>
      </c>
      <c r="W302" s="41" t="str">
        <f>IFERROR(__xludf.DUMMYFUNCTION(" IF(Account!$F302&lt;&gt;"""", SPLIT(Account!$F302, "" ""), """")"),"")</f>
        <v/>
      </c>
      <c r="X302" s="42"/>
      <c r="Y302" s="42"/>
      <c r="Z302" s="42"/>
      <c r="AA302" s="42"/>
      <c r="AB302" s="42"/>
      <c r="AC302" s="42"/>
      <c r="AD302" s="42"/>
      <c r="AE302" s="42"/>
      <c r="AF302" s="42"/>
      <c r="AG302" s="42"/>
      <c r="AH302" s="42"/>
      <c r="AI302" s="42"/>
      <c r="AJ302" s="42"/>
      <c r="AK302" s="42"/>
    </row>
    <row r="303">
      <c r="A303" s="20"/>
      <c r="B303" s="20"/>
      <c r="C303" s="20"/>
      <c r="D303" s="20"/>
      <c r="E303" s="20"/>
      <c r="F303" s="21"/>
      <c r="G303" s="45"/>
      <c r="H303" s="20"/>
      <c r="I303" s="20"/>
      <c r="J303" s="20"/>
      <c r="K303" s="20"/>
      <c r="L303" s="21"/>
      <c r="M303" s="33" t="str">
        <f>IFERROR(__xludf.DUMMYFUNCTION("IFS(W303=""Achat"",IFERROR(VALUE(X303),VALUE(REGEXREPLACE(T(X303),""[^0-9]"",""""))),W303=""Vente"",-IFERROR(VALUE(X303),VALUE(REGEXREPLACE(T(X303),""[^0-9]"",""""))),Y303=""Change"",0,Y303&lt;&gt;""Change"","""")"),"")</f>
        <v/>
      </c>
      <c r="N303" s="34" t="str">
        <f>IFERROR(__xludf.DUMMYFUNCTION("IF(Account!$F303&lt;&gt;"""", VALUE(REGEXREPLACE($I303, ""\,"", ""."")), """")"),"")</f>
        <v/>
      </c>
      <c r="O303" s="35" t="str">
        <f>IF(Account!$F303&lt;&gt;"", DATEVALUE(MID($A303,4,3) &amp; LEFT($A303,3) &amp; RIGHT($A303,4)) + TIMEVALUE($B303), "")</f>
        <v/>
      </c>
      <c r="P303" s="36" t="str">
        <f>IF(Account!$F303&lt;&gt;"", DATEVALUE(MID($C303,4,3) &amp; LEFT($C303,3) &amp; RIGHT($C303,4)), "")</f>
        <v/>
      </c>
      <c r="Q303" s="37" t="str">
        <f t="array" ref="Q303">IF($R303&lt;&gt;"",IFERROR(INDEX(ISIN!$B:$B,MATCH($R303,ISIN!$C:$C,0))),)</f>
        <v/>
      </c>
      <c r="R303" s="38" t="str">
        <f t="array" ref="R303">IF($E303&lt;&gt;"",IFERROR(INDEX(ISIN!$C:$C,MATCH($E303,ISIN!$A:$A,0)),IFERROR(INDEX($R304:$R1200,MATCH($K303,$K304:$K1200,0)))),IF(AND($Y303="change",$H303="EUR"),IF($O303=$O304,$R304,IF($O303=$O302,$R302)),IFERROR(INDEX($R304:$R1200,MATCH(SUBSTITUTE($I303,"-","",1),$K304:$K1200,0)))))</f>
        <v/>
      </c>
      <c r="S303" s="37" t="str">
        <f t="shared" si="1"/>
        <v/>
      </c>
      <c r="T303" s="39" t="str">
        <f t="shared" si="2"/>
        <v/>
      </c>
      <c r="U303" s="40" t="str">
        <f t="shared" si="3"/>
        <v/>
      </c>
      <c r="V303" s="34" t="str">
        <f t="shared" si="4"/>
        <v/>
      </c>
      <c r="W303" s="41" t="str">
        <f>IFERROR(__xludf.DUMMYFUNCTION(" IF(Account!$F303&lt;&gt;"""", SPLIT(Account!$F303, "" ""), """")"),"")</f>
        <v/>
      </c>
      <c r="X303" s="42"/>
      <c r="Y303" s="42"/>
      <c r="Z303" s="42"/>
      <c r="AA303" s="42"/>
      <c r="AB303" s="42"/>
      <c r="AC303" s="42"/>
      <c r="AD303" s="42"/>
      <c r="AE303" s="42"/>
      <c r="AF303" s="42"/>
      <c r="AG303" s="42"/>
      <c r="AH303" s="42"/>
      <c r="AI303" s="42"/>
      <c r="AJ303" s="42"/>
      <c r="AK303" s="42"/>
    </row>
    <row r="304">
      <c r="A304" s="20"/>
      <c r="B304" s="20"/>
      <c r="C304" s="20"/>
      <c r="D304" s="20"/>
      <c r="E304" s="20"/>
      <c r="F304" s="21"/>
      <c r="G304" s="20"/>
      <c r="H304" s="20"/>
      <c r="I304" s="20"/>
      <c r="J304" s="20"/>
      <c r="K304" s="20"/>
      <c r="L304" s="21"/>
      <c r="M304" s="33" t="str">
        <f>IFERROR(__xludf.DUMMYFUNCTION("IFS(W304=""Achat"",IFERROR(VALUE(X304),VALUE(REGEXREPLACE(T(X304),""[^0-9]"",""""))),W304=""Vente"",-IFERROR(VALUE(X304),VALUE(REGEXREPLACE(T(X304),""[^0-9]"",""""))),Y304=""Change"",0,Y304&lt;&gt;""Change"","""")"),"")</f>
        <v/>
      </c>
      <c r="N304" s="34" t="str">
        <f>IFERROR(__xludf.DUMMYFUNCTION("IF(Account!$F304&lt;&gt;"""", VALUE(REGEXREPLACE($I304, ""\,"", ""."")), """")"),"")</f>
        <v/>
      </c>
      <c r="O304" s="35" t="str">
        <f>IF(Account!$F304&lt;&gt;"", DATEVALUE(MID($A304,4,3) &amp; LEFT($A304,3) &amp; RIGHT($A304,4)) + TIMEVALUE($B304), "")</f>
        <v/>
      </c>
      <c r="P304" s="36" t="str">
        <f>IF(Account!$F304&lt;&gt;"", DATEVALUE(MID($C304,4,3) &amp; LEFT($C304,3) &amp; RIGHT($C304,4)), "")</f>
        <v/>
      </c>
      <c r="Q304" s="37" t="str">
        <f t="array" ref="Q304">IF($R304&lt;&gt;"",IFERROR(INDEX(ISIN!$B:$B,MATCH($R304,ISIN!$C:$C,0))),)</f>
        <v/>
      </c>
      <c r="R304" s="38" t="str">
        <f t="array" ref="R304">IF($E304&lt;&gt;"",IFERROR(INDEX(ISIN!$C:$C,MATCH($E304,ISIN!$A:$A,0)),IFERROR(INDEX($R305:$R1200,MATCH($K304,$K305:$K1200,0)))),IF(AND($Y304="change",$H304="EUR"),IF($O304=$O305,$R305,IF($O304=$O303,$R303)),IFERROR(INDEX($R305:$R1200,MATCH(SUBSTITUTE($I304,"-","",1),$K305:$K1200,0)))))</f>
        <v/>
      </c>
      <c r="S304" s="37" t="str">
        <f t="shared" si="1"/>
        <v/>
      </c>
      <c r="T304" s="39" t="str">
        <f t="shared" si="2"/>
        <v/>
      </c>
      <c r="U304" s="40" t="str">
        <f t="shared" si="3"/>
        <v/>
      </c>
      <c r="V304" s="34" t="str">
        <f t="shared" si="4"/>
        <v/>
      </c>
      <c r="W304" s="41" t="str">
        <f>IFERROR(__xludf.DUMMYFUNCTION(" IF(Account!$F304&lt;&gt;"""", SPLIT(Account!$F304, "" ""), """")"),"")</f>
        <v/>
      </c>
      <c r="X304" s="42"/>
      <c r="Y304" s="42"/>
      <c r="Z304" s="42"/>
      <c r="AA304" s="42"/>
      <c r="AB304" s="42"/>
      <c r="AC304" s="42"/>
      <c r="AD304" s="42"/>
      <c r="AE304" s="42"/>
      <c r="AF304" s="42"/>
      <c r="AG304" s="42"/>
      <c r="AH304" s="42"/>
      <c r="AI304" s="42"/>
      <c r="AJ304" s="42"/>
      <c r="AK304" s="42"/>
    </row>
    <row r="305">
      <c r="A305" s="20"/>
      <c r="B305" s="20"/>
      <c r="C305" s="20"/>
      <c r="D305" s="20"/>
      <c r="E305" s="20"/>
      <c r="F305" s="21"/>
      <c r="G305" s="45"/>
      <c r="H305" s="20"/>
      <c r="I305" s="20"/>
      <c r="J305" s="20"/>
      <c r="K305" s="20"/>
      <c r="L305" s="21"/>
      <c r="M305" s="33" t="str">
        <f>IFERROR(__xludf.DUMMYFUNCTION("IFS(W305=""Achat"",IFERROR(VALUE(X305),VALUE(REGEXREPLACE(T(X305),""[^0-9]"",""""))),W305=""Vente"",-IFERROR(VALUE(X305),VALUE(REGEXREPLACE(T(X305),""[^0-9]"",""""))),Y305=""Change"",0,Y305&lt;&gt;""Change"","""")"),"")</f>
        <v/>
      </c>
      <c r="N305" s="34" t="str">
        <f>IFERROR(__xludf.DUMMYFUNCTION("IF(Account!$F305&lt;&gt;"""", VALUE(REGEXREPLACE($I305, ""\,"", ""."")), """")"),"")</f>
        <v/>
      </c>
      <c r="O305" s="35" t="str">
        <f>IF(Account!$F305&lt;&gt;"", DATEVALUE(MID($A305,4,3) &amp; LEFT($A305,3) &amp; RIGHT($A305,4)) + TIMEVALUE($B305), "")</f>
        <v/>
      </c>
      <c r="P305" s="36" t="str">
        <f>IF(Account!$F305&lt;&gt;"", DATEVALUE(MID($C305,4,3) &amp; LEFT($C305,3) &amp; RIGHT($C305,4)), "")</f>
        <v/>
      </c>
      <c r="Q305" s="37" t="str">
        <f t="array" ref="Q305">IF($R305&lt;&gt;"",IFERROR(INDEX(ISIN!$B:$B,MATCH($R305,ISIN!$C:$C,0))),)</f>
        <v/>
      </c>
      <c r="R305" s="38" t="str">
        <f t="array" ref="R305">IF($E305&lt;&gt;"",IFERROR(INDEX(ISIN!$C:$C,MATCH($E305,ISIN!$A:$A,0)),IFERROR(INDEX($R306:$R1200,MATCH($K305,$K306:$K1200,0)))),IF(AND($Y305="change",$H305="EUR"),IF($O305=$O306,$R306,IF($O305=$O304,$R304)),IFERROR(INDEX($R306:$R1200,MATCH(SUBSTITUTE($I305,"-","",1),$K306:$K1200,0)))))</f>
        <v/>
      </c>
      <c r="S305" s="37" t="str">
        <f t="shared" si="1"/>
        <v/>
      </c>
      <c r="T305" s="39" t="str">
        <f t="shared" si="2"/>
        <v/>
      </c>
      <c r="U305" s="40" t="str">
        <f t="shared" si="3"/>
        <v/>
      </c>
      <c r="V305" s="34" t="str">
        <f t="shared" si="4"/>
        <v/>
      </c>
      <c r="W305" s="41" t="str">
        <f>IFERROR(__xludf.DUMMYFUNCTION(" IF(Account!$F305&lt;&gt;"""", SPLIT(Account!$F305, "" ""), """")"),"")</f>
        <v/>
      </c>
      <c r="X305" s="42"/>
      <c r="Y305" s="42"/>
      <c r="Z305" s="42"/>
      <c r="AA305" s="42"/>
      <c r="AB305" s="42"/>
      <c r="AC305" s="42"/>
      <c r="AD305" s="42"/>
      <c r="AE305" s="42"/>
      <c r="AF305" s="42"/>
      <c r="AG305" s="42"/>
      <c r="AH305" s="42"/>
      <c r="AI305" s="42"/>
      <c r="AJ305" s="42"/>
      <c r="AK305" s="42"/>
    </row>
    <row r="306">
      <c r="A306" s="20"/>
      <c r="B306" s="20"/>
      <c r="C306" s="20"/>
      <c r="D306" s="20"/>
      <c r="E306" s="20"/>
      <c r="F306" s="21"/>
      <c r="G306" s="20"/>
      <c r="H306" s="20"/>
      <c r="I306" s="20"/>
      <c r="J306" s="20"/>
      <c r="K306" s="20"/>
      <c r="L306" s="21"/>
      <c r="M306" s="33" t="str">
        <f>IFERROR(__xludf.DUMMYFUNCTION("IFS(W306=""Achat"",IFERROR(VALUE(X306),VALUE(REGEXREPLACE(T(X306),""[^0-9]"",""""))),W306=""Vente"",-IFERROR(VALUE(X306),VALUE(REGEXREPLACE(T(X306),""[^0-9]"",""""))),Y306=""Change"",0,Y306&lt;&gt;""Change"","""")"),"")</f>
        <v/>
      </c>
      <c r="N306" s="34" t="str">
        <f>IFERROR(__xludf.DUMMYFUNCTION("IF(Account!$F306&lt;&gt;"""", VALUE(REGEXREPLACE($I306, ""\,"", ""."")), """")"),"")</f>
        <v/>
      </c>
      <c r="O306" s="35" t="str">
        <f>IF(Account!$F306&lt;&gt;"", DATEVALUE(MID($A306,4,3) &amp; LEFT($A306,3) &amp; RIGHT($A306,4)) + TIMEVALUE($B306), "")</f>
        <v/>
      </c>
      <c r="P306" s="36" t="str">
        <f>IF(Account!$F306&lt;&gt;"", DATEVALUE(MID($C306,4,3) &amp; LEFT($C306,3) &amp; RIGHT($C306,4)), "")</f>
        <v/>
      </c>
      <c r="Q306" s="37" t="str">
        <f t="array" ref="Q306">IF($R306&lt;&gt;"",IFERROR(INDEX(ISIN!$B:$B,MATCH($R306,ISIN!$C:$C,0))),)</f>
        <v/>
      </c>
      <c r="R306" s="38" t="str">
        <f t="array" ref="R306">IF($E306&lt;&gt;"",IFERROR(INDEX(ISIN!$C:$C,MATCH($E306,ISIN!$A:$A,0)),IFERROR(INDEX($R307:$R1200,MATCH($K306,$K307:$K1200,0)))),IF(AND($Y306="change",$H306="EUR"),IF($O306=$O307,$R307,IF($O306=$O305,$R305)),IFERROR(INDEX($R307:$R1200,MATCH(SUBSTITUTE($I306,"-","",1),$K307:$K1200,0)))))</f>
        <v/>
      </c>
      <c r="S306" s="37" t="str">
        <f t="shared" si="1"/>
        <v/>
      </c>
      <c r="T306" s="39" t="str">
        <f t="shared" si="2"/>
        <v/>
      </c>
      <c r="U306" s="40" t="str">
        <f t="shared" si="3"/>
        <v/>
      </c>
      <c r="V306" s="34" t="str">
        <f t="shared" si="4"/>
        <v/>
      </c>
      <c r="W306" s="41" t="str">
        <f>IFERROR(__xludf.DUMMYFUNCTION(" IF(Account!$F306&lt;&gt;"""", SPLIT(Account!$F306, "" ""), """")"),"")</f>
        <v/>
      </c>
      <c r="X306" s="42"/>
      <c r="Y306" s="42"/>
      <c r="Z306" s="42"/>
      <c r="AA306" s="42"/>
      <c r="AB306" s="42"/>
      <c r="AC306" s="42"/>
      <c r="AD306" s="42"/>
      <c r="AE306" s="42"/>
      <c r="AF306" s="42"/>
      <c r="AG306" s="42"/>
      <c r="AH306" s="42"/>
      <c r="AI306" s="42"/>
      <c r="AJ306" s="42"/>
      <c r="AK306" s="42"/>
    </row>
    <row r="307">
      <c r="A307" s="20"/>
      <c r="B307" s="20"/>
      <c r="C307" s="20"/>
      <c r="D307" s="20"/>
      <c r="E307" s="20"/>
      <c r="F307" s="21"/>
      <c r="G307" s="20"/>
      <c r="H307" s="20"/>
      <c r="I307" s="20"/>
      <c r="J307" s="20"/>
      <c r="K307" s="20"/>
      <c r="L307" s="21"/>
      <c r="M307" s="33" t="str">
        <f>IFERROR(__xludf.DUMMYFUNCTION("IFS(W307=""Achat"",IFERROR(VALUE(X307),VALUE(REGEXREPLACE(T(X307),""[^0-9]"",""""))),W307=""Vente"",-IFERROR(VALUE(X307),VALUE(REGEXREPLACE(T(X307),""[^0-9]"",""""))),Y307=""Change"",0,Y307&lt;&gt;""Change"","""")"),"")</f>
        <v/>
      </c>
      <c r="N307" s="34" t="str">
        <f>IFERROR(__xludf.DUMMYFUNCTION("IF(Account!$F307&lt;&gt;"""", VALUE(REGEXREPLACE($I307, ""\,"", ""."")), """")"),"")</f>
        <v/>
      </c>
      <c r="O307" s="35" t="str">
        <f>IF(Account!$F307&lt;&gt;"", DATEVALUE(MID($A307,4,3) &amp; LEFT($A307,3) &amp; RIGHT($A307,4)) + TIMEVALUE($B307), "")</f>
        <v/>
      </c>
      <c r="P307" s="36" t="str">
        <f>IF(Account!$F307&lt;&gt;"", DATEVALUE(MID($C307,4,3) &amp; LEFT($C307,3) &amp; RIGHT($C307,4)), "")</f>
        <v/>
      </c>
      <c r="Q307" s="37" t="str">
        <f t="array" ref="Q307">IF($R307&lt;&gt;"",IFERROR(INDEX(ISIN!$B:$B,MATCH($R307,ISIN!$C:$C,0))),)</f>
        <v/>
      </c>
      <c r="R307" s="38" t="str">
        <f t="array" ref="R307">IF($E307&lt;&gt;"",IFERROR(INDEX(ISIN!$C:$C,MATCH($E307,ISIN!$A:$A,0)),IFERROR(INDEX($R308:$R1200,MATCH($K307,$K308:$K1200,0)))),IF(AND($Y307="change",$H307="EUR"),IF($O307=$O308,$R308,IF($O307=$O306,$R306)),IFERROR(INDEX($R308:$R1200,MATCH(SUBSTITUTE($I307,"-","",1),$K308:$K1200,0)))))</f>
        <v/>
      </c>
      <c r="S307" s="37" t="str">
        <f t="shared" si="1"/>
        <v/>
      </c>
      <c r="T307" s="39" t="str">
        <f t="shared" si="2"/>
        <v/>
      </c>
      <c r="U307" s="40" t="str">
        <f t="shared" si="3"/>
        <v/>
      </c>
      <c r="V307" s="34" t="str">
        <f t="shared" si="4"/>
        <v/>
      </c>
      <c r="W307" s="41" t="str">
        <f>IFERROR(__xludf.DUMMYFUNCTION(" IF(Account!$F307&lt;&gt;"""", SPLIT(Account!$F307, "" ""), """")"),"")</f>
        <v/>
      </c>
      <c r="X307" s="42"/>
      <c r="Y307" s="42"/>
      <c r="Z307" s="42"/>
      <c r="AA307" s="42"/>
      <c r="AB307" s="42"/>
      <c r="AC307" s="42"/>
      <c r="AD307" s="42"/>
      <c r="AE307" s="42"/>
      <c r="AF307" s="42"/>
      <c r="AG307" s="42"/>
      <c r="AH307" s="42"/>
      <c r="AI307" s="42"/>
      <c r="AJ307" s="42"/>
      <c r="AK307" s="42"/>
    </row>
    <row r="308">
      <c r="A308" s="20"/>
      <c r="B308" s="20"/>
      <c r="C308" s="20"/>
      <c r="D308" s="20"/>
      <c r="E308" s="20"/>
      <c r="F308" s="21"/>
      <c r="G308" s="20"/>
      <c r="H308" s="20"/>
      <c r="I308" s="20"/>
      <c r="J308" s="20"/>
      <c r="K308" s="20"/>
      <c r="L308" s="21"/>
      <c r="M308" s="33" t="str">
        <f>IFERROR(__xludf.DUMMYFUNCTION("IFS(W308=""Achat"",IFERROR(VALUE(X308),VALUE(REGEXREPLACE(T(X308),""[^0-9]"",""""))),W308=""Vente"",-IFERROR(VALUE(X308),VALUE(REGEXREPLACE(T(X308),""[^0-9]"",""""))),Y308=""Change"",0,Y308&lt;&gt;""Change"","""")"),"")</f>
        <v/>
      </c>
      <c r="N308" s="34" t="str">
        <f>IFERROR(__xludf.DUMMYFUNCTION("IF(Account!$F308&lt;&gt;"""", VALUE(REGEXREPLACE($I308, ""\,"", ""."")), """")"),"")</f>
        <v/>
      </c>
      <c r="O308" s="35" t="str">
        <f>IF(Account!$F308&lt;&gt;"", DATEVALUE(MID($A308,4,3) &amp; LEFT($A308,3) &amp; RIGHT($A308,4)) + TIMEVALUE($B308), "")</f>
        <v/>
      </c>
      <c r="P308" s="36" t="str">
        <f>IF(Account!$F308&lt;&gt;"", DATEVALUE(MID($C308,4,3) &amp; LEFT($C308,3) &amp; RIGHT($C308,4)), "")</f>
        <v/>
      </c>
      <c r="Q308" s="37" t="str">
        <f t="array" ref="Q308">IF($R308&lt;&gt;"",IFERROR(INDEX(ISIN!$B:$B,MATCH($R308,ISIN!$C:$C,0))),)</f>
        <v/>
      </c>
      <c r="R308" s="38" t="str">
        <f t="array" ref="R308">IF($E308&lt;&gt;"",IFERROR(INDEX(ISIN!$C:$C,MATCH($E308,ISIN!$A:$A,0)),IFERROR(INDEX($R309:$R1200,MATCH($K308,$K309:$K1200,0)))),IF(AND($Y308="change",$H308="EUR"),IF($O308=$O309,$R309,IF($O308=$O307,$R307)),IFERROR(INDEX($R309:$R1200,MATCH(SUBSTITUTE($I308,"-","",1),$K309:$K1200,0)))))</f>
        <v/>
      </c>
      <c r="S308" s="37" t="str">
        <f t="shared" si="1"/>
        <v/>
      </c>
      <c r="T308" s="39" t="str">
        <f t="shared" si="2"/>
        <v/>
      </c>
      <c r="U308" s="40" t="str">
        <f t="shared" si="3"/>
        <v/>
      </c>
      <c r="V308" s="34" t="str">
        <f t="shared" si="4"/>
        <v/>
      </c>
      <c r="W308" s="41" t="str">
        <f>IFERROR(__xludf.DUMMYFUNCTION(" IF(Account!$F308&lt;&gt;"""", SPLIT(Account!$F308, "" ""), """")"),"")</f>
        <v/>
      </c>
      <c r="X308" s="42"/>
      <c r="Y308" s="42"/>
      <c r="Z308" s="42"/>
      <c r="AA308" s="42"/>
      <c r="AB308" s="42"/>
      <c r="AC308" s="42"/>
      <c r="AD308" s="42"/>
      <c r="AE308" s="42"/>
      <c r="AF308" s="42"/>
      <c r="AG308" s="42"/>
      <c r="AH308" s="42"/>
      <c r="AI308" s="42"/>
      <c r="AJ308" s="42"/>
      <c r="AK308" s="42"/>
    </row>
    <row r="309">
      <c r="A309" s="20"/>
      <c r="B309" s="20"/>
      <c r="C309" s="20"/>
      <c r="D309" s="20"/>
      <c r="E309" s="20"/>
      <c r="F309" s="21"/>
      <c r="G309" s="45"/>
      <c r="H309" s="20"/>
      <c r="I309" s="20"/>
      <c r="J309" s="20"/>
      <c r="K309" s="20"/>
      <c r="L309" s="21"/>
      <c r="M309" s="33" t="str">
        <f>IFERROR(__xludf.DUMMYFUNCTION("IFS(W309=""Achat"",IFERROR(VALUE(X309),VALUE(REGEXREPLACE(T(X309),""[^0-9]"",""""))),W309=""Vente"",-IFERROR(VALUE(X309),VALUE(REGEXREPLACE(T(X309),""[^0-9]"",""""))),Y309=""Change"",0,Y309&lt;&gt;""Change"","""")"),"")</f>
        <v/>
      </c>
      <c r="N309" s="34" t="str">
        <f>IFERROR(__xludf.DUMMYFUNCTION("IF(Account!$F309&lt;&gt;"""", VALUE(REGEXREPLACE($I309, ""\,"", ""."")), """")"),"")</f>
        <v/>
      </c>
      <c r="O309" s="35" t="str">
        <f>IF(Account!$F309&lt;&gt;"", DATEVALUE(MID($A309,4,3) &amp; LEFT($A309,3) &amp; RIGHT($A309,4)) + TIMEVALUE($B309), "")</f>
        <v/>
      </c>
      <c r="P309" s="36" t="str">
        <f>IF(Account!$F309&lt;&gt;"", DATEVALUE(MID($C309,4,3) &amp; LEFT($C309,3) &amp; RIGHT($C309,4)), "")</f>
        <v/>
      </c>
      <c r="Q309" s="37" t="str">
        <f t="array" ref="Q309">IF($R309&lt;&gt;"",IFERROR(INDEX(ISIN!$B:$B,MATCH($R309,ISIN!$C:$C,0))),)</f>
        <v/>
      </c>
      <c r="R309" s="38" t="str">
        <f t="array" ref="R309">IF($E309&lt;&gt;"",IFERROR(INDEX(ISIN!$C:$C,MATCH($E309,ISIN!$A:$A,0)),IFERROR(INDEX($R310:$R1200,MATCH($K309,$K310:$K1200,0)))),IF(AND($Y309="change",$H309="EUR"),IF($O309=$O310,$R310,IF($O309=$O308,$R308)),IFERROR(INDEX($R310:$R1200,MATCH(SUBSTITUTE($I309,"-","",1),$K310:$K1200,0)))))</f>
        <v/>
      </c>
      <c r="S309" s="37" t="str">
        <f t="shared" si="1"/>
        <v/>
      </c>
      <c r="T309" s="39" t="str">
        <f t="shared" si="2"/>
        <v/>
      </c>
      <c r="U309" s="40" t="str">
        <f t="shared" si="3"/>
        <v/>
      </c>
      <c r="V309" s="34" t="str">
        <f t="shared" si="4"/>
        <v/>
      </c>
      <c r="W309" s="41" t="str">
        <f>IFERROR(__xludf.DUMMYFUNCTION(" IF(Account!$F309&lt;&gt;"""", SPLIT(Account!$F309, "" ""), """")"),"")</f>
        <v/>
      </c>
      <c r="X309" s="42"/>
      <c r="Y309" s="42"/>
      <c r="Z309" s="42"/>
      <c r="AA309" s="42"/>
      <c r="AB309" s="42"/>
      <c r="AC309" s="42"/>
      <c r="AD309" s="42"/>
      <c r="AE309" s="42"/>
      <c r="AF309" s="42"/>
      <c r="AG309" s="42"/>
      <c r="AH309" s="42"/>
      <c r="AI309" s="42"/>
      <c r="AJ309" s="42"/>
      <c r="AK309" s="42"/>
    </row>
    <row r="310">
      <c r="A310" s="20"/>
      <c r="B310" s="20"/>
      <c r="C310" s="20"/>
      <c r="D310" s="20"/>
      <c r="E310" s="20"/>
      <c r="F310" s="21"/>
      <c r="G310" s="20"/>
      <c r="H310" s="20"/>
      <c r="I310" s="20"/>
      <c r="J310" s="20"/>
      <c r="K310" s="20"/>
      <c r="L310" s="21"/>
      <c r="M310" s="33" t="str">
        <f>IFERROR(__xludf.DUMMYFUNCTION("IFS(W310=""Achat"",IFERROR(VALUE(X310),VALUE(REGEXREPLACE(T(X310),""[^0-9]"",""""))),W310=""Vente"",-IFERROR(VALUE(X310),VALUE(REGEXREPLACE(T(X310),""[^0-9]"",""""))),Y310=""Change"",0,Y310&lt;&gt;""Change"","""")"),"")</f>
        <v/>
      </c>
      <c r="N310" s="34" t="str">
        <f>IFERROR(__xludf.DUMMYFUNCTION("IF(Account!$F310&lt;&gt;"""", VALUE(REGEXREPLACE($I310, ""\,"", ""."")), """")"),"")</f>
        <v/>
      </c>
      <c r="O310" s="35" t="str">
        <f>IF(Account!$F310&lt;&gt;"", DATEVALUE(MID($A310,4,3) &amp; LEFT($A310,3) &amp; RIGHT($A310,4)) + TIMEVALUE($B310), "")</f>
        <v/>
      </c>
      <c r="P310" s="36" t="str">
        <f>IF(Account!$F310&lt;&gt;"", DATEVALUE(MID($C310,4,3) &amp; LEFT($C310,3) &amp; RIGHT($C310,4)), "")</f>
        <v/>
      </c>
      <c r="Q310" s="37" t="str">
        <f t="array" ref="Q310">IF($R310&lt;&gt;"",IFERROR(INDEX(ISIN!$B:$B,MATCH($R310,ISIN!$C:$C,0))),)</f>
        <v/>
      </c>
      <c r="R310" s="38" t="str">
        <f t="array" ref="R310">IF($E310&lt;&gt;"",IFERROR(INDEX(ISIN!$C:$C,MATCH($E310,ISIN!$A:$A,0)),IFERROR(INDEX($R311:$R1200,MATCH($K310,$K311:$K1200,0)))),IF(AND($Y310="change",$H310="EUR"),IF($O310=$O311,$R311,IF($O310=$O309,$R309)),IFERROR(INDEX($R311:$R1200,MATCH(SUBSTITUTE($I310,"-","",1),$K311:$K1200,0)))))</f>
        <v/>
      </c>
      <c r="S310" s="37" t="str">
        <f t="shared" si="1"/>
        <v/>
      </c>
      <c r="T310" s="39" t="str">
        <f t="shared" si="2"/>
        <v/>
      </c>
      <c r="U310" s="40" t="str">
        <f t="shared" si="3"/>
        <v/>
      </c>
      <c r="V310" s="34" t="str">
        <f t="shared" si="4"/>
        <v/>
      </c>
      <c r="W310" s="41" t="str">
        <f>IFERROR(__xludf.DUMMYFUNCTION(" IF(Account!$F310&lt;&gt;"""", SPLIT(Account!$F310, "" ""), """")"),"")</f>
        <v/>
      </c>
      <c r="X310" s="42"/>
      <c r="Y310" s="42"/>
      <c r="Z310" s="42"/>
      <c r="AA310" s="42"/>
      <c r="AB310" s="42"/>
      <c r="AC310" s="42"/>
      <c r="AD310" s="42"/>
      <c r="AE310" s="42"/>
      <c r="AF310" s="42"/>
      <c r="AG310" s="42"/>
      <c r="AH310" s="42"/>
      <c r="AI310" s="42"/>
      <c r="AJ310" s="42"/>
      <c r="AK310" s="42"/>
    </row>
    <row r="311">
      <c r="A311" s="20"/>
      <c r="B311" s="20"/>
      <c r="C311" s="20"/>
      <c r="D311" s="20"/>
      <c r="E311" s="20"/>
      <c r="F311" s="21"/>
      <c r="G311" s="20"/>
      <c r="H311" s="20"/>
      <c r="I311" s="20"/>
      <c r="J311" s="20"/>
      <c r="K311" s="20"/>
      <c r="L311" s="21"/>
      <c r="M311" s="33" t="str">
        <f>IFERROR(__xludf.DUMMYFUNCTION("IFS(W311=""Achat"",IFERROR(VALUE(X311),VALUE(REGEXREPLACE(T(X311),""[^0-9]"",""""))),W311=""Vente"",-IFERROR(VALUE(X311),VALUE(REGEXREPLACE(T(X311),""[^0-9]"",""""))),Y311=""Change"",0,Y311&lt;&gt;""Change"","""")"),"")</f>
        <v/>
      </c>
      <c r="N311" s="34" t="str">
        <f>IFERROR(__xludf.DUMMYFUNCTION("IF(Account!$F311&lt;&gt;"""", VALUE(REGEXREPLACE($I311, ""\,"", ""."")), """")"),"")</f>
        <v/>
      </c>
      <c r="O311" s="35" t="str">
        <f>IF(Account!$F311&lt;&gt;"", DATEVALUE(MID($A311,4,3) &amp; LEFT($A311,3) &amp; RIGHT($A311,4)) + TIMEVALUE($B311), "")</f>
        <v/>
      </c>
      <c r="P311" s="36" t="str">
        <f>IF(Account!$F311&lt;&gt;"", DATEVALUE(MID($C311,4,3) &amp; LEFT($C311,3) &amp; RIGHT($C311,4)), "")</f>
        <v/>
      </c>
      <c r="Q311" s="37" t="str">
        <f t="array" ref="Q311">IF($R311&lt;&gt;"",IFERROR(INDEX(ISIN!$B:$B,MATCH($R311,ISIN!$C:$C,0))),)</f>
        <v/>
      </c>
      <c r="R311" s="38" t="str">
        <f t="array" ref="R311">IF($E311&lt;&gt;"",IFERROR(INDEX(ISIN!$C:$C,MATCH($E311,ISIN!$A:$A,0)),IFERROR(INDEX($R312:$R1200,MATCH($K311,$K312:$K1200,0)))),IF(AND($Y311="change",$H311="EUR"),IF($O311=$O312,$R312,IF($O311=$O310,$R310)),IFERROR(INDEX($R312:$R1200,MATCH(SUBSTITUTE($I311,"-","",1),$K312:$K1200,0)))))</f>
        <v/>
      </c>
      <c r="S311" s="37" t="str">
        <f t="shared" si="1"/>
        <v/>
      </c>
      <c r="T311" s="39" t="str">
        <f t="shared" si="2"/>
        <v/>
      </c>
      <c r="U311" s="40" t="str">
        <f t="shared" si="3"/>
        <v/>
      </c>
      <c r="V311" s="34" t="str">
        <f t="shared" si="4"/>
        <v/>
      </c>
      <c r="W311" s="41" t="str">
        <f>IFERROR(__xludf.DUMMYFUNCTION(" IF(Account!$F311&lt;&gt;"""", SPLIT(Account!$F311, "" ""), """")"),"")</f>
        <v/>
      </c>
      <c r="X311" s="42"/>
      <c r="Y311" s="42"/>
      <c r="Z311" s="42"/>
      <c r="AA311" s="42"/>
      <c r="AB311" s="42"/>
      <c r="AC311" s="42"/>
      <c r="AD311" s="42"/>
      <c r="AE311" s="42"/>
      <c r="AF311" s="42"/>
      <c r="AG311" s="42"/>
      <c r="AH311" s="42"/>
      <c r="AI311" s="42"/>
      <c r="AJ311" s="42"/>
      <c r="AK311" s="42"/>
    </row>
    <row r="312">
      <c r="A312" s="20"/>
      <c r="B312" s="20"/>
      <c r="C312" s="20"/>
      <c r="D312" s="20"/>
      <c r="E312" s="20"/>
      <c r="F312" s="21"/>
      <c r="G312" s="45"/>
      <c r="H312" s="20"/>
      <c r="I312" s="20"/>
      <c r="J312" s="20"/>
      <c r="K312" s="20"/>
      <c r="L312" s="21"/>
      <c r="M312" s="33" t="str">
        <f>IFERROR(__xludf.DUMMYFUNCTION("IFS(W312=""Achat"",IFERROR(VALUE(X312),VALUE(REGEXREPLACE(T(X312),""[^0-9]"",""""))),W312=""Vente"",-IFERROR(VALUE(X312),VALUE(REGEXREPLACE(T(X312),""[^0-9]"",""""))),Y312=""Change"",0,Y312&lt;&gt;""Change"","""")"),"")</f>
        <v/>
      </c>
      <c r="N312" s="34" t="str">
        <f>IFERROR(__xludf.DUMMYFUNCTION("IF(Account!$F312&lt;&gt;"""", VALUE(REGEXREPLACE($I312, ""\,"", ""."")), """")"),"")</f>
        <v/>
      </c>
      <c r="O312" s="35" t="str">
        <f>IF(Account!$F312&lt;&gt;"", DATEVALUE(MID($A312,4,3) &amp; LEFT($A312,3) &amp; RIGHT($A312,4)) + TIMEVALUE($B312), "")</f>
        <v/>
      </c>
      <c r="P312" s="36" t="str">
        <f>IF(Account!$F312&lt;&gt;"", DATEVALUE(MID($C312,4,3) &amp; LEFT($C312,3) &amp; RIGHT($C312,4)), "")</f>
        <v/>
      </c>
      <c r="Q312" s="37" t="str">
        <f t="array" ref="Q312">IF($R312&lt;&gt;"",IFERROR(INDEX(ISIN!$B:$B,MATCH($R312,ISIN!$C:$C,0))),)</f>
        <v/>
      </c>
      <c r="R312" s="38" t="str">
        <f t="array" ref="R312">IF($E312&lt;&gt;"",IFERROR(INDEX(ISIN!$C:$C,MATCH($E312,ISIN!$A:$A,0)),IFERROR(INDEX($R313:$R1200,MATCH($K312,$K313:$K1200,0)))),IF(AND($Y312="change",$H312="EUR"),IF($O312=$O313,$R313,IF($O312=$O311,$R311)),IFERROR(INDEX($R313:$R1200,MATCH(SUBSTITUTE($I312,"-","",1),$K313:$K1200,0)))))</f>
        <v/>
      </c>
      <c r="S312" s="37" t="str">
        <f t="shared" si="1"/>
        <v/>
      </c>
      <c r="T312" s="39" t="str">
        <f t="shared" si="2"/>
        <v/>
      </c>
      <c r="U312" s="40" t="str">
        <f t="shared" si="3"/>
        <v/>
      </c>
      <c r="V312" s="34" t="str">
        <f t="shared" si="4"/>
        <v/>
      </c>
      <c r="W312" s="41" t="str">
        <f>IFERROR(__xludf.DUMMYFUNCTION(" IF(Account!$F312&lt;&gt;"""", SPLIT(Account!$F312, "" ""), """")"),"")</f>
        <v/>
      </c>
      <c r="X312" s="42"/>
      <c r="Y312" s="42"/>
      <c r="Z312" s="42"/>
      <c r="AA312" s="42"/>
      <c r="AB312" s="42"/>
      <c r="AC312" s="42"/>
      <c r="AD312" s="42"/>
      <c r="AE312" s="42"/>
      <c r="AF312" s="42"/>
      <c r="AG312" s="42"/>
      <c r="AH312" s="42"/>
      <c r="AI312" s="42"/>
      <c r="AJ312" s="42"/>
      <c r="AK312" s="42"/>
    </row>
    <row r="313">
      <c r="A313" s="20"/>
      <c r="B313" s="20"/>
      <c r="C313" s="20"/>
      <c r="D313" s="20"/>
      <c r="E313" s="20"/>
      <c r="F313" s="21"/>
      <c r="G313" s="45"/>
      <c r="H313" s="20"/>
      <c r="I313" s="20"/>
      <c r="J313" s="20"/>
      <c r="K313" s="20"/>
      <c r="L313" s="21"/>
      <c r="M313" s="33" t="str">
        <f>IFERROR(__xludf.DUMMYFUNCTION("IFS(W313=""Achat"",IFERROR(VALUE(X313),VALUE(REGEXREPLACE(T(X313),""[^0-9]"",""""))),W313=""Vente"",-IFERROR(VALUE(X313),VALUE(REGEXREPLACE(T(X313),""[^0-9]"",""""))),Y313=""Change"",0,Y313&lt;&gt;""Change"","""")"),"")</f>
        <v/>
      </c>
      <c r="N313" s="34" t="str">
        <f>IFERROR(__xludf.DUMMYFUNCTION("IF(Account!$F313&lt;&gt;"""", VALUE(REGEXREPLACE($I313, ""\,"", ""."")), """")"),"")</f>
        <v/>
      </c>
      <c r="O313" s="35" t="str">
        <f>IF(Account!$F313&lt;&gt;"", DATEVALUE(MID($A313,4,3) &amp; LEFT($A313,3) &amp; RIGHT($A313,4)) + TIMEVALUE($B313), "")</f>
        <v/>
      </c>
      <c r="P313" s="36" t="str">
        <f>IF(Account!$F313&lt;&gt;"", DATEVALUE(MID($C313,4,3) &amp; LEFT($C313,3) &amp; RIGHT($C313,4)), "")</f>
        <v/>
      </c>
      <c r="Q313" s="37" t="str">
        <f t="array" ref="Q313">IF($R313&lt;&gt;"",IFERROR(INDEX(ISIN!$B:$B,MATCH($R313,ISIN!$C:$C,0))),)</f>
        <v/>
      </c>
      <c r="R313" s="38" t="str">
        <f t="array" ref="R313">IF($E313&lt;&gt;"",IFERROR(INDEX(ISIN!$C:$C,MATCH($E313,ISIN!$A:$A,0)),IFERROR(INDEX($R314:$R1200,MATCH($K313,$K314:$K1200,0)))),IF(AND($Y313="change",$H313="EUR"),IF($O313=$O314,$R314,IF($O313=$O312,$R312)),IFERROR(INDEX($R314:$R1200,MATCH(SUBSTITUTE($I313,"-","",1),$K314:$K1200,0)))))</f>
        <v/>
      </c>
      <c r="S313" s="37" t="str">
        <f t="shared" si="1"/>
        <v/>
      </c>
      <c r="T313" s="39" t="str">
        <f t="shared" si="2"/>
        <v/>
      </c>
      <c r="U313" s="40" t="str">
        <f t="shared" si="3"/>
        <v/>
      </c>
      <c r="V313" s="34" t="str">
        <f t="shared" si="4"/>
        <v/>
      </c>
      <c r="W313" s="41" t="str">
        <f>IFERROR(__xludf.DUMMYFUNCTION(" IF(Account!$F313&lt;&gt;"""", SPLIT(Account!$F313, "" ""), """")"),"")</f>
        <v/>
      </c>
      <c r="X313" s="42"/>
      <c r="Y313" s="42"/>
      <c r="Z313" s="42"/>
      <c r="AA313" s="42"/>
      <c r="AB313" s="42"/>
      <c r="AC313" s="42"/>
      <c r="AD313" s="42"/>
      <c r="AE313" s="42"/>
      <c r="AF313" s="42"/>
      <c r="AG313" s="42"/>
      <c r="AH313" s="42"/>
      <c r="AI313" s="42"/>
      <c r="AJ313" s="42"/>
      <c r="AK313" s="42"/>
    </row>
    <row r="314">
      <c r="A314" s="20"/>
      <c r="B314" s="20"/>
      <c r="C314" s="20"/>
      <c r="D314" s="20"/>
      <c r="E314" s="20"/>
      <c r="F314" s="21"/>
      <c r="G314" s="45"/>
      <c r="H314" s="20"/>
      <c r="I314" s="20"/>
      <c r="J314" s="20"/>
      <c r="K314" s="20"/>
      <c r="L314" s="21"/>
      <c r="M314" s="33" t="str">
        <f>IFERROR(__xludf.DUMMYFUNCTION("IFS(W314=""Achat"",IFERROR(VALUE(X314),VALUE(REGEXREPLACE(T(X314),""[^0-9]"",""""))),W314=""Vente"",-IFERROR(VALUE(X314),VALUE(REGEXREPLACE(T(X314),""[^0-9]"",""""))),Y314=""Change"",0,Y314&lt;&gt;""Change"","""")"),"")</f>
        <v/>
      </c>
      <c r="N314" s="34" t="str">
        <f>IFERROR(__xludf.DUMMYFUNCTION("IF(Account!$F314&lt;&gt;"""", VALUE(REGEXREPLACE($I314, ""\,"", ""."")), """")"),"")</f>
        <v/>
      </c>
      <c r="O314" s="35" t="str">
        <f>IF(Account!$F314&lt;&gt;"", DATEVALUE(MID($A314,4,3) &amp; LEFT($A314,3) &amp; RIGHT($A314,4)) + TIMEVALUE($B314), "")</f>
        <v/>
      </c>
      <c r="P314" s="36" t="str">
        <f>IF(Account!$F314&lt;&gt;"", DATEVALUE(MID($C314,4,3) &amp; LEFT($C314,3) &amp; RIGHT($C314,4)), "")</f>
        <v/>
      </c>
      <c r="Q314" s="37" t="str">
        <f t="array" ref="Q314">IF($R314&lt;&gt;"",IFERROR(INDEX(ISIN!$B:$B,MATCH($R314,ISIN!$C:$C,0))),)</f>
        <v/>
      </c>
      <c r="R314" s="38" t="str">
        <f t="array" ref="R314">IF($E314&lt;&gt;"",IFERROR(INDEX(ISIN!$C:$C,MATCH($E314,ISIN!$A:$A,0)),IFERROR(INDEX($R315:$R1200,MATCH($K314,$K315:$K1200,0)))),IF(AND($Y314="change",$H314="EUR"),IF($O314=$O315,$R315,IF($O314=$O313,$R313)),IFERROR(INDEX($R315:$R1200,MATCH(SUBSTITUTE($I314,"-","",1),$K315:$K1200,0)))))</f>
        <v/>
      </c>
      <c r="S314" s="37" t="str">
        <f t="shared" si="1"/>
        <v/>
      </c>
      <c r="T314" s="39" t="str">
        <f t="shared" si="2"/>
        <v/>
      </c>
      <c r="U314" s="40" t="str">
        <f t="shared" si="3"/>
        <v/>
      </c>
      <c r="V314" s="34" t="str">
        <f t="shared" si="4"/>
        <v/>
      </c>
      <c r="W314" s="41" t="str">
        <f>IFERROR(__xludf.DUMMYFUNCTION(" IF(Account!$F314&lt;&gt;"""", SPLIT(Account!$F314, "" ""), """")"),"")</f>
        <v/>
      </c>
      <c r="X314" s="42"/>
      <c r="Y314" s="42"/>
      <c r="Z314" s="42"/>
      <c r="AA314" s="42"/>
      <c r="AB314" s="42"/>
      <c r="AC314" s="42"/>
      <c r="AD314" s="42"/>
      <c r="AE314" s="42"/>
      <c r="AF314" s="42"/>
      <c r="AG314" s="42"/>
      <c r="AH314" s="42"/>
      <c r="AI314" s="42"/>
      <c r="AJ314" s="42"/>
      <c r="AK314" s="42"/>
    </row>
    <row r="315">
      <c r="A315" s="20"/>
      <c r="B315" s="20"/>
      <c r="C315" s="20"/>
      <c r="D315" s="20"/>
      <c r="E315" s="20"/>
      <c r="F315" s="21"/>
      <c r="G315" s="20"/>
      <c r="H315" s="20"/>
      <c r="I315" s="20"/>
      <c r="J315" s="20"/>
      <c r="K315" s="20"/>
      <c r="L315" s="21"/>
      <c r="M315" s="33" t="str">
        <f>IFERROR(__xludf.DUMMYFUNCTION("IFS(W315=""Achat"",IFERROR(VALUE(X315),VALUE(REGEXREPLACE(T(X315),""[^0-9]"",""""))),W315=""Vente"",-IFERROR(VALUE(X315),VALUE(REGEXREPLACE(T(X315),""[^0-9]"",""""))),Y315=""Change"",0,Y315&lt;&gt;""Change"","""")"),"")</f>
        <v/>
      </c>
      <c r="N315" s="34" t="str">
        <f>IFERROR(__xludf.DUMMYFUNCTION("IF(Account!$F315&lt;&gt;"""", VALUE(REGEXREPLACE($I315, ""\,"", ""."")), """")"),"")</f>
        <v/>
      </c>
      <c r="O315" s="35" t="str">
        <f>IF(Account!$F315&lt;&gt;"", DATEVALUE(MID($A315,4,3) &amp; LEFT($A315,3) &amp; RIGHT($A315,4)) + TIMEVALUE($B315), "")</f>
        <v/>
      </c>
      <c r="P315" s="36" t="str">
        <f>IF(Account!$F315&lt;&gt;"", DATEVALUE(MID($C315,4,3) &amp; LEFT($C315,3) &amp; RIGHT($C315,4)), "")</f>
        <v/>
      </c>
      <c r="Q315" s="37" t="str">
        <f t="array" ref="Q315">IF($R315&lt;&gt;"",IFERROR(INDEX(ISIN!$B:$B,MATCH($R315,ISIN!$C:$C,0))),)</f>
        <v/>
      </c>
      <c r="R315" s="38" t="str">
        <f t="array" ref="R315">IF($E315&lt;&gt;"",IFERROR(INDEX(ISIN!$C:$C,MATCH($E315,ISIN!$A:$A,0)),IFERROR(INDEX($R316:$R1200,MATCH($K315,$K316:$K1200,0)))),IF(AND($Y315="change",$H315="EUR"),IF($O315=$O316,$R316,IF($O315=$O314,$R314)),IFERROR(INDEX($R316:$R1200,MATCH(SUBSTITUTE($I315,"-","",1),$K316:$K1200,0)))))</f>
        <v/>
      </c>
      <c r="S315" s="37" t="str">
        <f t="shared" si="1"/>
        <v/>
      </c>
      <c r="T315" s="39" t="str">
        <f t="shared" si="2"/>
        <v/>
      </c>
      <c r="U315" s="40" t="str">
        <f t="shared" si="3"/>
        <v/>
      </c>
      <c r="V315" s="34" t="str">
        <f t="shared" si="4"/>
        <v/>
      </c>
      <c r="W315" s="41" t="str">
        <f>IFERROR(__xludf.DUMMYFUNCTION(" IF(Account!$F315&lt;&gt;"""", SPLIT(Account!$F315, "" ""), """")"),"")</f>
        <v/>
      </c>
      <c r="X315" s="42"/>
      <c r="Y315" s="42"/>
      <c r="Z315" s="42"/>
      <c r="AA315" s="42"/>
      <c r="AB315" s="42"/>
      <c r="AC315" s="42"/>
      <c r="AD315" s="42"/>
      <c r="AE315" s="42"/>
      <c r="AF315" s="42"/>
      <c r="AG315" s="42"/>
      <c r="AH315" s="42"/>
      <c r="AI315" s="42"/>
      <c r="AJ315" s="42"/>
      <c r="AK315" s="42"/>
    </row>
    <row r="316">
      <c r="A316" s="20"/>
      <c r="B316" s="20"/>
      <c r="C316" s="20"/>
      <c r="D316" s="20"/>
      <c r="E316" s="20"/>
      <c r="F316" s="21"/>
      <c r="G316" s="45"/>
      <c r="H316" s="20"/>
      <c r="I316" s="20"/>
      <c r="J316" s="20"/>
      <c r="K316" s="20"/>
      <c r="L316" s="21"/>
      <c r="M316" s="33" t="str">
        <f>IFERROR(__xludf.DUMMYFUNCTION("IFS(W316=""Achat"",IFERROR(VALUE(X316),VALUE(REGEXREPLACE(T(X316),""[^0-9]"",""""))),W316=""Vente"",-IFERROR(VALUE(X316),VALUE(REGEXREPLACE(T(X316),""[^0-9]"",""""))),Y316=""Change"",0,Y316&lt;&gt;""Change"","""")"),"")</f>
        <v/>
      </c>
      <c r="N316" s="34" t="str">
        <f>IFERROR(__xludf.DUMMYFUNCTION("IF(Account!$F316&lt;&gt;"""", VALUE(REGEXREPLACE($I316, ""\,"", ""."")), """")"),"")</f>
        <v/>
      </c>
      <c r="O316" s="35" t="str">
        <f>IF(Account!$F316&lt;&gt;"", DATEVALUE(MID($A316,4,3) &amp; LEFT($A316,3) &amp; RIGHT($A316,4)) + TIMEVALUE($B316), "")</f>
        <v/>
      </c>
      <c r="P316" s="36" t="str">
        <f>IF(Account!$F316&lt;&gt;"", DATEVALUE(MID($C316,4,3) &amp; LEFT($C316,3) &amp; RIGHT($C316,4)), "")</f>
        <v/>
      </c>
      <c r="Q316" s="37" t="str">
        <f t="array" ref="Q316">IF($R316&lt;&gt;"",IFERROR(INDEX(ISIN!$B:$B,MATCH($R316,ISIN!$C:$C,0))),)</f>
        <v/>
      </c>
      <c r="R316" s="38" t="str">
        <f t="array" ref="R316">IF($E316&lt;&gt;"",IFERROR(INDEX(ISIN!$C:$C,MATCH($E316,ISIN!$A:$A,0)),IFERROR(INDEX($R317:$R1200,MATCH($K316,$K317:$K1200,0)))),IF(AND($Y316="change",$H316="EUR"),IF($O316=$O317,$R317,IF($O316=$O315,$R315)),IFERROR(INDEX($R317:$R1200,MATCH(SUBSTITUTE($I316,"-","",1),$K317:$K1200,0)))))</f>
        <v/>
      </c>
      <c r="S316" s="37" t="str">
        <f t="shared" si="1"/>
        <v/>
      </c>
      <c r="T316" s="39" t="str">
        <f t="shared" si="2"/>
        <v/>
      </c>
      <c r="U316" s="40" t="str">
        <f t="shared" si="3"/>
        <v/>
      </c>
      <c r="V316" s="34" t="str">
        <f t="shared" si="4"/>
        <v/>
      </c>
      <c r="W316" s="41" t="str">
        <f>IFERROR(__xludf.DUMMYFUNCTION(" IF(Account!$F316&lt;&gt;"""", SPLIT(Account!$F316, "" ""), """")"),"")</f>
        <v/>
      </c>
      <c r="X316" s="42"/>
      <c r="Y316" s="42"/>
      <c r="Z316" s="42"/>
      <c r="AA316" s="42"/>
      <c r="AB316" s="42"/>
      <c r="AC316" s="42"/>
      <c r="AD316" s="42"/>
      <c r="AE316" s="42"/>
      <c r="AF316" s="42"/>
      <c r="AG316" s="42"/>
      <c r="AH316" s="42"/>
      <c r="AI316" s="42"/>
      <c r="AJ316" s="42"/>
      <c r="AK316" s="42"/>
    </row>
    <row r="317">
      <c r="A317" s="20"/>
      <c r="B317" s="20"/>
      <c r="C317" s="20"/>
      <c r="D317" s="20"/>
      <c r="E317" s="20"/>
      <c r="F317" s="21"/>
      <c r="G317" s="45"/>
      <c r="H317" s="20"/>
      <c r="I317" s="20"/>
      <c r="J317" s="20"/>
      <c r="K317" s="20"/>
      <c r="L317" s="21"/>
      <c r="M317" s="33" t="str">
        <f>IFERROR(__xludf.DUMMYFUNCTION("IFS(W317=""Achat"",IFERROR(VALUE(X317),VALUE(REGEXREPLACE(T(X317),""[^0-9]"",""""))),W317=""Vente"",-IFERROR(VALUE(X317),VALUE(REGEXREPLACE(T(X317),""[^0-9]"",""""))),Y317=""Change"",0,Y317&lt;&gt;""Change"","""")"),"")</f>
        <v/>
      </c>
      <c r="N317" s="34" t="str">
        <f>IFERROR(__xludf.DUMMYFUNCTION("IF(Account!$F317&lt;&gt;"""", VALUE(REGEXREPLACE($I317, ""\,"", ""."")), """")"),"")</f>
        <v/>
      </c>
      <c r="O317" s="35" t="str">
        <f>IF(Account!$F317&lt;&gt;"", DATEVALUE(MID($A317,4,3) &amp; LEFT($A317,3) &amp; RIGHT($A317,4)) + TIMEVALUE($B317), "")</f>
        <v/>
      </c>
      <c r="P317" s="36" t="str">
        <f>IF(Account!$F317&lt;&gt;"", DATEVALUE(MID($C317,4,3) &amp; LEFT($C317,3) &amp; RIGHT($C317,4)), "")</f>
        <v/>
      </c>
      <c r="Q317" s="37" t="str">
        <f t="array" ref="Q317">IF($R317&lt;&gt;"",IFERROR(INDEX(ISIN!$B:$B,MATCH($R317,ISIN!$C:$C,0))),)</f>
        <v/>
      </c>
      <c r="R317" s="38" t="str">
        <f t="array" ref="R317">IF($E317&lt;&gt;"",IFERROR(INDEX(ISIN!$C:$C,MATCH($E317,ISIN!$A:$A,0)),IFERROR(INDEX($R318:$R1200,MATCH($K317,$K318:$K1200,0)))),IF(AND($Y317="change",$H317="EUR"),IF($O317=$O318,$R318,IF($O317=$O316,$R316)),IFERROR(INDEX($R318:$R1200,MATCH(SUBSTITUTE($I317,"-","",1),$K318:$K1200,0)))))</f>
        <v/>
      </c>
      <c r="S317" s="37" t="str">
        <f t="shared" si="1"/>
        <v/>
      </c>
      <c r="T317" s="39" t="str">
        <f t="shared" si="2"/>
        <v/>
      </c>
      <c r="U317" s="40" t="str">
        <f t="shared" si="3"/>
        <v/>
      </c>
      <c r="V317" s="34" t="str">
        <f t="shared" si="4"/>
        <v/>
      </c>
      <c r="W317" s="41" t="str">
        <f>IFERROR(__xludf.DUMMYFUNCTION(" IF(Account!$F317&lt;&gt;"""", SPLIT(Account!$F317, "" ""), """")"),"")</f>
        <v/>
      </c>
      <c r="X317" s="42"/>
      <c r="Y317" s="42"/>
      <c r="Z317" s="42"/>
      <c r="AA317" s="42"/>
      <c r="AB317" s="42"/>
      <c r="AC317" s="42"/>
      <c r="AD317" s="42"/>
      <c r="AE317" s="42"/>
      <c r="AF317" s="42"/>
      <c r="AG317" s="42"/>
      <c r="AH317" s="42"/>
      <c r="AI317" s="42"/>
      <c r="AJ317" s="42"/>
      <c r="AK317" s="42"/>
    </row>
    <row r="318">
      <c r="A318" s="20"/>
      <c r="B318" s="20"/>
      <c r="C318" s="20"/>
      <c r="D318" s="20"/>
      <c r="E318" s="20"/>
      <c r="F318" s="21"/>
      <c r="G318" s="45"/>
      <c r="H318" s="20"/>
      <c r="I318" s="20"/>
      <c r="J318" s="20"/>
      <c r="K318" s="20"/>
      <c r="L318" s="21"/>
      <c r="M318" s="33" t="str">
        <f>IFERROR(__xludf.DUMMYFUNCTION("IFS(W318=""Achat"",IFERROR(VALUE(X318),VALUE(REGEXREPLACE(T(X318),""[^0-9]"",""""))),W318=""Vente"",-IFERROR(VALUE(X318),VALUE(REGEXREPLACE(T(X318),""[^0-9]"",""""))),Y318=""Change"",0,Y318&lt;&gt;""Change"","""")"),"")</f>
        <v/>
      </c>
      <c r="N318" s="34" t="str">
        <f>IFERROR(__xludf.DUMMYFUNCTION("IF(Account!$F318&lt;&gt;"""", VALUE(REGEXREPLACE($I318, ""\,"", ""."")), """")"),"")</f>
        <v/>
      </c>
      <c r="O318" s="35" t="str">
        <f>IF(Account!$F318&lt;&gt;"", DATEVALUE(MID($A318,4,3) &amp; LEFT($A318,3) &amp; RIGHT($A318,4)) + TIMEVALUE($B318), "")</f>
        <v/>
      </c>
      <c r="P318" s="36" t="str">
        <f>IF(Account!$F318&lt;&gt;"", DATEVALUE(MID($C318,4,3) &amp; LEFT($C318,3) &amp; RIGHT($C318,4)), "")</f>
        <v/>
      </c>
      <c r="Q318" s="37" t="str">
        <f t="array" ref="Q318">IF($R318&lt;&gt;"",IFERROR(INDEX(ISIN!$B:$B,MATCH($R318,ISIN!$C:$C,0))),)</f>
        <v/>
      </c>
      <c r="R318" s="38" t="str">
        <f t="array" ref="R318">IF($E318&lt;&gt;"",IFERROR(INDEX(ISIN!$C:$C,MATCH($E318,ISIN!$A:$A,0)),IFERROR(INDEX($R319:$R1200,MATCH($K318,$K319:$K1200,0)))),IF(AND($Y318="change",$H318="EUR"),IF($O318=$O319,$R319,IF($O318=$O317,$R317)),IFERROR(INDEX($R319:$R1200,MATCH(SUBSTITUTE($I318,"-","",1),$K319:$K1200,0)))))</f>
        <v/>
      </c>
      <c r="S318" s="37" t="str">
        <f t="shared" si="1"/>
        <v/>
      </c>
      <c r="T318" s="39" t="str">
        <f t="shared" si="2"/>
        <v/>
      </c>
      <c r="U318" s="40" t="str">
        <f t="shared" si="3"/>
        <v/>
      </c>
      <c r="V318" s="34" t="str">
        <f t="shared" si="4"/>
        <v/>
      </c>
      <c r="W318" s="41" t="str">
        <f>IFERROR(__xludf.DUMMYFUNCTION(" IF(Account!$F318&lt;&gt;"""", SPLIT(Account!$F318, "" ""), """")"),"")</f>
        <v/>
      </c>
      <c r="X318" s="42"/>
      <c r="Y318" s="42"/>
      <c r="Z318" s="42"/>
      <c r="AA318" s="42"/>
      <c r="AB318" s="42"/>
      <c r="AC318" s="42"/>
      <c r="AD318" s="42"/>
      <c r="AE318" s="42"/>
      <c r="AF318" s="42"/>
      <c r="AG318" s="42"/>
      <c r="AH318" s="42"/>
      <c r="AI318" s="42"/>
      <c r="AJ318" s="42"/>
      <c r="AK318" s="42"/>
    </row>
    <row r="319">
      <c r="A319" s="20"/>
      <c r="B319" s="20"/>
      <c r="C319" s="20"/>
      <c r="D319" s="20"/>
      <c r="E319" s="20"/>
      <c r="F319" s="21"/>
      <c r="G319" s="45"/>
      <c r="H319" s="20"/>
      <c r="I319" s="20"/>
      <c r="J319" s="20"/>
      <c r="K319" s="20"/>
      <c r="L319" s="21"/>
      <c r="M319" s="33" t="str">
        <f>IFERROR(__xludf.DUMMYFUNCTION("IFS(W319=""Achat"",IFERROR(VALUE(X319),VALUE(REGEXREPLACE(T(X319),""[^0-9]"",""""))),W319=""Vente"",-IFERROR(VALUE(X319),VALUE(REGEXREPLACE(T(X319),""[^0-9]"",""""))),Y319=""Change"",0,Y319&lt;&gt;""Change"","""")"),"")</f>
        <v/>
      </c>
      <c r="N319" s="34" t="str">
        <f>IFERROR(__xludf.DUMMYFUNCTION("IF(Account!$F319&lt;&gt;"""", VALUE(REGEXREPLACE($I319, ""\,"", ""."")), """")"),"")</f>
        <v/>
      </c>
      <c r="O319" s="35" t="str">
        <f>IF(Account!$F319&lt;&gt;"", DATEVALUE(MID($A319,4,3) &amp; LEFT($A319,3) &amp; RIGHT($A319,4)) + TIMEVALUE($B319), "")</f>
        <v/>
      </c>
      <c r="P319" s="36" t="str">
        <f>IF(Account!$F319&lt;&gt;"", DATEVALUE(MID($C319,4,3) &amp; LEFT($C319,3) &amp; RIGHT($C319,4)), "")</f>
        <v/>
      </c>
      <c r="Q319" s="37" t="str">
        <f t="array" ref="Q319">IF($R319&lt;&gt;"",IFERROR(INDEX(ISIN!$B:$B,MATCH($R319,ISIN!$C:$C,0))),)</f>
        <v/>
      </c>
      <c r="R319" s="38" t="str">
        <f t="array" ref="R319">IF($E319&lt;&gt;"",IFERROR(INDEX(ISIN!$C:$C,MATCH($E319,ISIN!$A:$A,0)),IFERROR(INDEX($R320:$R1200,MATCH($K319,$K320:$K1200,0)))),IF(AND($Y319="change",$H319="EUR"),IF($O319=$O320,$R320,IF($O319=$O318,$R318)),IFERROR(INDEX($R320:$R1200,MATCH(SUBSTITUTE($I319,"-","",1),$K320:$K1200,0)))))</f>
        <v/>
      </c>
      <c r="S319" s="37" t="str">
        <f t="shared" si="1"/>
        <v/>
      </c>
      <c r="T319" s="39" t="str">
        <f t="shared" si="2"/>
        <v/>
      </c>
      <c r="U319" s="40" t="str">
        <f t="shared" si="3"/>
        <v/>
      </c>
      <c r="V319" s="34" t="str">
        <f t="shared" si="4"/>
        <v/>
      </c>
      <c r="W319" s="41" t="str">
        <f>IFERROR(__xludf.DUMMYFUNCTION(" IF(Account!$F319&lt;&gt;"""", SPLIT(Account!$F319, "" ""), """")"),"")</f>
        <v/>
      </c>
      <c r="X319" s="42"/>
      <c r="Y319" s="42"/>
      <c r="Z319" s="42"/>
      <c r="AA319" s="42"/>
      <c r="AB319" s="42"/>
      <c r="AC319" s="42"/>
      <c r="AD319" s="42"/>
      <c r="AE319" s="42"/>
      <c r="AF319" s="42"/>
      <c r="AG319" s="42"/>
      <c r="AH319" s="42"/>
      <c r="AI319" s="42"/>
      <c r="AJ319" s="42"/>
      <c r="AK319" s="42"/>
    </row>
    <row r="320">
      <c r="A320" s="20"/>
      <c r="B320" s="20"/>
      <c r="C320" s="20"/>
      <c r="D320" s="20"/>
      <c r="E320" s="20"/>
      <c r="F320" s="21"/>
      <c r="G320" s="45"/>
      <c r="H320" s="20"/>
      <c r="I320" s="20"/>
      <c r="J320" s="20"/>
      <c r="K320" s="20"/>
      <c r="L320" s="21"/>
      <c r="M320" s="33" t="str">
        <f>IFERROR(__xludf.DUMMYFUNCTION("IFS(W320=""Achat"",IFERROR(VALUE(X320),VALUE(REGEXREPLACE(T(X320),""[^0-9]"",""""))),W320=""Vente"",-IFERROR(VALUE(X320),VALUE(REGEXREPLACE(T(X320),""[^0-9]"",""""))),Y320=""Change"",0,Y320&lt;&gt;""Change"","""")"),"")</f>
        <v/>
      </c>
      <c r="N320" s="34" t="str">
        <f>IFERROR(__xludf.DUMMYFUNCTION("IF(Account!$F320&lt;&gt;"""", VALUE(REGEXREPLACE($I320, ""\,"", ""."")), """")"),"")</f>
        <v/>
      </c>
      <c r="O320" s="35" t="str">
        <f>IF(Account!$F320&lt;&gt;"", DATEVALUE(MID($A320,4,3) &amp; LEFT($A320,3) &amp; RIGHT($A320,4)) + TIMEVALUE($B320), "")</f>
        <v/>
      </c>
      <c r="P320" s="36" t="str">
        <f>IF(Account!$F320&lt;&gt;"", DATEVALUE(MID($C320,4,3) &amp; LEFT($C320,3) &amp; RIGHT($C320,4)), "")</f>
        <v/>
      </c>
      <c r="Q320" s="37" t="str">
        <f t="array" ref="Q320">IF($R320&lt;&gt;"",IFERROR(INDEX(ISIN!$B:$B,MATCH($R320,ISIN!$C:$C,0))),)</f>
        <v/>
      </c>
      <c r="R320" s="38" t="str">
        <f t="array" ref="R320">IF($E320&lt;&gt;"",IFERROR(INDEX(ISIN!$C:$C,MATCH($E320,ISIN!$A:$A,0)),IFERROR(INDEX($R321:$R1200,MATCH($K320,$K321:$K1200,0)))),IF(AND($Y320="change",$H320="EUR"),IF($O320=$O321,$R321,IF($O320=$O319,$R319)),IFERROR(INDEX($R321:$R1200,MATCH(SUBSTITUTE($I320,"-","",1),$K321:$K1200,0)))))</f>
        <v/>
      </c>
      <c r="S320" s="37" t="str">
        <f t="shared" si="1"/>
        <v/>
      </c>
      <c r="T320" s="39" t="str">
        <f t="shared" si="2"/>
        <v/>
      </c>
      <c r="U320" s="40" t="str">
        <f t="shared" si="3"/>
        <v/>
      </c>
      <c r="V320" s="34" t="str">
        <f t="shared" si="4"/>
        <v/>
      </c>
      <c r="W320" s="41" t="str">
        <f>IFERROR(__xludf.DUMMYFUNCTION(" IF(Account!$F320&lt;&gt;"""", SPLIT(Account!$F320, "" ""), """")"),"")</f>
        <v/>
      </c>
      <c r="X320" s="42"/>
      <c r="Y320" s="42"/>
      <c r="Z320" s="42"/>
      <c r="AA320" s="42"/>
      <c r="AB320" s="42"/>
      <c r="AC320" s="42"/>
      <c r="AD320" s="42"/>
      <c r="AE320" s="42"/>
      <c r="AF320" s="42"/>
      <c r="AG320" s="42"/>
      <c r="AH320" s="42"/>
      <c r="AI320" s="42"/>
      <c r="AJ320" s="42"/>
      <c r="AK320" s="42"/>
    </row>
    <row r="321">
      <c r="A321" s="20"/>
      <c r="B321" s="20"/>
      <c r="C321" s="20"/>
      <c r="D321" s="20"/>
      <c r="E321" s="20"/>
      <c r="F321" s="21"/>
      <c r="G321" s="20"/>
      <c r="H321" s="20"/>
      <c r="I321" s="20"/>
      <c r="J321" s="20"/>
      <c r="K321" s="20"/>
      <c r="L321" s="21"/>
      <c r="M321" s="33" t="str">
        <f>IFERROR(__xludf.DUMMYFUNCTION("IFS(W321=""Achat"",IFERROR(VALUE(X321),VALUE(REGEXREPLACE(T(X321),""[^0-9]"",""""))),W321=""Vente"",-IFERROR(VALUE(X321),VALUE(REGEXREPLACE(T(X321),""[^0-9]"",""""))),Y321=""Change"",0,Y321&lt;&gt;""Change"","""")"),"")</f>
        <v/>
      </c>
      <c r="N321" s="34" t="str">
        <f>IFERROR(__xludf.DUMMYFUNCTION("IF(Account!$F321&lt;&gt;"""", VALUE(REGEXREPLACE($I321, ""\,"", ""."")), """")"),"")</f>
        <v/>
      </c>
      <c r="O321" s="35" t="str">
        <f>IF(Account!$F321&lt;&gt;"", DATEVALUE(MID($A321,4,3) &amp; LEFT($A321,3) &amp; RIGHT($A321,4)) + TIMEVALUE($B321), "")</f>
        <v/>
      </c>
      <c r="P321" s="36" t="str">
        <f>IF(Account!$F321&lt;&gt;"", DATEVALUE(MID($C321,4,3) &amp; LEFT($C321,3) &amp; RIGHT($C321,4)), "")</f>
        <v/>
      </c>
      <c r="Q321" s="37" t="str">
        <f t="array" ref="Q321">IF($R321&lt;&gt;"",IFERROR(INDEX(ISIN!$B:$B,MATCH($R321,ISIN!$C:$C,0))),)</f>
        <v/>
      </c>
      <c r="R321" s="38" t="str">
        <f t="array" ref="R321">IF($E321&lt;&gt;"",IFERROR(INDEX(ISIN!$C:$C,MATCH($E321,ISIN!$A:$A,0)),IFERROR(INDEX($R322:$R1200,MATCH($K321,$K322:$K1200,0)))),IF(AND($Y321="change",$H321="EUR"),IF($O321=$O322,$R322,IF($O321=$O320,$R320)),IFERROR(INDEX($R322:$R1200,MATCH(SUBSTITUTE($I321,"-","",1),$K322:$K1200,0)))))</f>
        <v/>
      </c>
      <c r="S321" s="37" t="str">
        <f t="shared" si="1"/>
        <v/>
      </c>
      <c r="T321" s="39" t="str">
        <f t="shared" si="2"/>
        <v/>
      </c>
      <c r="U321" s="40" t="str">
        <f t="shared" si="3"/>
        <v/>
      </c>
      <c r="V321" s="34" t="str">
        <f t="shared" si="4"/>
        <v/>
      </c>
      <c r="W321" s="41" t="str">
        <f>IFERROR(__xludf.DUMMYFUNCTION(" IF(Account!$F321&lt;&gt;"""", SPLIT(Account!$F321, "" ""), """")"),"")</f>
        <v/>
      </c>
      <c r="X321" s="42"/>
      <c r="Y321" s="42"/>
      <c r="Z321" s="42"/>
      <c r="AA321" s="42"/>
      <c r="AB321" s="42"/>
      <c r="AC321" s="42"/>
      <c r="AD321" s="42"/>
      <c r="AE321" s="42"/>
      <c r="AF321" s="42"/>
      <c r="AG321" s="42"/>
      <c r="AH321" s="42"/>
      <c r="AI321" s="42"/>
      <c r="AJ321" s="42"/>
      <c r="AK321" s="42"/>
    </row>
    <row r="322">
      <c r="A322" s="20"/>
      <c r="B322" s="20"/>
      <c r="C322" s="20"/>
      <c r="D322" s="20"/>
      <c r="E322" s="20"/>
      <c r="F322" s="21"/>
      <c r="G322" s="45"/>
      <c r="H322" s="20"/>
      <c r="I322" s="20"/>
      <c r="J322" s="20"/>
      <c r="K322" s="20"/>
      <c r="L322" s="21"/>
      <c r="M322" s="33" t="str">
        <f>IFERROR(__xludf.DUMMYFUNCTION("IFS(W322=""Achat"",IFERROR(VALUE(X322),VALUE(REGEXREPLACE(T(X322),""[^0-9]"",""""))),W322=""Vente"",-IFERROR(VALUE(X322),VALUE(REGEXREPLACE(T(X322),""[^0-9]"",""""))),Y322=""Change"",0,Y322&lt;&gt;""Change"","""")"),"")</f>
        <v/>
      </c>
      <c r="N322" s="34" t="str">
        <f>IFERROR(__xludf.DUMMYFUNCTION("IF(Account!$F322&lt;&gt;"""", VALUE(REGEXREPLACE($I322, ""\,"", ""."")), """")"),"")</f>
        <v/>
      </c>
      <c r="O322" s="35" t="str">
        <f>IF(Account!$F322&lt;&gt;"", DATEVALUE(MID($A322,4,3) &amp; LEFT($A322,3) &amp; RIGHT($A322,4)) + TIMEVALUE($B322), "")</f>
        <v/>
      </c>
      <c r="P322" s="36" t="str">
        <f>IF(Account!$F322&lt;&gt;"", DATEVALUE(MID($C322,4,3) &amp; LEFT($C322,3) &amp; RIGHT($C322,4)), "")</f>
        <v/>
      </c>
      <c r="Q322" s="37" t="str">
        <f t="array" ref="Q322">IF($R322&lt;&gt;"",IFERROR(INDEX(ISIN!$B:$B,MATCH($R322,ISIN!$C:$C,0))),)</f>
        <v/>
      </c>
      <c r="R322" s="38" t="str">
        <f t="array" ref="R322">IF($E322&lt;&gt;"",IFERROR(INDEX(ISIN!$C:$C,MATCH($E322,ISIN!$A:$A,0)),IFERROR(INDEX($R323:$R1200,MATCH($K322,$K323:$K1200,0)))),IF(AND($Y322="change",$H322="EUR"),IF($O322=$O323,$R323,IF($O322=$O321,$R321)),IFERROR(INDEX($R323:$R1200,MATCH(SUBSTITUTE($I322,"-","",1),$K323:$K1200,0)))))</f>
        <v/>
      </c>
      <c r="S322" s="37" t="str">
        <f t="shared" si="1"/>
        <v/>
      </c>
      <c r="T322" s="39" t="str">
        <f t="shared" si="2"/>
        <v/>
      </c>
      <c r="U322" s="40" t="str">
        <f t="shared" si="3"/>
        <v/>
      </c>
      <c r="V322" s="34" t="str">
        <f t="shared" si="4"/>
        <v/>
      </c>
      <c r="W322" s="41" t="str">
        <f>IFERROR(__xludf.DUMMYFUNCTION(" IF(Account!$F322&lt;&gt;"""", SPLIT(Account!$F322, "" ""), """")"),"")</f>
        <v/>
      </c>
      <c r="X322" s="42"/>
      <c r="Y322" s="42"/>
      <c r="Z322" s="42"/>
      <c r="AA322" s="42"/>
      <c r="AB322" s="42"/>
      <c r="AC322" s="42"/>
      <c r="AD322" s="42"/>
      <c r="AE322" s="42"/>
      <c r="AF322" s="42"/>
      <c r="AG322" s="42"/>
      <c r="AH322" s="42"/>
      <c r="AI322" s="42"/>
      <c r="AJ322" s="42"/>
      <c r="AK322" s="42"/>
    </row>
    <row r="323">
      <c r="A323" s="20"/>
      <c r="B323" s="20"/>
      <c r="C323" s="20"/>
      <c r="D323" s="20"/>
      <c r="E323" s="20"/>
      <c r="F323" s="21"/>
      <c r="G323" s="20"/>
      <c r="H323" s="20"/>
      <c r="I323" s="20"/>
      <c r="J323" s="20"/>
      <c r="K323" s="20"/>
      <c r="L323" s="21"/>
      <c r="M323" s="33" t="str">
        <f>IFERROR(__xludf.DUMMYFUNCTION("IFS(W323=""Achat"",IFERROR(VALUE(X323),VALUE(REGEXREPLACE(T(X323),""[^0-9]"",""""))),W323=""Vente"",-IFERROR(VALUE(X323),VALUE(REGEXREPLACE(T(X323),""[^0-9]"",""""))),Y323=""Change"",0,Y323&lt;&gt;""Change"","""")"),"")</f>
        <v/>
      </c>
      <c r="N323" s="34" t="str">
        <f>IFERROR(__xludf.DUMMYFUNCTION("IF(Account!$F323&lt;&gt;"""", VALUE(REGEXREPLACE($I323, ""\,"", ""."")), """")"),"")</f>
        <v/>
      </c>
      <c r="O323" s="35" t="str">
        <f>IF(Account!$F323&lt;&gt;"", DATEVALUE(MID($A323,4,3) &amp; LEFT($A323,3) &amp; RIGHT($A323,4)) + TIMEVALUE($B323), "")</f>
        <v/>
      </c>
      <c r="P323" s="36" t="str">
        <f>IF(Account!$F323&lt;&gt;"", DATEVALUE(MID($C323,4,3) &amp; LEFT($C323,3) &amp; RIGHT($C323,4)), "")</f>
        <v/>
      </c>
      <c r="Q323" s="37" t="str">
        <f t="array" ref="Q323">IF($R323&lt;&gt;"",IFERROR(INDEX(ISIN!$B:$B,MATCH($R323,ISIN!$C:$C,0))),)</f>
        <v/>
      </c>
      <c r="R323" s="38" t="str">
        <f t="array" ref="R323">IF($E323&lt;&gt;"",IFERROR(INDEX(ISIN!$C:$C,MATCH($E323,ISIN!$A:$A,0)),IFERROR(INDEX($R324:$R1200,MATCH($K323,$K324:$K1200,0)))),IF(AND($Y323="change",$H323="EUR"),IF($O323=$O324,$R324,IF($O323=$O322,$R322)),IFERROR(INDEX($R324:$R1200,MATCH(SUBSTITUTE($I323,"-","",1),$K324:$K1200,0)))))</f>
        <v/>
      </c>
      <c r="S323" s="37" t="str">
        <f t="shared" si="1"/>
        <v/>
      </c>
      <c r="T323" s="39" t="str">
        <f t="shared" si="2"/>
        <v/>
      </c>
      <c r="U323" s="40" t="str">
        <f t="shared" si="3"/>
        <v/>
      </c>
      <c r="V323" s="34" t="str">
        <f t="shared" si="4"/>
        <v/>
      </c>
      <c r="W323" s="41" t="str">
        <f>IFERROR(__xludf.DUMMYFUNCTION(" IF(Account!$F323&lt;&gt;"""", SPLIT(Account!$F323, "" ""), """")"),"")</f>
        <v/>
      </c>
      <c r="X323" s="42"/>
      <c r="Y323" s="42"/>
      <c r="Z323" s="42"/>
      <c r="AA323" s="42"/>
      <c r="AB323" s="42"/>
      <c r="AC323" s="42"/>
      <c r="AD323" s="42"/>
      <c r="AE323" s="42"/>
      <c r="AF323" s="42"/>
      <c r="AG323" s="42"/>
      <c r="AH323" s="42"/>
      <c r="AI323" s="42"/>
      <c r="AJ323" s="42"/>
      <c r="AK323" s="42"/>
    </row>
    <row r="324">
      <c r="A324" s="20"/>
      <c r="B324" s="20"/>
      <c r="C324" s="20"/>
      <c r="D324" s="20"/>
      <c r="E324" s="20"/>
      <c r="F324" s="21"/>
      <c r="G324" s="20"/>
      <c r="H324" s="20"/>
      <c r="I324" s="20"/>
      <c r="J324" s="20"/>
      <c r="K324" s="20"/>
      <c r="L324" s="21"/>
      <c r="M324" s="33" t="str">
        <f>IFERROR(__xludf.DUMMYFUNCTION("IFS(W324=""Achat"",IFERROR(VALUE(X324),VALUE(REGEXREPLACE(T(X324),""[^0-9]"",""""))),W324=""Vente"",-IFERROR(VALUE(X324),VALUE(REGEXREPLACE(T(X324),""[^0-9]"",""""))),Y324=""Change"",0,Y324&lt;&gt;""Change"","""")"),"")</f>
        <v/>
      </c>
      <c r="N324" s="34" t="str">
        <f>IFERROR(__xludf.DUMMYFUNCTION("IF(Account!$F324&lt;&gt;"""", VALUE(REGEXREPLACE($I324, ""\,"", ""."")), """")"),"")</f>
        <v/>
      </c>
      <c r="O324" s="35" t="str">
        <f>IF(Account!$F324&lt;&gt;"", DATEVALUE(MID($A324,4,3) &amp; LEFT($A324,3) &amp; RIGHT($A324,4)) + TIMEVALUE($B324), "")</f>
        <v/>
      </c>
      <c r="P324" s="36" t="str">
        <f>IF(Account!$F324&lt;&gt;"", DATEVALUE(MID($C324,4,3) &amp; LEFT($C324,3) &amp; RIGHT($C324,4)), "")</f>
        <v/>
      </c>
      <c r="Q324" s="37" t="str">
        <f t="array" ref="Q324">IF($R324&lt;&gt;"",IFERROR(INDEX(ISIN!$B:$B,MATCH($R324,ISIN!$C:$C,0))),)</f>
        <v/>
      </c>
      <c r="R324" s="38" t="str">
        <f t="array" ref="R324">IF($E324&lt;&gt;"",IFERROR(INDEX(ISIN!$C:$C,MATCH($E324,ISIN!$A:$A,0)),IFERROR(INDEX($R325:$R1200,MATCH($K324,$K325:$K1200,0)))),IF(AND($Y324="change",$H324="EUR"),IF($O324=$O325,$R325,IF($O324=$O323,$R323)),IFERROR(INDEX($R325:$R1200,MATCH(SUBSTITUTE($I324,"-","",1),$K325:$K1200,0)))))</f>
        <v/>
      </c>
      <c r="S324" s="37" t="str">
        <f t="shared" si="1"/>
        <v/>
      </c>
      <c r="T324" s="39" t="str">
        <f t="shared" si="2"/>
        <v/>
      </c>
      <c r="U324" s="40" t="str">
        <f t="shared" si="3"/>
        <v/>
      </c>
      <c r="V324" s="34" t="str">
        <f t="shared" si="4"/>
        <v/>
      </c>
      <c r="W324" s="41" t="str">
        <f>IFERROR(__xludf.DUMMYFUNCTION(" IF(Account!$F324&lt;&gt;"""", SPLIT(Account!$F324, "" ""), """")"),"")</f>
        <v/>
      </c>
      <c r="X324" s="42"/>
      <c r="Y324" s="42"/>
      <c r="Z324" s="42"/>
      <c r="AA324" s="42"/>
      <c r="AB324" s="42"/>
      <c r="AC324" s="42"/>
      <c r="AD324" s="42"/>
      <c r="AE324" s="42"/>
      <c r="AF324" s="42"/>
      <c r="AG324" s="42"/>
      <c r="AH324" s="42"/>
      <c r="AI324" s="42"/>
      <c r="AJ324" s="42"/>
      <c r="AK324" s="42"/>
    </row>
    <row r="325">
      <c r="A325" s="20"/>
      <c r="B325" s="20"/>
      <c r="C325" s="20"/>
      <c r="D325" s="20"/>
      <c r="E325" s="20"/>
      <c r="F325" s="21"/>
      <c r="G325" s="20"/>
      <c r="H325" s="20"/>
      <c r="I325" s="20"/>
      <c r="J325" s="20"/>
      <c r="K325" s="20"/>
      <c r="L325" s="21"/>
      <c r="M325" s="33" t="str">
        <f>IFERROR(__xludf.DUMMYFUNCTION("IFS(W325=""Achat"",IFERROR(VALUE(X325),VALUE(REGEXREPLACE(T(X325),""[^0-9]"",""""))),W325=""Vente"",-IFERROR(VALUE(X325),VALUE(REGEXREPLACE(T(X325),""[^0-9]"",""""))),Y325=""Change"",0,Y325&lt;&gt;""Change"","""")"),"")</f>
        <v/>
      </c>
      <c r="N325" s="34" t="str">
        <f>IFERROR(__xludf.DUMMYFUNCTION("IF(Account!$F325&lt;&gt;"""", VALUE(REGEXREPLACE($I325, ""\,"", ""."")), """")"),"")</f>
        <v/>
      </c>
      <c r="O325" s="35" t="str">
        <f>IF(Account!$F325&lt;&gt;"", DATEVALUE(MID($A325,4,3) &amp; LEFT($A325,3) &amp; RIGHT($A325,4)) + TIMEVALUE($B325), "")</f>
        <v/>
      </c>
      <c r="P325" s="36" t="str">
        <f>IF(Account!$F325&lt;&gt;"", DATEVALUE(MID($C325,4,3) &amp; LEFT($C325,3) &amp; RIGHT($C325,4)), "")</f>
        <v/>
      </c>
      <c r="Q325" s="37" t="str">
        <f t="array" ref="Q325">IF($R325&lt;&gt;"",IFERROR(INDEX(ISIN!$B:$B,MATCH($R325,ISIN!$C:$C,0))),)</f>
        <v/>
      </c>
      <c r="R325" s="38" t="str">
        <f t="array" ref="R325">IF($E325&lt;&gt;"",IFERROR(INDEX(ISIN!$C:$C,MATCH($E325,ISIN!$A:$A,0)),IFERROR(INDEX($R326:$R1200,MATCH($K325,$K326:$K1200,0)))),IF(AND($Y325="change",$H325="EUR"),IF($O325=$O326,$R326,IF($O325=$O324,$R324)),IFERROR(INDEX($R326:$R1200,MATCH(SUBSTITUTE($I325,"-","",1),$K326:$K1200,0)))))</f>
        <v/>
      </c>
      <c r="S325" s="37" t="str">
        <f t="shared" si="1"/>
        <v/>
      </c>
      <c r="T325" s="39" t="str">
        <f t="shared" si="2"/>
        <v/>
      </c>
      <c r="U325" s="40" t="str">
        <f t="shared" si="3"/>
        <v/>
      </c>
      <c r="V325" s="34" t="str">
        <f t="shared" si="4"/>
        <v/>
      </c>
      <c r="W325" s="41" t="str">
        <f>IFERROR(__xludf.DUMMYFUNCTION(" IF(Account!$F325&lt;&gt;"""", SPLIT(Account!$F325, "" ""), """")"),"")</f>
        <v/>
      </c>
      <c r="X325" s="42"/>
      <c r="Y325" s="42"/>
      <c r="Z325" s="42"/>
      <c r="AA325" s="42"/>
      <c r="AB325" s="42"/>
      <c r="AC325" s="42"/>
      <c r="AD325" s="42"/>
      <c r="AE325" s="42"/>
      <c r="AF325" s="42"/>
      <c r="AG325" s="42"/>
      <c r="AH325" s="42"/>
      <c r="AI325" s="42"/>
      <c r="AJ325" s="42"/>
      <c r="AK325" s="42"/>
    </row>
    <row r="326">
      <c r="A326" s="20"/>
      <c r="B326" s="20"/>
      <c r="C326" s="20"/>
      <c r="D326" s="20"/>
      <c r="E326" s="20"/>
      <c r="F326" s="21"/>
      <c r="G326" s="20"/>
      <c r="H326" s="20"/>
      <c r="I326" s="20"/>
      <c r="J326" s="20"/>
      <c r="K326" s="20"/>
      <c r="L326" s="21"/>
      <c r="M326" s="33" t="str">
        <f>IFERROR(__xludf.DUMMYFUNCTION("IFS(W326=""Achat"",IFERROR(VALUE(X326),VALUE(REGEXREPLACE(T(X326),""[^0-9]"",""""))),W326=""Vente"",-IFERROR(VALUE(X326),VALUE(REGEXREPLACE(T(X326),""[^0-9]"",""""))),Y326=""Change"",0,Y326&lt;&gt;""Change"","""")"),"")</f>
        <v/>
      </c>
      <c r="N326" s="34" t="str">
        <f>IFERROR(__xludf.DUMMYFUNCTION("IF(Account!$F326&lt;&gt;"""", VALUE(REGEXREPLACE($I326, ""\,"", ""."")), """")"),"")</f>
        <v/>
      </c>
      <c r="O326" s="35" t="str">
        <f>IF(Account!$F326&lt;&gt;"", DATEVALUE(MID($A326,4,3) &amp; LEFT($A326,3) &amp; RIGHT($A326,4)) + TIMEVALUE($B326), "")</f>
        <v/>
      </c>
      <c r="P326" s="36" t="str">
        <f>IF(Account!$F326&lt;&gt;"", DATEVALUE(MID($C326,4,3) &amp; LEFT($C326,3) &amp; RIGHT($C326,4)), "")</f>
        <v/>
      </c>
      <c r="Q326" s="37" t="str">
        <f t="array" ref="Q326">IF($R326&lt;&gt;"",IFERROR(INDEX(ISIN!$B:$B,MATCH($R326,ISIN!$C:$C,0))),)</f>
        <v/>
      </c>
      <c r="R326" s="38" t="str">
        <f t="array" ref="R326">IF($E326&lt;&gt;"",IFERROR(INDEX(ISIN!$C:$C,MATCH($E326,ISIN!$A:$A,0)),IFERROR(INDEX($R327:$R1200,MATCH($K326,$K327:$K1200,0)))),IF(AND($Y326="change",$H326="EUR"),IF($O326=$O327,$R327,IF($O326=$O325,$R325)),IFERROR(INDEX($R327:$R1200,MATCH(SUBSTITUTE($I326,"-","",1),$K327:$K1200,0)))))</f>
        <v/>
      </c>
      <c r="S326" s="37" t="str">
        <f t="shared" si="1"/>
        <v/>
      </c>
      <c r="T326" s="39" t="str">
        <f t="shared" si="2"/>
        <v/>
      </c>
      <c r="U326" s="40" t="str">
        <f t="shared" si="3"/>
        <v/>
      </c>
      <c r="V326" s="34" t="str">
        <f t="shared" si="4"/>
        <v/>
      </c>
      <c r="W326" s="41" t="str">
        <f>IFERROR(__xludf.DUMMYFUNCTION(" IF(Account!$F326&lt;&gt;"""", SPLIT(Account!$F326, "" ""), """")"),"")</f>
        <v/>
      </c>
      <c r="X326" s="42"/>
      <c r="Y326" s="42"/>
      <c r="Z326" s="42"/>
      <c r="AA326" s="42"/>
      <c r="AB326" s="42"/>
      <c r="AC326" s="42"/>
      <c r="AD326" s="42"/>
      <c r="AE326" s="42"/>
      <c r="AF326" s="42"/>
      <c r="AG326" s="42"/>
      <c r="AH326" s="42"/>
      <c r="AI326" s="42"/>
      <c r="AJ326" s="42"/>
      <c r="AK326" s="42"/>
    </row>
    <row r="327">
      <c r="A327" s="20"/>
      <c r="B327" s="20"/>
      <c r="C327" s="20"/>
      <c r="D327" s="20"/>
      <c r="E327" s="20"/>
      <c r="F327" s="21"/>
      <c r="G327" s="20"/>
      <c r="H327" s="20"/>
      <c r="I327" s="20"/>
      <c r="J327" s="20"/>
      <c r="K327" s="20"/>
      <c r="L327" s="21"/>
      <c r="M327" s="33" t="str">
        <f>IFERROR(__xludf.DUMMYFUNCTION("IFS(W327=""Achat"",IFERROR(VALUE(X327),VALUE(REGEXREPLACE(T(X327),""[^0-9]"",""""))),W327=""Vente"",-IFERROR(VALUE(X327),VALUE(REGEXREPLACE(T(X327),""[^0-9]"",""""))),Y327=""Change"",0,Y327&lt;&gt;""Change"","""")"),"")</f>
        <v/>
      </c>
      <c r="N327" s="34" t="str">
        <f>IFERROR(__xludf.DUMMYFUNCTION("IF(Account!$F327&lt;&gt;"""", VALUE(REGEXREPLACE($I327, ""\,"", ""."")), """")"),"")</f>
        <v/>
      </c>
      <c r="O327" s="35" t="str">
        <f>IF(Account!$F327&lt;&gt;"", DATEVALUE(MID($A327,4,3) &amp; LEFT($A327,3) &amp; RIGHT($A327,4)) + TIMEVALUE($B327), "")</f>
        <v/>
      </c>
      <c r="P327" s="36" t="str">
        <f>IF(Account!$F327&lt;&gt;"", DATEVALUE(MID($C327,4,3) &amp; LEFT($C327,3) &amp; RIGHT($C327,4)), "")</f>
        <v/>
      </c>
      <c r="Q327" s="37" t="str">
        <f t="array" ref="Q327">IF($R327&lt;&gt;"",IFERROR(INDEX(ISIN!$B:$B,MATCH($R327,ISIN!$C:$C,0))),)</f>
        <v/>
      </c>
      <c r="R327" s="38" t="str">
        <f t="array" ref="R327">IF($E327&lt;&gt;"",IFERROR(INDEX(ISIN!$C:$C,MATCH($E327,ISIN!$A:$A,0)),IFERROR(INDEX($R328:$R1200,MATCH($K327,$K328:$K1200,0)))),IF(AND($Y327="change",$H327="EUR"),IF($O327=$O328,$R328,IF($O327=$O326,$R326)),IFERROR(INDEX($R328:$R1200,MATCH(SUBSTITUTE($I327,"-","",1),$K328:$K1200,0)))))</f>
        <v/>
      </c>
      <c r="S327" s="37" t="str">
        <f t="shared" si="1"/>
        <v/>
      </c>
      <c r="T327" s="39" t="str">
        <f t="shared" si="2"/>
        <v/>
      </c>
      <c r="U327" s="40" t="str">
        <f t="shared" si="3"/>
        <v/>
      </c>
      <c r="V327" s="34" t="str">
        <f t="shared" si="4"/>
        <v/>
      </c>
      <c r="W327" s="41" t="str">
        <f>IFERROR(__xludf.DUMMYFUNCTION(" IF(Account!$F327&lt;&gt;"""", SPLIT(Account!$F327, "" ""), """")"),"")</f>
        <v/>
      </c>
      <c r="X327" s="42"/>
      <c r="Y327" s="42"/>
      <c r="Z327" s="42"/>
      <c r="AA327" s="42"/>
      <c r="AB327" s="42"/>
      <c r="AC327" s="42"/>
      <c r="AD327" s="42"/>
      <c r="AE327" s="42"/>
      <c r="AF327" s="42"/>
      <c r="AG327" s="42"/>
      <c r="AH327" s="42"/>
      <c r="AI327" s="42"/>
      <c r="AJ327" s="42"/>
      <c r="AK327" s="42"/>
    </row>
    <row r="328">
      <c r="A328" s="20"/>
      <c r="B328" s="20"/>
      <c r="C328" s="20"/>
      <c r="D328" s="20"/>
      <c r="E328" s="20"/>
      <c r="F328" s="21"/>
      <c r="G328" s="20"/>
      <c r="H328" s="20"/>
      <c r="I328" s="20"/>
      <c r="J328" s="20"/>
      <c r="K328" s="20"/>
      <c r="L328" s="21"/>
      <c r="M328" s="33" t="str">
        <f>IFERROR(__xludf.DUMMYFUNCTION("IFS(W328=""Achat"",IFERROR(VALUE(X328),VALUE(REGEXREPLACE(T(X328),""[^0-9]"",""""))),W328=""Vente"",-IFERROR(VALUE(X328),VALUE(REGEXREPLACE(T(X328),""[^0-9]"",""""))),Y328=""Change"",0,Y328&lt;&gt;""Change"","""")"),"")</f>
        <v/>
      </c>
      <c r="N328" s="34" t="str">
        <f>IFERROR(__xludf.DUMMYFUNCTION("IF(Account!$F328&lt;&gt;"""", VALUE(REGEXREPLACE($I328, ""\,"", ""."")), """")"),"")</f>
        <v/>
      </c>
      <c r="O328" s="35" t="str">
        <f>IF(Account!$F328&lt;&gt;"", DATEVALUE(MID($A328,4,3) &amp; LEFT($A328,3) &amp; RIGHT($A328,4)) + TIMEVALUE($B328), "")</f>
        <v/>
      </c>
      <c r="P328" s="36" t="str">
        <f>IF(Account!$F328&lt;&gt;"", DATEVALUE(MID($C328,4,3) &amp; LEFT($C328,3) &amp; RIGHT($C328,4)), "")</f>
        <v/>
      </c>
      <c r="Q328" s="37" t="str">
        <f t="array" ref="Q328">IF($R328&lt;&gt;"",IFERROR(INDEX(ISIN!$B:$B,MATCH($R328,ISIN!$C:$C,0))),)</f>
        <v/>
      </c>
      <c r="R328" s="38" t="str">
        <f t="array" ref="R328">IF($E328&lt;&gt;"",IFERROR(INDEX(ISIN!$C:$C,MATCH($E328,ISIN!$A:$A,0)),IFERROR(INDEX($R329:$R1200,MATCH($K328,$K329:$K1200,0)))),IF(AND($Y328="change",$H328="EUR"),IF($O328=$O329,$R329,IF($O328=$O327,$R327)),IFERROR(INDEX($R329:$R1200,MATCH(SUBSTITUTE($I328,"-","",1),$K329:$K1200,0)))))</f>
        <v/>
      </c>
      <c r="S328" s="37" t="str">
        <f t="shared" si="1"/>
        <v/>
      </c>
      <c r="T328" s="39" t="str">
        <f t="shared" si="2"/>
        <v/>
      </c>
      <c r="U328" s="40" t="str">
        <f t="shared" si="3"/>
        <v/>
      </c>
      <c r="V328" s="34" t="str">
        <f t="shared" si="4"/>
        <v/>
      </c>
      <c r="W328" s="41" t="str">
        <f>IFERROR(__xludf.DUMMYFUNCTION(" IF(Account!$F328&lt;&gt;"""", SPLIT(Account!$F328, "" ""), """")"),"")</f>
        <v/>
      </c>
      <c r="X328" s="42"/>
      <c r="Y328" s="42"/>
      <c r="Z328" s="42"/>
      <c r="AA328" s="42"/>
      <c r="AB328" s="42"/>
      <c r="AC328" s="42"/>
      <c r="AD328" s="42"/>
      <c r="AE328" s="42"/>
      <c r="AF328" s="42"/>
      <c r="AG328" s="42"/>
      <c r="AH328" s="42"/>
      <c r="AI328" s="42"/>
      <c r="AJ328" s="42"/>
      <c r="AK328" s="42"/>
    </row>
    <row r="329">
      <c r="A329" s="20"/>
      <c r="B329" s="20"/>
      <c r="C329" s="20"/>
      <c r="D329" s="20"/>
      <c r="E329" s="20"/>
      <c r="F329" s="21"/>
      <c r="G329" s="20"/>
      <c r="H329" s="20"/>
      <c r="I329" s="20"/>
      <c r="J329" s="20"/>
      <c r="K329" s="20"/>
      <c r="L329" s="21"/>
      <c r="M329" s="33" t="str">
        <f>IFERROR(__xludf.DUMMYFUNCTION("IFS(W329=""Achat"",IFERROR(VALUE(X329),VALUE(REGEXREPLACE(T(X329),""[^0-9]"",""""))),W329=""Vente"",-IFERROR(VALUE(X329),VALUE(REGEXREPLACE(T(X329),""[^0-9]"",""""))),Y329=""Change"",0,Y329&lt;&gt;""Change"","""")"),"")</f>
        <v/>
      </c>
      <c r="N329" s="34" t="str">
        <f>IFERROR(__xludf.DUMMYFUNCTION("IF(Account!$F329&lt;&gt;"""", VALUE(REGEXREPLACE($I329, ""\,"", ""."")), """")"),"")</f>
        <v/>
      </c>
      <c r="O329" s="35" t="str">
        <f>IF(Account!$F329&lt;&gt;"", DATEVALUE(MID($A329,4,3) &amp; LEFT($A329,3) &amp; RIGHT($A329,4)) + TIMEVALUE($B329), "")</f>
        <v/>
      </c>
      <c r="P329" s="36" t="str">
        <f>IF(Account!$F329&lt;&gt;"", DATEVALUE(MID($C329,4,3) &amp; LEFT($C329,3) &amp; RIGHT($C329,4)), "")</f>
        <v/>
      </c>
      <c r="Q329" s="37" t="str">
        <f t="array" ref="Q329">IF($R329&lt;&gt;"",IFERROR(INDEX(ISIN!$B:$B,MATCH($R329,ISIN!$C:$C,0))),)</f>
        <v/>
      </c>
      <c r="R329" s="38" t="str">
        <f t="array" ref="R329">IF($E329&lt;&gt;"",IFERROR(INDEX(ISIN!$C:$C,MATCH($E329,ISIN!$A:$A,0)),IFERROR(INDEX($R330:$R1200,MATCH($K329,$K330:$K1200,0)))),IF(AND($Y329="change",$H329="EUR"),IF($O329=$O330,$R330,IF($O329=$O328,$R328)),IFERROR(INDEX($R330:$R1200,MATCH(SUBSTITUTE($I329,"-","",1),$K330:$K1200,0)))))</f>
        <v/>
      </c>
      <c r="S329" s="37" t="str">
        <f t="shared" si="1"/>
        <v/>
      </c>
      <c r="T329" s="39" t="str">
        <f t="shared" si="2"/>
        <v/>
      </c>
      <c r="U329" s="40" t="str">
        <f t="shared" si="3"/>
        <v/>
      </c>
      <c r="V329" s="34" t="str">
        <f t="shared" si="4"/>
        <v/>
      </c>
      <c r="W329" s="41" t="str">
        <f>IFERROR(__xludf.DUMMYFUNCTION(" IF(Account!$F329&lt;&gt;"""", SPLIT(Account!$F329, "" ""), """")"),"")</f>
        <v/>
      </c>
      <c r="X329" s="42"/>
      <c r="Y329" s="42"/>
      <c r="Z329" s="42"/>
      <c r="AA329" s="42"/>
      <c r="AB329" s="42"/>
      <c r="AC329" s="42"/>
      <c r="AD329" s="42"/>
      <c r="AE329" s="42"/>
      <c r="AF329" s="42"/>
      <c r="AG329" s="42"/>
      <c r="AH329" s="42"/>
      <c r="AI329" s="42"/>
      <c r="AJ329" s="42"/>
      <c r="AK329" s="42"/>
    </row>
    <row r="330">
      <c r="A330" s="20"/>
      <c r="B330" s="20"/>
      <c r="C330" s="20"/>
      <c r="D330" s="20"/>
      <c r="E330" s="20"/>
      <c r="F330" s="21"/>
      <c r="G330" s="20"/>
      <c r="H330" s="20"/>
      <c r="I330" s="20"/>
      <c r="J330" s="20"/>
      <c r="K330" s="20"/>
      <c r="L330" s="21"/>
      <c r="M330" s="33" t="str">
        <f>IFERROR(__xludf.DUMMYFUNCTION("IFS(W330=""Achat"",IFERROR(VALUE(X330),VALUE(REGEXREPLACE(T(X330),""[^0-9]"",""""))),W330=""Vente"",-IFERROR(VALUE(X330),VALUE(REGEXREPLACE(T(X330),""[^0-9]"",""""))),Y330=""Change"",0,Y330&lt;&gt;""Change"","""")"),"")</f>
        <v/>
      </c>
      <c r="N330" s="34" t="str">
        <f>IFERROR(__xludf.DUMMYFUNCTION("IF(Account!$F330&lt;&gt;"""", VALUE(REGEXREPLACE($I330, ""\,"", ""."")), """")"),"")</f>
        <v/>
      </c>
      <c r="O330" s="35" t="str">
        <f>IF(Account!$F330&lt;&gt;"", DATEVALUE(MID($A330,4,3) &amp; LEFT($A330,3) &amp; RIGHT($A330,4)) + TIMEVALUE($B330), "")</f>
        <v/>
      </c>
      <c r="P330" s="36" t="str">
        <f>IF(Account!$F330&lt;&gt;"", DATEVALUE(MID($C330,4,3) &amp; LEFT($C330,3) &amp; RIGHT($C330,4)), "")</f>
        <v/>
      </c>
      <c r="Q330" s="37" t="str">
        <f t="array" ref="Q330">IF($R330&lt;&gt;"",IFERROR(INDEX(ISIN!$B:$B,MATCH($R330,ISIN!$C:$C,0))),)</f>
        <v/>
      </c>
      <c r="R330" s="38" t="str">
        <f t="array" ref="R330">IF($E330&lt;&gt;"",IFERROR(INDEX(ISIN!$C:$C,MATCH($E330,ISIN!$A:$A,0)),IFERROR(INDEX($R331:$R1200,MATCH($K330,$K331:$K1200,0)))),IF(AND($Y330="change",$H330="EUR"),IF($O330=$O331,$R331,IF($O330=$O329,$R329)),IFERROR(INDEX($R331:$R1200,MATCH(SUBSTITUTE($I330,"-","",1),$K331:$K1200,0)))))</f>
        <v/>
      </c>
      <c r="S330" s="37" t="str">
        <f t="shared" si="1"/>
        <v/>
      </c>
      <c r="T330" s="39" t="str">
        <f t="shared" si="2"/>
        <v/>
      </c>
      <c r="U330" s="40" t="str">
        <f t="shared" si="3"/>
        <v/>
      </c>
      <c r="V330" s="34" t="str">
        <f t="shared" si="4"/>
        <v/>
      </c>
      <c r="W330" s="41" t="str">
        <f>IFERROR(__xludf.DUMMYFUNCTION(" IF(Account!$F330&lt;&gt;"""", SPLIT(Account!$F330, "" ""), """")"),"")</f>
        <v/>
      </c>
      <c r="X330" s="42"/>
      <c r="Y330" s="42"/>
      <c r="Z330" s="42"/>
      <c r="AA330" s="42"/>
      <c r="AB330" s="42"/>
      <c r="AC330" s="42"/>
      <c r="AD330" s="42"/>
      <c r="AE330" s="42"/>
      <c r="AF330" s="42"/>
      <c r="AG330" s="42"/>
      <c r="AH330" s="42"/>
      <c r="AI330" s="42"/>
      <c r="AJ330" s="42"/>
      <c r="AK330" s="42"/>
    </row>
    <row r="331">
      <c r="A331" s="20"/>
      <c r="B331" s="20"/>
      <c r="C331" s="20"/>
      <c r="D331" s="20"/>
      <c r="E331" s="20"/>
      <c r="F331" s="21"/>
      <c r="G331" s="20"/>
      <c r="H331" s="20"/>
      <c r="I331" s="20"/>
      <c r="J331" s="20"/>
      <c r="K331" s="20"/>
      <c r="L331" s="21"/>
      <c r="M331" s="33" t="str">
        <f>IFERROR(__xludf.DUMMYFUNCTION("IFS(W331=""Achat"",IFERROR(VALUE(X331),VALUE(REGEXREPLACE(T(X331),""[^0-9]"",""""))),W331=""Vente"",-IFERROR(VALUE(X331),VALUE(REGEXREPLACE(T(X331),""[^0-9]"",""""))),Y331=""Change"",0,Y331&lt;&gt;""Change"","""")"),"")</f>
        <v/>
      </c>
      <c r="N331" s="34" t="str">
        <f>IFERROR(__xludf.DUMMYFUNCTION("IF(Account!$F331&lt;&gt;"""", VALUE(REGEXREPLACE($I331, ""\,"", ""."")), """")"),"")</f>
        <v/>
      </c>
      <c r="O331" s="35" t="str">
        <f>IF(Account!$F331&lt;&gt;"", DATEVALUE(MID($A331,4,3) &amp; LEFT($A331,3) &amp; RIGHT($A331,4)) + TIMEVALUE($B331), "")</f>
        <v/>
      </c>
      <c r="P331" s="36" t="str">
        <f>IF(Account!$F331&lt;&gt;"", DATEVALUE(MID($C331,4,3) &amp; LEFT($C331,3) &amp; RIGHT($C331,4)), "")</f>
        <v/>
      </c>
      <c r="Q331" s="37" t="str">
        <f t="array" ref="Q331">IF($R331&lt;&gt;"",IFERROR(INDEX(ISIN!$B:$B,MATCH($R331,ISIN!$C:$C,0))),)</f>
        <v/>
      </c>
      <c r="R331" s="38" t="str">
        <f t="array" ref="R331">IF($E331&lt;&gt;"",IFERROR(INDEX(ISIN!$C:$C,MATCH($E331,ISIN!$A:$A,0)),IFERROR(INDEX($R332:$R1200,MATCH($K331,$K332:$K1200,0)))),IF(AND($Y331="change",$H331="EUR"),IF($O331=$O332,$R332,IF($O331=$O330,$R330)),IFERROR(INDEX($R332:$R1200,MATCH(SUBSTITUTE($I331,"-","",1),$K332:$K1200,0)))))</f>
        <v/>
      </c>
      <c r="S331" s="37" t="str">
        <f t="shared" si="1"/>
        <v/>
      </c>
      <c r="T331" s="39" t="str">
        <f t="shared" si="2"/>
        <v/>
      </c>
      <c r="U331" s="40" t="str">
        <f t="shared" si="3"/>
        <v/>
      </c>
      <c r="V331" s="34" t="str">
        <f t="shared" si="4"/>
        <v/>
      </c>
      <c r="W331" s="41" t="str">
        <f>IFERROR(__xludf.DUMMYFUNCTION(" IF(Account!$F331&lt;&gt;"""", SPLIT(Account!$F331, "" ""), """")"),"")</f>
        <v/>
      </c>
      <c r="X331" s="42"/>
      <c r="Y331" s="42"/>
      <c r="Z331" s="42"/>
      <c r="AA331" s="42"/>
      <c r="AB331" s="42"/>
      <c r="AC331" s="42"/>
      <c r="AD331" s="42"/>
      <c r="AE331" s="42"/>
      <c r="AF331" s="42"/>
      <c r="AG331" s="42"/>
      <c r="AH331" s="42"/>
      <c r="AI331" s="42"/>
      <c r="AJ331" s="42"/>
      <c r="AK331" s="42"/>
    </row>
    <row r="332">
      <c r="A332" s="20"/>
      <c r="B332" s="20"/>
      <c r="C332" s="20"/>
      <c r="D332" s="20"/>
      <c r="E332" s="20"/>
      <c r="F332" s="21"/>
      <c r="G332" s="20"/>
      <c r="H332" s="20"/>
      <c r="I332" s="20"/>
      <c r="J332" s="20"/>
      <c r="K332" s="20"/>
      <c r="L332" s="21"/>
      <c r="M332" s="33" t="str">
        <f>IFERROR(__xludf.DUMMYFUNCTION("IFS(W332=""Achat"",IFERROR(VALUE(X332),VALUE(REGEXREPLACE(T(X332),""[^0-9]"",""""))),W332=""Vente"",-IFERROR(VALUE(X332),VALUE(REGEXREPLACE(T(X332),""[^0-9]"",""""))),Y332=""Change"",0,Y332&lt;&gt;""Change"","""")"),"")</f>
        <v/>
      </c>
      <c r="N332" s="34" t="str">
        <f>IFERROR(__xludf.DUMMYFUNCTION("IF(Account!$F332&lt;&gt;"""", VALUE(REGEXREPLACE($I332, ""\,"", ""."")), """")"),"")</f>
        <v/>
      </c>
      <c r="O332" s="35" t="str">
        <f>IF(Account!$F332&lt;&gt;"", DATEVALUE(MID($A332,4,3) &amp; LEFT($A332,3) &amp; RIGHT($A332,4)) + TIMEVALUE($B332), "")</f>
        <v/>
      </c>
      <c r="P332" s="36" t="str">
        <f>IF(Account!$F332&lt;&gt;"", DATEVALUE(MID($C332,4,3) &amp; LEFT($C332,3) &amp; RIGHT($C332,4)), "")</f>
        <v/>
      </c>
      <c r="Q332" s="37" t="str">
        <f t="array" ref="Q332">IF($R332&lt;&gt;"",IFERROR(INDEX(ISIN!$B:$B,MATCH($R332,ISIN!$C:$C,0))),)</f>
        <v/>
      </c>
      <c r="R332" s="38" t="str">
        <f t="array" ref="R332">IF($E332&lt;&gt;"",IFERROR(INDEX(ISIN!$C:$C,MATCH($E332,ISIN!$A:$A,0)),IFERROR(INDEX($R333:$R1200,MATCH($K332,$K333:$K1200,0)))),IF(AND($Y332="change",$H332="EUR"),IF($O332=$O333,$R333,IF($O332=$O331,$R331)),IFERROR(INDEX($R333:$R1200,MATCH(SUBSTITUTE($I332,"-","",1),$K333:$K1200,0)))))</f>
        <v/>
      </c>
      <c r="S332" s="37" t="str">
        <f t="shared" si="1"/>
        <v/>
      </c>
      <c r="T332" s="39" t="str">
        <f t="shared" si="2"/>
        <v/>
      </c>
      <c r="U332" s="40" t="str">
        <f t="shared" si="3"/>
        <v/>
      </c>
      <c r="V332" s="34" t="str">
        <f t="shared" si="4"/>
        <v/>
      </c>
      <c r="W332" s="41" t="str">
        <f>IFERROR(__xludf.DUMMYFUNCTION(" IF(Account!$F332&lt;&gt;"""", SPLIT(Account!$F332, "" ""), """")"),"")</f>
        <v/>
      </c>
      <c r="X332" s="42"/>
      <c r="Y332" s="42"/>
      <c r="Z332" s="42"/>
      <c r="AA332" s="42"/>
      <c r="AB332" s="42"/>
      <c r="AC332" s="42"/>
      <c r="AD332" s="42"/>
      <c r="AE332" s="42"/>
      <c r="AF332" s="42"/>
      <c r="AG332" s="42"/>
      <c r="AH332" s="42"/>
      <c r="AI332" s="42"/>
      <c r="AJ332" s="42"/>
      <c r="AK332" s="42"/>
    </row>
    <row r="333">
      <c r="A333" s="20"/>
      <c r="B333" s="20"/>
      <c r="C333" s="20"/>
      <c r="D333" s="20"/>
      <c r="E333" s="20"/>
      <c r="F333" s="21"/>
      <c r="G333" s="20"/>
      <c r="H333" s="20"/>
      <c r="I333" s="20"/>
      <c r="J333" s="20"/>
      <c r="K333" s="20"/>
      <c r="L333" s="21"/>
      <c r="M333" s="33" t="str">
        <f>IFERROR(__xludf.DUMMYFUNCTION("IFS(W333=""Achat"",IFERROR(VALUE(X333),VALUE(REGEXREPLACE(T(X333),""[^0-9]"",""""))),W333=""Vente"",-IFERROR(VALUE(X333),VALUE(REGEXREPLACE(T(X333),""[^0-9]"",""""))),Y333=""Change"",0,Y333&lt;&gt;""Change"","""")"),"")</f>
        <v/>
      </c>
      <c r="N333" s="34" t="str">
        <f>IFERROR(__xludf.DUMMYFUNCTION("IF(Account!$F333&lt;&gt;"""", VALUE(REGEXREPLACE($I333, ""\,"", ""."")), """")"),"")</f>
        <v/>
      </c>
      <c r="O333" s="35" t="str">
        <f>IF(Account!$F333&lt;&gt;"", DATEVALUE(MID($A333,4,3) &amp; LEFT($A333,3) &amp; RIGHT($A333,4)) + TIMEVALUE($B333), "")</f>
        <v/>
      </c>
      <c r="P333" s="36" t="str">
        <f>IF(Account!$F333&lt;&gt;"", DATEVALUE(MID($C333,4,3) &amp; LEFT($C333,3) &amp; RIGHT($C333,4)), "")</f>
        <v/>
      </c>
      <c r="Q333" s="37" t="str">
        <f t="array" ref="Q333">IF($R333&lt;&gt;"",IFERROR(INDEX(ISIN!$B:$B,MATCH($R333,ISIN!$C:$C,0))),)</f>
        <v/>
      </c>
      <c r="R333" s="38" t="str">
        <f t="array" ref="R333">IF($E333&lt;&gt;"",IFERROR(INDEX(ISIN!$C:$C,MATCH($E333,ISIN!$A:$A,0)),IFERROR(INDEX($R334:$R1200,MATCH($K333,$K334:$K1200,0)))),IF(AND($Y333="change",$H333="EUR"),IF($O333=$O334,$R334,IF($O333=$O332,$R332)),IFERROR(INDEX($R334:$R1200,MATCH(SUBSTITUTE($I333,"-","",1),$K334:$K1200,0)))))</f>
        <v/>
      </c>
      <c r="S333" s="37" t="str">
        <f t="shared" si="1"/>
        <v/>
      </c>
      <c r="T333" s="39" t="str">
        <f t="shared" si="2"/>
        <v/>
      </c>
      <c r="U333" s="40" t="str">
        <f t="shared" si="3"/>
        <v/>
      </c>
      <c r="V333" s="34" t="str">
        <f t="shared" si="4"/>
        <v/>
      </c>
      <c r="W333" s="41" t="str">
        <f>IFERROR(__xludf.DUMMYFUNCTION(" IF(Account!$F333&lt;&gt;"""", SPLIT(Account!$F333, "" ""), """")"),"")</f>
        <v/>
      </c>
      <c r="X333" s="42"/>
      <c r="Y333" s="42"/>
      <c r="Z333" s="42"/>
      <c r="AA333" s="42"/>
      <c r="AB333" s="42"/>
      <c r="AC333" s="42"/>
      <c r="AD333" s="42"/>
      <c r="AE333" s="42"/>
      <c r="AF333" s="42"/>
      <c r="AG333" s="42"/>
      <c r="AH333" s="42"/>
      <c r="AI333" s="42"/>
      <c r="AJ333" s="42"/>
      <c r="AK333" s="42"/>
    </row>
    <row r="334">
      <c r="A334" s="20"/>
      <c r="B334" s="20"/>
      <c r="C334" s="20"/>
      <c r="D334" s="20"/>
      <c r="E334" s="20"/>
      <c r="F334" s="21"/>
      <c r="G334" s="20"/>
      <c r="H334" s="20"/>
      <c r="I334" s="20"/>
      <c r="J334" s="20"/>
      <c r="K334" s="20"/>
      <c r="L334" s="21"/>
      <c r="M334" s="33" t="str">
        <f>IFERROR(__xludf.DUMMYFUNCTION("IFS(W334=""Achat"",IFERROR(VALUE(X334),VALUE(REGEXREPLACE(T(X334),""[^0-9]"",""""))),W334=""Vente"",-IFERROR(VALUE(X334),VALUE(REGEXREPLACE(T(X334),""[^0-9]"",""""))),Y334=""Change"",0,Y334&lt;&gt;""Change"","""")"),"")</f>
        <v/>
      </c>
      <c r="N334" s="34" t="str">
        <f>IFERROR(__xludf.DUMMYFUNCTION("IF(Account!$F334&lt;&gt;"""", VALUE(REGEXREPLACE($I334, ""\,"", ""."")), """")"),"")</f>
        <v/>
      </c>
      <c r="O334" s="35" t="str">
        <f>IF(Account!$F334&lt;&gt;"", DATEVALUE(MID($A334,4,3) &amp; LEFT($A334,3) &amp; RIGHT($A334,4)) + TIMEVALUE($B334), "")</f>
        <v/>
      </c>
      <c r="P334" s="36" t="str">
        <f>IF(Account!$F334&lt;&gt;"", DATEVALUE(MID($C334,4,3) &amp; LEFT($C334,3) &amp; RIGHT($C334,4)), "")</f>
        <v/>
      </c>
      <c r="Q334" s="37" t="str">
        <f t="array" ref="Q334">IF($R334&lt;&gt;"",IFERROR(INDEX(ISIN!$B:$B,MATCH($R334,ISIN!$C:$C,0))),)</f>
        <v/>
      </c>
      <c r="R334" s="38" t="str">
        <f t="array" ref="R334">IF($E334&lt;&gt;"",IFERROR(INDEX(ISIN!$C:$C,MATCH($E334,ISIN!$A:$A,0)),IFERROR(INDEX($R335:$R1200,MATCH($K334,$K335:$K1200,0)))),IF(AND($Y334="change",$H334="EUR"),IF($O334=$O335,$R335,IF($O334=$O333,$R333)),IFERROR(INDEX($R335:$R1200,MATCH(SUBSTITUTE($I334,"-","",1),$K335:$K1200,0)))))</f>
        <v/>
      </c>
      <c r="S334" s="37" t="str">
        <f t="shared" si="1"/>
        <v/>
      </c>
      <c r="T334" s="39" t="str">
        <f t="shared" si="2"/>
        <v/>
      </c>
      <c r="U334" s="40" t="str">
        <f t="shared" si="3"/>
        <v/>
      </c>
      <c r="V334" s="34" t="str">
        <f t="shared" si="4"/>
        <v/>
      </c>
      <c r="W334" s="41" t="str">
        <f>IFERROR(__xludf.DUMMYFUNCTION(" IF(Account!$F334&lt;&gt;"""", SPLIT(Account!$F334, "" ""), """")"),"")</f>
        <v/>
      </c>
      <c r="X334" s="42"/>
      <c r="Y334" s="42"/>
      <c r="Z334" s="42"/>
      <c r="AA334" s="42"/>
      <c r="AB334" s="42"/>
      <c r="AC334" s="42"/>
      <c r="AD334" s="42"/>
      <c r="AE334" s="42"/>
      <c r="AF334" s="42"/>
      <c r="AG334" s="42"/>
      <c r="AH334" s="42"/>
      <c r="AI334" s="42"/>
      <c r="AJ334" s="42"/>
      <c r="AK334" s="42"/>
    </row>
    <row r="335">
      <c r="A335" s="20"/>
      <c r="B335" s="20"/>
      <c r="C335" s="20"/>
      <c r="D335" s="20"/>
      <c r="E335" s="20"/>
      <c r="F335" s="21"/>
      <c r="G335" s="20"/>
      <c r="H335" s="20"/>
      <c r="I335" s="20"/>
      <c r="J335" s="20"/>
      <c r="K335" s="20"/>
      <c r="L335" s="21"/>
      <c r="M335" s="33" t="str">
        <f>IFERROR(__xludf.DUMMYFUNCTION("IFS(W335=""Achat"",IFERROR(VALUE(X335),VALUE(REGEXREPLACE(T(X335),""[^0-9]"",""""))),W335=""Vente"",-IFERROR(VALUE(X335),VALUE(REGEXREPLACE(T(X335),""[^0-9]"",""""))),Y335=""Change"",0,Y335&lt;&gt;""Change"","""")"),"")</f>
        <v/>
      </c>
      <c r="N335" s="34" t="str">
        <f>IFERROR(__xludf.DUMMYFUNCTION("IF(Account!$F335&lt;&gt;"""", VALUE(REGEXREPLACE($I335, ""\,"", ""."")), """")"),"")</f>
        <v/>
      </c>
      <c r="O335" s="35" t="str">
        <f>IF(Account!$F335&lt;&gt;"", DATEVALUE(MID($A335,4,3) &amp; LEFT($A335,3) &amp; RIGHT($A335,4)) + TIMEVALUE($B335), "")</f>
        <v/>
      </c>
      <c r="P335" s="36" t="str">
        <f>IF(Account!$F335&lt;&gt;"", DATEVALUE(MID($C335,4,3) &amp; LEFT($C335,3) &amp; RIGHT($C335,4)), "")</f>
        <v/>
      </c>
      <c r="Q335" s="37" t="str">
        <f t="array" ref="Q335">IF($R335&lt;&gt;"",IFERROR(INDEX(ISIN!$B:$B,MATCH($R335,ISIN!$C:$C,0))),)</f>
        <v/>
      </c>
      <c r="R335" s="38" t="str">
        <f t="array" ref="R335">IF($E335&lt;&gt;"",IFERROR(INDEX(ISIN!$C:$C,MATCH($E335,ISIN!$A:$A,0)),IFERROR(INDEX($R336:$R1200,MATCH($K335,$K336:$K1200,0)))),IF(AND($Y335="change",$H335="EUR"),IF($O335=$O336,$R336,IF($O335=$O334,$R334)),IFERROR(INDEX($R336:$R1200,MATCH(SUBSTITUTE($I335,"-","",1),$K336:$K1200,0)))))</f>
        <v/>
      </c>
      <c r="S335" s="37" t="str">
        <f t="shared" si="1"/>
        <v/>
      </c>
      <c r="T335" s="39" t="str">
        <f t="shared" si="2"/>
        <v/>
      </c>
      <c r="U335" s="40" t="str">
        <f t="shared" si="3"/>
        <v/>
      </c>
      <c r="V335" s="34" t="str">
        <f t="shared" si="4"/>
        <v/>
      </c>
      <c r="W335" s="41" t="str">
        <f>IFERROR(__xludf.DUMMYFUNCTION(" IF(Account!$F335&lt;&gt;"""", SPLIT(Account!$F335, "" ""), """")"),"")</f>
        <v/>
      </c>
      <c r="X335" s="42"/>
      <c r="Y335" s="42"/>
      <c r="Z335" s="42"/>
      <c r="AA335" s="42"/>
      <c r="AB335" s="42"/>
      <c r="AC335" s="42"/>
      <c r="AD335" s="42"/>
      <c r="AE335" s="42"/>
      <c r="AF335" s="42"/>
      <c r="AG335" s="42"/>
      <c r="AH335" s="42"/>
      <c r="AI335" s="42"/>
      <c r="AJ335" s="42"/>
      <c r="AK335" s="42"/>
    </row>
    <row r="336">
      <c r="A336" s="20"/>
      <c r="B336" s="20"/>
      <c r="C336" s="20"/>
      <c r="D336" s="20"/>
      <c r="E336" s="20"/>
      <c r="F336" s="21"/>
      <c r="G336" s="20"/>
      <c r="H336" s="20"/>
      <c r="I336" s="20"/>
      <c r="J336" s="20"/>
      <c r="K336" s="20"/>
      <c r="L336" s="21"/>
      <c r="M336" s="33" t="str">
        <f>IFERROR(__xludf.DUMMYFUNCTION("IFS(W336=""Achat"",IFERROR(VALUE(X336),VALUE(REGEXREPLACE(T(X336),""[^0-9]"",""""))),W336=""Vente"",-IFERROR(VALUE(X336),VALUE(REGEXREPLACE(T(X336),""[^0-9]"",""""))),Y336=""Change"",0,Y336&lt;&gt;""Change"","""")"),"")</f>
        <v/>
      </c>
      <c r="N336" s="34" t="str">
        <f>IFERROR(__xludf.DUMMYFUNCTION("IF(Account!$F336&lt;&gt;"""", VALUE(REGEXREPLACE($I336, ""\,"", ""."")), """")"),"")</f>
        <v/>
      </c>
      <c r="O336" s="35" t="str">
        <f>IF(Account!$F336&lt;&gt;"", DATEVALUE(MID($A336,4,3) &amp; LEFT($A336,3) &amp; RIGHT($A336,4)) + TIMEVALUE($B336), "")</f>
        <v/>
      </c>
      <c r="P336" s="36" t="str">
        <f>IF(Account!$F336&lt;&gt;"", DATEVALUE(MID($C336,4,3) &amp; LEFT($C336,3) &amp; RIGHT($C336,4)), "")</f>
        <v/>
      </c>
      <c r="Q336" s="37" t="str">
        <f t="array" ref="Q336">IF($R336&lt;&gt;"",IFERROR(INDEX(ISIN!$B:$B,MATCH($R336,ISIN!$C:$C,0))),)</f>
        <v/>
      </c>
      <c r="R336" s="38" t="str">
        <f t="array" ref="R336">IF($E336&lt;&gt;"",IFERROR(INDEX(ISIN!$C:$C,MATCH($E336,ISIN!$A:$A,0)),IFERROR(INDEX($R337:$R1200,MATCH($K336,$K337:$K1200,0)))),IF(AND($Y336="change",$H336="EUR"),IF($O336=$O337,$R337,IF($O336=$O335,$R335)),IFERROR(INDEX($R337:$R1200,MATCH(SUBSTITUTE($I336,"-","",1),$K337:$K1200,0)))))</f>
        <v/>
      </c>
      <c r="S336" s="37" t="str">
        <f t="shared" si="1"/>
        <v/>
      </c>
      <c r="T336" s="39" t="str">
        <f t="shared" si="2"/>
        <v/>
      </c>
      <c r="U336" s="40" t="str">
        <f t="shared" si="3"/>
        <v/>
      </c>
      <c r="V336" s="34" t="str">
        <f t="shared" si="4"/>
        <v/>
      </c>
      <c r="W336" s="41" t="str">
        <f>IFERROR(__xludf.DUMMYFUNCTION(" IF(Account!$F336&lt;&gt;"""", SPLIT(Account!$F336, "" ""), """")"),"")</f>
        <v/>
      </c>
      <c r="X336" s="42"/>
      <c r="Y336" s="42"/>
      <c r="Z336" s="42"/>
      <c r="AA336" s="42"/>
      <c r="AB336" s="42"/>
      <c r="AC336" s="42"/>
      <c r="AD336" s="42"/>
      <c r="AE336" s="42"/>
      <c r="AF336" s="42"/>
      <c r="AG336" s="42"/>
      <c r="AH336" s="42"/>
      <c r="AI336" s="42"/>
      <c r="AJ336" s="42"/>
      <c r="AK336" s="42"/>
    </row>
    <row r="337">
      <c r="A337" s="20"/>
      <c r="B337" s="20"/>
      <c r="C337" s="20"/>
      <c r="D337" s="20"/>
      <c r="E337" s="20"/>
      <c r="F337" s="21"/>
      <c r="G337" s="20"/>
      <c r="H337" s="20"/>
      <c r="I337" s="20"/>
      <c r="J337" s="20"/>
      <c r="K337" s="20"/>
      <c r="L337" s="21"/>
      <c r="M337" s="33" t="str">
        <f>IFERROR(__xludf.DUMMYFUNCTION("IFS(W337=""Achat"",IFERROR(VALUE(X337),VALUE(REGEXREPLACE(T(X337),""[^0-9]"",""""))),W337=""Vente"",-IFERROR(VALUE(X337),VALUE(REGEXREPLACE(T(X337),""[^0-9]"",""""))),Y337=""Change"",0,Y337&lt;&gt;""Change"","""")"),"")</f>
        <v/>
      </c>
      <c r="N337" s="34" t="str">
        <f>IFERROR(__xludf.DUMMYFUNCTION("IF(Account!$F337&lt;&gt;"""", VALUE(REGEXREPLACE($I337, ""\,"", ""."")), """")"),"")</f>
        <v/>
      </c>
      <c r="O337" s="35" t="str">
        <f>IF(Account!$F337&lt;&gt;"", DATEVALUE(MID($A337,4,3) &amp; LEFT($A337,3) &amp; RIGHT($A337,4)) + TIMEVALUE($B337), "")</f>
        <v/>
      </c>
      <c r="P337" s="36" t="str">
        <f>IF(Account!$F337&lt;&gt;"", DATEVALUE(MID($C337,4,3) &amp; LEFT($C337,3) &amp; RIGHT($C337,4)), "")</f>
        <v/>
      </c>
      <c r="Q337" s="37" t="str">
        <f t="array" ref="Q337">IF($R337&lt;&gt;"",IFERROR(INDEX(ISIN!$B:$B,MATCH($R337,ISIN!$C:$C,0))),)</f>
        <v/>
      </c>
      <c r="R337" s="38" t="str">
        <f t="array" ref="R337">IF($E337&lt;&gt;"",IFERROR(INDEX(ISIN!$C:$C,MATCH($E337,ISIN!$A:$A,0)),IFERROR(INDEX($R338:$R1200,MATCH($K337,$K338:$K1200,0)))),IF(AND($Y337="change",$H337="EUR"),IF($O337=$O338,$R338,IF($O337=$O336,$R336)),IFERROR(INDEX($R338:$R1200,MATCH(SUBSTITUTE($I337,"-","",1),$K338:$K1200,0)))))</f>
        <v/>
      </c>
      <c r="S337" s="37" t="str">
        <f t="shared" si="1"/>
        <v/>
      </c>
      <c r="T337" s="39" t="str">
        <f t="shared" si="2"/>
        <v/>
      </c>
      <c r="U337" s="40" t="str">
        <f t="shared" si="3"/>
        <v/>
      </c>
      <c r="V337" s="34" t="str">
        <f t="shared" si="4"/>
        <v/>
      </c>
      <c r="W337" s="41" t="str">
        <f>IFERROR(__xludf.DUMMYFUNCTION(" IF(Account!$F337&lt;&gt;"""", SPLIT(Account!$F337, "" ""), """")"),"")</f>
        <v/>
      </c>
      <c r="X337" s="42"/>
      <c r="Y337" s="42"/>
      <c r="Z337" s="42"/>
      <c r="AA337" s="42"/>
      <c r="AB337" s="42"/>
      <c r="AC337" s="42"/>
      <c r="AD337" s="42"/>
      <c r="AE337" s="42"/>
      <c r="AF337" s="42"/>
      <c r="AG337" s="42"/>
      <c r="AH337" s="42"/>
      <c r="AI337" s="42"/>
      <c r="AJ337" s="42"/>
      <c r="AK337" s="42"/>
    </row>
    <row r="338">
      <c r="A338" s="20"/>
      <c r="B338" s="20"/>
      <c r="C338" s="20"/>
      <c r="D338" s="20"/>
      <c r="E338" s="20"/>
      <c r="F338" s="21"/>
      <c r="G338" s="20"/>
      <c r="H338" s="20"/>
      <c r="I338" s="20"/>
      <c r="J338" s="20"/>
      <c r="K338" s="20"/>
      <c r="L338" s="21"/>
      <c r="M338" s="33" t="str">
        <f>IFERROR(__xludf.DUMMYFUNCTION("IFS(W338=""Achat"",IFERROR(VALUE(X338),VALUE(REGEXREPLACE(T(X338),""[^0-9]"",""""))),W338=""Vente"",-IFERROR(VALUE(X338),VALUE(REGEXREPLACE(T(X338),""[^0-9]"",""""))),Y338=""Change"",0,Y338&lt;&gt;""Change"","""")"),"")</f>
        <v/>
      </c>
      <c r="N338" s="34" t="str">
        <f>IFERROR(__xludf.DUMMYFUNCTION("IF(Account!$F338&lt;&gt;"""", VALUE(REGEXREPLACE($I338, ""\,"", ""."")), """")"),"")</f>
        <v/>
      </c>
      <c r="O338" s="35" t="str">
        <f>IF(Account!$F338&lt;&gt;"", DATEVALUE(MID($A338,4,3) &amp; LEFT($A338,3) &amp; RIGHT($A338,4)) + TIMEVALUE($B338), "")</f>
        <v/>
      </c>
      <c r="P338" s="36" t="str">
        <f>IF(Account!$F338&lt;&gt;"", DATEVALUE(MID($C338,4,3) &amp; LEFT($C338,3) &amp; RIGHT($C338,4)), "")</f>
        <v/>
      </c>
      <c r="Q338" s="37" t="str">
        <f t="array" ref="Q338">IF($R338&lt;&gt;"",IFERROR(INDEX(ISIN!$B:$B,MATCH($R338,ISIN!$C:$C,0))),)</f>
        <v/>
      </c>
      <c r="R338" s="38" t="str">
        <f t="array" ref="R338">IF($E338&lt;&gt;"",IFERROR(INDEX(ISIN!$C:$C,MATCH($E338,ISIN!$A:$A,0)),IFERROR(INDEX($R339:$R1200,MATCH($K338,$K339:$K1200,0)))),IF(AND($Y338="change",$H338="EUR"),IF($O338=$O339,$R339,IF($O338=$O337,$R337)),IFERROR(INDEX($R339:$R1200,MATCH(SUBSTITUTE($I338,"-","",1),$K339:$K1200,0)))))</f>
        <v/>
      </c>
      <c r="S338" s="37" t="str">
        <f t="shared" si="1"/>
        <v/>
      </c>
      <c r="T338" s="39" t="str">
        <f t="shared" si="2"/>
        <v/>
      </c>
      <c r="U338" s="40" t="str">
        <f t="shared" si="3"/>
        <v/>
      </c>
      <c r="V338" s="34" t="str">
        <f t="shared" si="4"/>
        <v/>
      </c>
      <c r="W338" s="41" t="str">
        <f>IFERROR(__xludf.DUMMYFUNCTION(" IF(Account!$F338&lt;&gt;"""", SPLIT(Account!$F338, "" ""), """")"),"")</f>
        <v/>
      </c>
      <c r="X338" s="42"/>
      <c r="Y338" s="42"/>
      <c r="Z338" s="42"/>
      <c r="AA338" s="42"/>
      <c r="AB338" s="42"/>
      <c r="AC338" s="42"/>
      <c r="AD338" s="42"/>
      <c r="AE338" s="42"/>
      <c r="AF338" s="42"/>
      <c r="AG338" s="42"/>
      <c r="AH338" s="42"/>
      <c r="AI338" s="42"/>
      <c r="AJ338" s="42"/>
      <c r="AK338" s="42"/>
    </row>
    <row r="339">
      <c r="A339" s="20"/>
      <c r="B339" s="20"/>
      <c r="C339" s="20"/>
      <c r="D339" s="20"/>
      <c r="E339" s="20"/>
      <c r="F339" s="21"/>
      <c r="G339" s="45"/>
      <c r="H339" s="20"/>
      <c r="I339" s="20"/>
      <c r="J339" s="20"/>
      <c r="K339" s="20"/>
      <c r="L339" s="21"/>
      <c r="M339" s="33" t="str">
        <f>IFERROR(__xludf.DUMMYFUNCTION("IFS(W339=""Achat"",IFERROR(VALUE(X339),VALUE(REGEXREPLACE(T(X339),""[^0-9]"",""""))),W339=""Vente"",-IFERROR(VALUE(X339),VALUE(REGEXREPLACE(T(X339),""[^0-9]"",""""))),Y339=""Change"",0,Y339&lt;&gt;""Change"","""")"),"")</f>
        <v/>
      </c>
      <c r="N339" s="34" t="str">
        <f>IFERROR(__xludf.DUMMYFUNCTION("IF(Account!$F339&lt;&gt;"""", VALUE(REGEXREPLACE($I339, ""\,"", ""."")), """")"),"")</f>
        <v/>
      </c>
      <c r="O339" s="35" t="str">
        <f>IF(Account!$F339&lt;&gt;"", DATEVALUE(MID($A339,4,3) &amp; LEFT($A339,3) &amp; RIGHT($A339,4)) + TIMEVALUE($B339), "")</f>
        <v/>
      </c>
      <c r="P339" s="36" t="str">
        <f>IF(Account!$F339&lt;&gt;"", DATEVALUE(MID($C339,4,3) &amp; LEFT($C339,3) &amp; RIGHT($C339,4)), "")</f>
        <v/>
      </c>
      <c r="Q339" s="37" t="str">
        <f t="array" ref="Q339">IF($R339&lt;&gt;"",IFERROR(INDEX(ISIN!$B:$B,MATCH($R339,ISIN!$C:$C,0))),)</f>
        <v/>
      </c>
      <c r="R339" s="38" t="str">
        <f t="array" ref="R339">IF($E339&lt;&gt;"",IFERROR(INDEX(ISIN!$C:$C,MATCH($E339,ISIN!$A:$A,0)),IFERROR(INDEX($R340:$R1200,MATCH($K339,$K340:$K1200,0)))),IF(AND($Y339="change",$H339="EUR"),IF($O339=$O340,$R340,IF($O339=$O338,$R338)),IFERROR(INDEX($R340:$R1200,MATCH(SUBSTITUTE($I339,"-","",1),$K340:$K1200,0)))))</f>
        <v/>
      </c>
      <c r="S339" s="37" t="str">
        <f t="shared" si="1"/>
        <v/>
      </c>
      <c r="T339" s="39" t="str">
        <f t="shared" si="2"/>
        <v/>
      </c>
      <c r="U339" s="40" t="str">
        <f t="shared" si="3"/>
        <v/>
      </c>
      <c r="V339" s="34" t="str">
        <f t="shared" si="4"/>
        <v/>
      </c>
      <c r="W339" s="41" t="str">
        <f>IFERROR(__xludf.DUMMYFUNCTION(" IF(Account!$F339&lt;&gt;"""", SPLIT(Account!$F339, "" ""), """")"),"")</f>
        <v/>
      </c>
      <c r="X339" s="42"/>
      <c r="Y339" s="42"/>
      <c r="Z339" s="42"/>
      <c r="AA339" s="42"/>
      <c r="AB339" s="42"/>
      <c r="AC339" s="42"/>
      <c r="AD339" s="42"/>
      <c r="AE339" s="42"/>
      <c r="AF339" s="42"/>
      <c r="AG339" s="42"/>
      <c r="AH339" s="42"/>
      <c r="AI339" s="42"/>
      <c r="AJ339" s="42"/>
      <c r="AK339" s="42"/>
    </row>
    <row r="340">
      <c r="A340" s="20"/>
      <c r="B340" s="20"/>
      <c r="C340" s="20"/>
      <c r="D340" s="20"/>
      <c r="E340" s="20"/>
      <c r="F340" s="21"/>
      <c r="G340" s="20"/>
      <c r="H340" s="20"/>
      <c r="I340" s="20"/>
      <c r="J340" s="20"/>
      <c r="K340" s="20"/>
      <c r="L340" s="21"/>
      <c r="M340" s="33" t="str">
        <f>IFERROR(__xludf.DUMMYFUNCTION("IFS(W340=""Achat"",IFERROR(VALUE(X340),VALUE(REGEXREPLACE(T(X340),""[^0-9]"",""""))),W340=""Vente"",-IFERROR(VALUE(X340),VALUE(REGEXREPLACE(T(X340),""[^0-9]"",""""))),Y340=""Change"",0,Y340&lt;&gt;""Change"","""")"),"")</f>
        <v/>
      </c>
      <c r="N340" s="34" t="str">
        <f>IFERROR(__xludf.DUMMYFUNCTION("IF(Account!$F340&lt;&gt;"""", VALUE(REGEXREPLACE($I340, ""\,"", ""."")), """")"),"")</f>
        <v/>
      </c>
      <c r="O340" s="35" t="str">
        <f>IF(Account!$F340&lt;&gt;"", DATEVALUE(MID($A340,4,3) &amp; LEFT($A340,3) &amp; RIGHT($A340,4)) + TIMEVALUE($B340), "")</f>
        <v/>
      </c>
      <c r="P340" s="36" t="str">
        <f>IF(Account!$F340&lt;&gt;"", DATEVALUE(MID($C340,4,3) &amp; LEFT($C340,3) &amp; RIGHT($C340,4)), "")</f>
        <v/>
      </c>
      <c r="Q340" s="37" t="str">
        <f t="array" ref="Q340">IF($R340&lt;&gt;"",IFERROR(INDEX(ISIN!$B:$B,MATCH($R340,ISIN!$C:$C,0))),)</f>
        <v/>
      </c>
      <c r="R340" s="38" t="str">
        <f t="array" ref="R340">IF($E340&lt;&gt;"",IFERROR(INDEX(ISIN!$C:$C,MATCH($E340,ISIN!$A:$A,0)),IFERROR(INDEX($R341:$R1200,MATCH($K340,$K341:$K1200,0)))),IF(AND($Y340="change",$H340="EUR"),IF($O340=$O341,$R341,IF($O340=$O339,$R339)),IFERROR(INDEX($R341:$R1200,MATCH(SUBSTITUTE($I340,"-","",1),$K341:$K1200,0)))))</f>
        <v/>
      </c>
      <c r="S340" s="37" t="str">
        <f t="shared" si="1"/>
        <v/>
      </c>
      <c r="T340" s="39" t="str">
        <f t="shared" si="2"/>
        <v/>
      </c>
      <c r="U340" s="40" t="str">
        <f t="shared" si="3"/>
        <v/>
      </c>
      <c r="V340" s="34" t="str">
        <f t="shared" si="4"/>
        <v/>
      </c>
      <c r="W340" s="41" t="str">
        <f>IFERROR(__xludf.DUMMYFUNCTION(" IF(Account!$F340&lt;&gt;"""", SPLIT(Account!$F340, "" ""), """")"),"")</f>
        <v/>
      </c>
      <c r="X340" s="42"/>
      <c r="Y340" s="42"/>
      <c r="Z340" s="42"/>
      <c r="AA340" s="42"/>
      <c r="AB340" s="42"/>
      <c r="AC340" s="42"/>
      <c r="AD340" s="42"/>
      <c r="AE340" s="42"/>
      <c r="AF340" s="42"/>
      <c r="AG340" s="42"/>
      <c r="AH340" s="42"/>
      <c r="AI340" s="42"/>
      <c r="AJ340" s="42"/>
      <c r="AK340" s="42"/>
    </row>
    <row r="341">
      <c r="A341" s="20"/>
      <c r="B341" s="20"/>
      <c r="C341" s="20"/>
      <c r="D341" s="20"/>
      <c r="E341" s="20"/>
      <c r="F341" s="21"/>
      <c r="G341" s="20"/>
      <c r="H341" s="20"/>
      <c r="I341" s="20"/>
      <c r="J341" s="20"/>
      <c r="K341" s="20"/>
      <c r="L341" s="21"/>
      <c r="M341" s="33" t="str">
        <f>IFERROR(__xludf.DUMMYFUNCTION("IFS(W341=""Achat"",IFERROR(VALUE(X341),VALUE(REGEXREPLACE(T(X341),""[^0-9]"",""""))),W341=""Vente"",-IFERROR(VALUE(X341),VALUE(REGEXREPLACE(T(X341),""[^0-9]"",""""))),Y341=""Change"",0,Y341&lt;&gt;""Change"","""")"),"")</f>
        <v/>
      </c>
      <c r="N341" s="34" t="str">
        <f>IFERROR(__xludf.DUMMYFUNCTION("IF(Account!$F341&lt;&gt;"""", VALUE(REGEXREPLACE($I341, ""\,"", ""."")), """")"),"")</f>
        <v/>
      </c>
      <c r="O341" s="35" t="str">
        <f>IF(Account!$F341&lt;&gt;"", DATEVALUE(MID($A341,4,3) &amp; LEFT($A341,3) &amp; RIGHT($A341,4)) + TIMEVALUE($B341), "")</f>
        <v/>
      </c>
      <c r="P341" s="36" t="str">
        <f>IF(Account!$F341&lt;&gt;"", DATEVALUE(MID($C341,4,3) &amp; LEFT($C341,3) &amp; RIGHT($C341,4)), "")</f>
        <v/>
      </c>
      <c r="Q341" s="37" t="str">
        <f t="array" ref="Q341">IF($R341&lt;&gt;"",IFERROR(INDEX(ISIN!$B:$B,MATCH($R341,ISIN!$C:$C,0))),)</f>
        <v/>
      </c>
      <c r="R341" s="38" t="str">
        <f t="array" ref="R341">IF($E341&lt;&gt;"",IFERROR(INDEX(ISIN!$C:$C,MATCH($E341,ISIN!$A:$A,0)),IFERROR(INDEX($R342:$R1200,MATCH($K341,$K342:$K1200,0)))),IF(AND($Y341="change",$H341="EUR"),IF($O341=$O342,$R342,IF($O341=$O340,$R340)),IFERROR(INDEX($R342:$R1200,MATCH(SUBSTITUTE($I341,"-","",1),$K342:$K1200,0)))))</f>
        <v/>
      </c>
      <c r="S341" s="37" t="str">
        <f t="shared" si="1"/>
        <v/>
      </c>
      <c r="T341" s="39" t="str">
        <f t="shared" si="2"/>
        <v/>
      </c>
      <c r="U341" s="40" t="str">
        <f t="shared" si="3"/>
        <v/>
      </c>
      <c r="V341" s="34" t="str">
        <f t="shared" si="4"/>
        <v/>
      </c>
      <c r="W341" s="41" t="str">
        <f>IFERROR(__xludf.DUMMYFUNCTION(" IF(Account!$F341&lt;&gt;"""", SPLIT(Account!$F341, "" ""), """")"),"")</f>
        <v/>
      </c>
      <c r="X341" s="42"/>
      <c r="Y341" s="42"/>
      <c r="Z341" s="42"/>
      <c r="AA341" s="42"/>
      <c r="AB341" s="42"/>
      <c r="AC341" s="42"/>
      <c r="AD341" s="42"/>
      <c r="AE341" s="42"/>
      <c r="AF341" s="42"/>
      <c r="AG341" s="42"/>
      <c r="AH341" s="42"/>
      <c r="AI341" s="42"/>
      <c r="AJ341" s="42"/>
      <c r="AK341" s="42"/>
    </row>
    <row r="342">
      <c r="A342" s="20"/>
      <c r="B342" s="20"/>
      <c r="C342" s="20"/>
      <c r="D342" s="20"/>
      <c r="E342" s="20"/>
      <c r="F342" s="21"/>
      <c r="G342" s="20"/>
      <c r="H342" s="20"/>
      <c r="I342" s="20"/>
      <c r="J342" s="20"/>
      <c r="K342" s="20"/>
      <c r="L342" s="21"/>
      <c r="M342" s="33" t="str">
        <f>IFERROR(__xludf.DUMMYFUNCTION("IFS(W342=""Achat"",IFERROR(VALUE(X342),VALUE(REGEXREPLACE(T(X342),""[^0-9]"",""""))),W342=""Vente"",-IFERROR(VALUE(X342),VALUE(REGEXREPLACE(T(X342),""[^0-9]"",""""))),Y342=""Change"",0,Y342&lt;&gt;""Change"","""")"),"")</f>
        <v/>
      </c>
      <c r="N342" s="34" t="str">
        <f>IFERROR(__xludf.DUMMYFUNCTION("IF(Account!$F342&lt;&gt;"""", VALUE(REGEXREPLACE($I342, ""\,"", ""."")), """")"),"")</f>
        <v/>
      </c>
      <c r="O342" s="35" t="str">
        <f>IF(Account!$F342&lt;&gt;"", DATEVALUE(MID($A342,4,3) &amp; LEFT($A342,3) &amp; RIGHT($A342,4)) + TIMEVALUE($B342), "")</f>
        <v/>
      </c>
      <c r="P342" s="36" t="str">
        <f>IF(Account!$F342&lt;&gt;"", DATEVALUE(MID($C342,4,3) &amp; LEFT($C342,3) &amp; RIGHT($C342,4)), "")</f>
        <v/>
      </c>
      <c r="Q342" s="37" t="str">
        <f t="array" ref="Q342">IF($R342&lt;&gt;"",IFERROR(INDEX(ISIN!$B:$B,MATCH($R342,ISIN!$C:$C,0))),)</f>
        <v/>
      </c>
      <c r="R342" s="38" t="str">
        <f t="array" ref="R342">IF($E342&lt;&gt;"",IFERROR(INDEX(ISIN!$C:$C,MATCH($E342,ISIN!$A:$A,0)),IFERROR(INDEX($R343:$R1200,MATCH($K342,$K343:$K1200,0)))),IF(AND($Y342="change",$H342="EUR"),IF($O342=$O343,$R343,IF($O342=$O341,$R341)),IFERROR(INDEX($R343:$R1200,MATCH(SUBSTITUTE($I342,"-","",1),$K343:$K1200,0)))))</f>
        <v/>
      </c>
      <c r="S342" s="37" t="str">
        <f t="shared" si="1"/>
        <v/>
      </c>
      <c r="T342" s="39" t="str">
        <f t="shared" si="2"/>
        <v/>
      </c>
      <c r="U342" s="40" t="str">
        <f t="shared" si="3"/>
        <v/>
      </c>
      <c r="V342" s="34" t="str">
        <f t="shared" si="4"/>
        <v/>
      </c>
      <c r="W342" s="41" t="str">
        <f>IFERROR(__xludf.DUMMYFUNCTION(" IF(Account!$F342&lt;&gt;"""", SPLIT(Account!$F342, "" ""), """")"),"")</f>
        <v/>
      </c>
      <c r="X342" s="42"/>
      <c r="Y342" s="42"/>
      <c r="Z342" s="42"/>
      <c r="AA342" s="42"/>
      <c r="AB342" s="42"/>
      <c r="AC342" s="42"/>
      <c r="AD342" s="42"/>
      <c r="AE342" s="42"/>
      <c r="AF342" s="42"/>
      <c r="AG342" s="42"/>
      <c r="AH342" s="42"/>
      <c r="AI342" s="42"/>
      <c r="AJ342" s="42"/>
      <c r="AK342" s="42"/>
    </row>
    <row r="343">
      <c r="A343" s="20"/>
      <c r="B343" s="20"/>
      <c r="C343" s="20"/>
      <c r="D343" s="20"/>
      <c r="E343" s="20"/>
      <c r="F343" s="21"/>
      <c r="G343" s="45"/>
      <c r="H343" s="20"/>
      <c r="I343" s="20"/>
      <c r="J343" s="20"/>
      <c r="K343" s="20"/>
      <c r="L343" s="21"/>
      <c r="M343" s="33" t="str">
        <f>IFERROR(__xludf.DUMMYFUNCTION("IFS(W343=""Achat"",IFERROR(VALUE(X343),VALUE(REGEXREPLACE(T(X343),""[^0-9]"",""""))),W343=""Vente"",-IFERROR(VALUE(X343),VALUE(REGEXREPLACE(T(X343),""[^0-9]"",""""))),Y343=""Change"",0,Y343&lt;&gt;""Change"","""")"),"")</f>
        <v/>
      </c>
      <c r="N343" s="34" t="str">
        <f>IFERROR(__xludf.DUMMYFUNCTION("IF(Account!$F343&lt;&gt;"""", VALUE(REGEXREPLACE($I343, ""\,"", ""."")), """")"),"")</f>
        <v/>
      </c>
      <c r="O343" s="35" t="str">
        <f>IF(Account!$F343&lt;&gt;"", DATEVALUE(MID($A343,4,3) &amp; LEFT($A343,3) &amp; RIGHT($A343,4)) + TIMEVALUE($B343), "")</f>
        <v/>
      </c>
      <c r="P343" s="36" t="str">
        <f>IF(Account!$F343&lt;&gt;"", DATEVALUE(MID($C343,4,3) &amp; LEFT($C343,3) &amp; RIGHT($C343,4)), "")</f>
        <v/>
      </c>
      <c r="Q343" s="37" t="str">
        <f t="array" ref="Q343">IF($R343&lt;&gt;"",IFERROR(INDEX(ISIN!$B:$B,MATCH($R343,ISIN!$C:$C,0))),)</f>
        <v/>
      </c>
      <c r="R343" s="38" t="str">
        <f t="array" ref="R343">IF($E343&lt;&gt;"",IFERROR(INDEX(ISIN!$C:$C,MATCH($E343,ISIN!$A:$A,0)),IFERROR(INDEX($R344:$R1200,MATCH($K343,$K344:$K1200,0)))),IF(AND($Y343="change",$H343="EUR"),IF($O343=$O344,$R344,IF($O343=$O342,$R342)),IFERROR(INDEX($R344:$R1200,MATCH(SUBSTITUTE($I343,"-","",1),$K344:$K1200,0)))))</f>
        <v/>
      </c>
      <c r="S343" s="37" t="str">
        <f t="shared" si="1"/>
        <v/>
      </c>
      <c r="T343" s="39" t="str">
        <f t="shared" si="2"/>
        <v/>
      </c>
      <c r="U343" s="40" t="str">
        <f t="shared" si="3"/>
        <v/>
      </c>
      <c r="V343" s="34" t="str">
        <f t="shared" si="4"/>
        <v/>
      </c>
      <c r="W343" s="41" t="str">
        <f>IFERROR(__xludf.DUMMYFUNCTION(" IF(Account!$F343&lt;&gt;"""", SPLIT(Account!$F343, "" ""), """")"),"")</f>
        <v/>
      </c>
      <c r="X343" s="42"/>
      <c r="Y343" s="42"/>
      <c r="Z343" s="42"/>
      <c r="AA343" s="42"/>
      <c r="AB343" s="42"/>
      <c r="AC343" s="42"/>
      <c r="AD343" s="42"/>
      <c r="AE343" s="42"/>
      <c r="AF343" s="42"/>
      <c r="AG343" s="42"/>
      <c r="AH343" s="42"/>
      <c r="AI343" s="42"/>
      <c r="AJ343" s="42"/>
      <c r="AK343" s="42"/>
    </row>
    <row r="344">
      <c r="A344" s="20"/>
      <c r="B344" s="20"/>
      <c r="C344" s="20"/>
      <c r="D344" s="20"/>
      <c r="E344" s="20"/>
      <c r="F344" s="21"/>
      <c r="G344" s="20"/>
      <c r="H344" s="20"/>
      <c r="I344" s="20"/>
      <c r="J344" s="20"/>
      <c r="K344" s="20"/>
      <c r="L344" s="21"/>
      <c r="M344" s="33" t="str">
        <f>IFERROR(__xludf.DUMMYFUNCTION("IFS(W344=""Achat"",IFERROR(VALUE(X344),VALUE(REGEXREPLACE(T(X344),""[^0-9]"",""""))),W344=""Vente"",-IFERROR(VALUE(X344),VALUE(REGEXREPLACE(T(X344),""[^0-9]"",""""))),Y344=""Change"",0,Y344&lt;&gt;""Change"","""")"),"")</f>
        <v/>
      </c>
      <c r="N344" s="34" t="str">
        <f>IFERROR(__xludf.DUMMYFUNCTION("IF(Account!$F344&lt;&gt;"""", VALUE(REGEXREPLACE($I344, ""\,"", ""."")), """")"),"")</f>
        <v/>
      </c>
      <c r="O344" s="35" t="str">
        <f>IF(Account!$F344&lt;&gt;"", DATEVALUE(MID($A344,4,3) &amp; LEFT($A344,3) &amp; RIGHT($A344,4)) + TIMEVALUE($B344), "")</f>
        <v/>
      </c>
      <c r="P344" s="36" t="str">
        <f>IF(Account!$F344&lt;&gt;"", DATEVALUE(MID($C344,4,3) &amp; LEFT($C344,3) &amp; RIGHT($C344,4)), "")</f>
        <v/>
      </c>
      <c r="Q344" s="37" t="str">
        <f t="array" ref="Q344">IF($R344&lt;&gt;"",IFERROR(INDEX(ISIN!$B:$B,MATCH($R344,ISIN!$C:$C,0))),)</f>
        <v/>
      </c>
      <c r="R344" s="38" t="str">
        <f t="array" ref="R344">IF($E344&lt;&gt;"",IFERROR(INDEX(ISIN!$C:$C,MATCH($E344,ISIN!$A:$A,0)),IFERROR(INDEX($R345:$R1200,MATCH($K344,$K345:$K1200,0)))),IF(AND($Y344="change",$H344="EUR"),IF($O344=$O345,$R345,IF($O344=$O343,$R343)),IFERROR(INDEX($R345:$R1200,MATCH(SUBSTITUTE($I344,"-","",1),$K345:$K1200,0)))))</f>
        <v/>
      </c>
      <c r="S344" s="37" t="str">
        <f t="shared" si="1"/>
        <v/>
      </c>
      <c r="T344" s="39" t="str">
        <f t="shared" si="2"/>
        <v/>
      </c>
      <c r="U344" s="40" t="str">
        <f t="shared" si="3"/>
        <v/>
      </c>
      <c r="V344" s="34" t="str">
        <f t="shared" si="4"/>
        <v/>
      </c>
      <c r="W344" s="41" t="str">
        <f>IFERROR(__xludf.DUMMYFUNCTION(" IF(Account!$F344&lt;&gt;"""", SPLIT(Account!$F344, "" ""), """")"),"")</f>
        <v/>
      </c>
      <c r="X344" s="42"/>
      <c r="Y344" s="42"/>
      <c r="Z344" s="42"/>
      <c r="AA344" s="42"/>
      <c r="AB344" s="42"/>
      <c r="AC344" s="42"/>
      <c r="AD344" s="42"/>
      <c r="AE344" s="42"/>
      <c r="AF344" s="42"/>
      <c r="AG344" s="42"/>
      <c r="AH344" s="42"/>
      <c r="AI344" s="42"/>
      <c r="AJ344" s="42"/>
      <c r="AK344" s="42"/>
    </row>
    <row r="345">
      <c r="A345" s="20"/>
      <c r="B345" s="20"/>
      <c r="C345" s="20"/>
      <c r="D345" s="20"/>
      <c r="E345" s="20"/>
      <c r="F345" s="21"/>
      <c r="G345" s="20"/>
      <c r="H345" s="20"/>
      <c r="I345" s="20"/>
      <c r="J345" s="20"/>
      <c r="K345" s="20"/>
      <c r="L345" s="21"/>
      <c r="M345" s="33" t="str">
        <f>IFERROR(__xludf.DUMMYFUNCTION("IFS(W345=""Achat"",IFERROR(VALUE(X345),VALUE(REGEXREPLACE(T(X345),""[^0-9]"",""""))),W345=""Vente"",-IFERROR(VALUE(X345),VALUE(REGEXREPLACE(T(X345),""[^0-9]"",""""))),Y345=""Change"",0,Y345&lt;&gt;""Change"","""")"),"")</f>
        <v/>
      </c>
      <c r="N345" s="34" t="str">
        <f>IFERROR(__xludf.DUMMYFUNCTION("IF(Account!$F345&lt;&gt;"""", VALUE(REGEXREPLACE($I345, ""\,"", ""."")), """")"),"")</f>
        <v/>
      </c>
      <c r="O345" s="35" t="str">
        <f>IF(Account!$F345&lt;&gt;"", DATEVALUE(MID($A345,4,3) &amp; LEFT($A345,3) &amp; RIGHT($A345,4)) + TIMEVALUE($B345), "")</f>
        <v/>
      </c>
      <c r="P345" s="36" t="str">
        <f>IF(Account!$F345&lt;&gt;"", DATEVALUE(MID($C345,4,3) &amp; LEFT($C345,3) &amp; RIGHT($C345,4)), "")</f>
        <v/>
      </c>
      <c r="Q345" s="37" t="str">
        <f t="array" ref="Q345">IF($R345&lt;&gt;"",IFERROR(INDEX(ISIN!$B:$B,MATCH($R345,ISIN!$C:$C,0))),)</f>
        <v/>
      </c>
      <c r="R345" s="38" t="str">
        <f t="array" ref="R345">IF($E345&lt;&gt;"",IFERROR(INDEX(ISIN!$C:$C,MATCH($E345,ISIN!$A:$A,0)),IFERROR(INDEX($R346:$R1200,MATCH($K345,$K346:$K1200,0)))),IF(AND($Y345="change",$H345="EUR"),IF($O345=$O346,$R346,IF($O345=$O344,$R344)),IFERROR(INDEX($R346:$R1200,MATCH(SUBSTITUTE($I345,"-","",1),$K346:$K1200,0)))))</f>
        <v/>
      </c>
      <c r="S345" s="37" t="str">
        <f t="shared" si="1"/>
        <v/>
      </c>
      <c r="T345" s="39" t="str">
        <f t="shared" si="2"/>
        <v/>
      </c>
      <c r="U345" s="40" t="str">
        <f t="shared" si="3"/>
        <v/>
      </c>
      <c r="V345" s="34" t="str">
        <f t="shared" si="4"/>
        <v/>
      </c>
      <c r="W345" s="41" t="str">
        <f>IFERROR(__xludf.DUMMYFUNCTION(" IF(Account!$F345&lt;&gt;"""", SPLIT(Account!$F345, "" ""), """")"),"")</f>
        <v/>
      </c>
      <c r="X345" s="42"/>
      <c r="Y345" s="42"/>
      <c r="Z345" s="42"/>
      <c r="AA345" s="42"/>
      <c r="AB345" s="42"/>
      <c r="AC345" s="42"/>
      <c r="AD345" s="42"/>
      <c r="AE345" s="42"/>
      <c r="AF345" s="42"/>
      <c r="AG345" s="42"/>
      <c r="AH345" s="42"/>
      <c r="AI345" s="42"/>
      <c r="AJ345" s="42"/>
      <c r="AK345" s="42"/>
    </row>
    <row r="346">
      <c r="A346" s="20"/>
      <c r="B346" s="20"/>
      <c r="C346" s="20"/>
      <c r="D346" s="20"/>
      <c r="E346" s="20"/>
      <c r="F346" s="21"/>
      <c r="G346" s="45"/>
      <c r="H346" s="20"/>
      <c r="I346" s="20"/>
      <c r="J346" s="20"/>
      <c r="K346" s="20"/>
      <c r="L346" s="21"/>
      <c r="M346" s="33" t="str">
        <f>IFERROR(__xludf.DUMMYFUNCTION("IFS(W346=""Achat"",IFERROR(VALUE(X346),VALUE(REGEXREPLACE(T(X346),""[^0-9]"",""""))),W346=""Vente"",-IFERROR(VALUE(X346),VALUE(REGEXREPLACE(T(X346),""[^0-9]"",""""))),Y346=""Change"",0,Y346&lt;&gt;""Change"","""")"),"")</f>
        <v/>
      </c>
      <c r="N346" s="34" t="str">
        <f>IFERROR(__xludf.DUMMYFUNCTION("IF(Account!$F346&lt;&gt;"""", VALUE(REGEXREPLACE($I346, ""\,"", ""."")), """")"),"")</f>
        <v/>
      </c>
      <c r="O346" s="35" t="str">
        <f>IF(Account!$F346&lt;&gt;"", DATEVALUE(MID($A346,4,3) &amp; LEFT($A346,3) &amp; RIGHT($A346,4)) + TIMEVALUE($B346), "")</f>
        <v/>
      </c>
      <c r="P346" s="36" t="str">
        <f>IF(Account!$F346&lt;&gt;"", DATEVALUE(MID($C346,4,3) &amp; LEFT($C346,3) &amp; RIGHT($C346,4)), "")</f>
        <v/>
      </c>
      <c r="Q346" s="37" t="str">
        <f t="array" ref="Q346">IF($R346&lt;&gt;"",IFERROR(INDEX(ISIN!$B:$B,MATCH($R346,ISIN!$C:$C,0))),)</f>
        <v/>
      </c>
      <c r="R346" s="38" t="str">
        <f t="array" ref="R346">IF($E346&lt;&gt;"",IFERROR(INDEX(ISIN!$C:$C,MATCH($E346,ISIN!$A:$A,0)),IFERROR(INDEX($R347:$R1200,MATCH($K346,$K347:$K1200,0)))),IF(AND($Y346="change",$H346="EUR"),IF($O346=$O347,$R347,IF($O346=$O345,$R345)),IFERROR(INDEX($R347:$R1200,MATCH(SUBSTITUTE($I346,"-","",1),$K347:$K1200,0)))))</f>
        <v/>
      </c>
      <c r="S346" s="37" t="str">
        <f t="shared" si="1"/>
        <v/>
      </c>
      <c r="T346" s="39" t="str">
        <f t="shared" si="2"/>
        <v/>
      </c>
      <c r="U346" s="40" t="str">
        <f t="shared" si="3"/>
        <v/>
      </c>
      <c r="V346" s="34" t="str">
        <f t="shared" si="4"/>
        <v/>
      </c>
      <c r="W346" s="41" t="str">
        <f>IFERROR(__xludf.DUMMYFUNCTION(" IF(Account!$F346&lt;&gt;"""", SPLIT(Account!$F346, "" ""), """")"),"")</f>
        <v/>
      </c>
      <c r="X346" s="42"/>
      <c r="Y346" s="42"/>
      <c r="Z346" s="42"/>
      <c r="AA346" s="42"/>
      <c r="AB346" s="42"/>
      <c r="AC346" s="42"/>
      <c r="AD346" s="42"/>
      <c r="AE346" s="42"/>
      <c r="AF346" s="42"/>
      <c r="AG346" s="42"/>
      <c r="AH346" s="42"/>
      <c r="AI346" s="42"/>
      <c r="AJ346" s="42"/>
      <c r="AK346" s="42"/>
    </row>
    <row r="347">
      <c r="A347" s="20"/>
      <c r="B347" s="20"/>
      <c r="C347" s="20"/>
      <c r="D347" s="20"/>
      <c r="E347" s="20"/>
      <c r="F347" s="21"/>
      <c r="G347" s="45"/>
      <c r="H347" s="20"/>
      <c r="I347" s="20"/>
      <c r="J347" s="20"/>
      <c r="K347" s="20"/>
      <c r="L347" s="21"/>
      <c r="M347" s="33" t="str">
        <f>IFERROR(__xludf.DUMMYFUNCTION("IFS(W347=""Achat"",IFERROR(VALUE(X347),VALUE(REGEXREPLACE(T(X347),""[^0-9]"",""""))),W347=""Vente"",-IFERROR(VALUE(X347),VALUE(REGEXREPLACE(T(X347),""[^0-9]"",""""))),Y347=""Change"",0,Y347&lt;&gt;""Change"","""")"),"")</f>
        <v/>
      </c>
      <c r="N347" s="34" t="str">
        <f>IFERROR(__xludf.DUMMYFUNCTION("IF(Account!$F347&lt;&gt;"""", VALUE(REGEXREPLACE($I347, ""\,"", ""."")), """")"),"")</f>
        <v/>
      </c>
      <c r="O347" s="35" t="str">
        <f>IF(Account!$F347&lt;&gt;"", DATEVALUE(MID($A347,4,3) &amp; LEFT($A347,3) &amp; RIGHT($A347,4)) + TIMEVALUE($B347), "")</f>
        <v/>
      </c>
      <c r="P347" s="36" t="str">
        <f>IF(Account!$F347&lt;&gt;"", DATEVALUE(MID($C347,4,3) &amp; LEFT($C347,3) &amp; RIGHT($C347,4)), "")</f>
        <v/>
      </c>
      <c r="Q347" s="37" t="str">
        <f t="array" ref="Q347">IF($R347&lt;&gt;"",IFERROR(INDEX(ISIN!$B:$B,MATCH($R347,ISIN!$C:$C,0))),)</f>
        <v/>
      </c>
      <c r="R347" s="38" t="str">
        <f t="array" ref="R347">IF($E347&lt;&gt;"",IFERROR(INDEX(ISIN!$C:$C,MATCH($E347,ISIN!$A:$A,0)),IFERROR(INDEX($R348:$R1200,MATCH($K347,$K348:$K1200,0)))),IF(AND($Y347="change",$H347="EUR"),IF($O347=$O348,$R348,IF($O347=$O346,$R346)),IFERROR(INDEX($R348:$R1200,MATCH(SUBSTITUTE($I347,"-","",1),$K348:$K1200,0)))))</f>
        <v/>
      </c>
      <c r="S347" s="37" t="str">
        <f t="shared" si="1"/>
        <v/>
      </c>
      <c r="T347" s="39" t="str">
        <f t="shared" si="2"/>
        <v/>
      </c>
      <c r="U347" s="40" t="str">
        <f t="shared" si="3"/>
        <v/>
      </c>
      <c r="V347" s="34" t="str">
        <f t="shared" si="4"/>
        <v/>
      </c>
      <c r="W347" s="41" t="str">
        <f>IFERROR(__xludf.DUMMYFUNCTION(" IF(Account!$F347&lt;&gt;"""", SPLIT(Account!$F347, "" ""), """")"),"")</f>
        <v/>
      </c>
      <c r="X347" s="42"/>
      <c r="Y347" s="42"/>
      <c r="Z347" s="42"/>
      <c r="AA347" s="42"/>
      <c r="AB347" s="42"/>
      <c r="AC347" s="42"/>
      <c r="AD347" s="42"/>
      <c r="AE347" s="42"/>
      <c r="AF347" s="42"/>
      <c r="AG347" s="42"/>
      <c r="AH347" s="42"/>
      <c r="AI347" s="42"/>
      <c r="AJ347" s="42"/>
      <c r="AK347" s="42"/>
    </row>
    <row r="348">
      <c r="A348" s="20"/>
      <c r="B348" s="20"/>
      <c r="C348" s="20"/>
      <c r="D348" s="20"/>
      <c r="E348" s="20"/>
      <c r="F348" s="21"/>
      <c r="G348" s="45"/>
      <c r="H348" s="20"/>
      <c r="I348" s="20"/>
      <c r="J348" s="20"/>
      <c r="K348" s="20"/>
      <c r="L348" s="21"/>
      <c r="M348" s="33" t="str">
        <f>IFERROR(__xludf.DUMMYFUNCTION("IFS(W348=""Achat"",IFERROR(VALUE(X348),VALUE(REGEXREPLACE(T(X348),""[^0-9]"",""""))),W348=""Vente"",-IFERROR(VALUE(X348),VALUE(REGEXREPLACE(T(X348),""[^0-9]"",""""))),Y348=""Change"",0,Y348&lt;&gt;""Change"","""")"),"")</f>
        <v/>
      </c>
      <c r="N348" s="34" t="str">
        <f>IFERROR(__xludf.DUMMYFUNCTION("IF(Account!$F348&lt;&gt;"""", VALUE(REGEXREPLACE($I348, ""\,"", ""."")), """")"),"")</f>
        <v/>
      </c>
      <c r="O348" s="35" t="str">
        <f>IF(Account!$F348&lt;&gt;"", DATEVALUE(MID($A348,4,3) &amp; LEFT($A348,3) &amp; RIGHT($A348,4)) + TIMEVALUE($B348), "")</f>
        <v/>
      </c>
      <c r="P348" s="36" t="str">
        <f>IF(Account!$F348&lt;&gt;"", DATEVALUE(MID($C348,4,3) &amp; LEFT($C348,3) &amp; RIGHT($C348,4)), "")</f>
        <v/>
      </c>
      <c r="Q348" s="37" t="str">
        <f t="array" ref="Q348">IF($R348&lt;&gt;"",IFERROR(INDEX(ISIN!$B:$B,MATCH($R348,ISIN!$C:$C,0))),)</f>
        <v/>
      </c>
      <c r="R348" s="38" t="str">
        <f t="array" ref="R348">IF($E348&lt;&gt;"",IFERROR(INDEX(ISIN!$C:$C,MATCH($E348,ISIN!$A:$A,0)),IFERROR(INDEX($R349:$R1200,MATCH($K348,$K349:$K1200,0)))),IF(AND($Y348="change",$H348="EUR"),IF($O348=$O349,$R349,IF($O348=$O347,$R347)),IFERROR(INDEX($R349:$R1200,MATCH(SUBSTITUTE($I348,"-","",1),$K349:$K1200,0)))))</f>
        <v/>
      </c>
      <c r="S348" s="37" t="str">
        <f t="shared" si="1"/>
        <v/>
      </c>
      <c r="T348" s="39" t="str">
        <f t="shared" si="2"/>
        <v/>
      </c>
      <c r="U348" s="40" t="str">
        <f t="shared" si="3"/>
        <v/>
      </c>
      <c r="V348" s="34" t="str">
        <f t="shared" si="4"/>
        <v/>
      </c>
      <c r="W348" s="41" t="str">
        <f>IFERROR(__xludf.DUMMYFUNCTION(" IF(Account!$F348&lt;&gt;"""", SPLIT(Account!$F348, "" ""), """")"),"")</f>
        <v/>
      </c>
      <c r="X348" s="42"/>
      <c r="Y348" s="42"/>
      <c r="Z348" s="42"/>
      <c r="AA348" s="42"/>
      <c r="AB348" s="42"/>
      <c r="AC348" s="42"/>
      <c r="AD348" s="42"/>
      <c r="AE348" s="42"/>
      <c r="AF348" s="42"/>
      <c r="AG348" s="42"/>
      <c r="AH348" s="42"/>
      <c r="AI348" s="42"/>
      <c r="AJ348" s="42"/>
      <c r="AK348" s="42"/>
    </row>
    <row r="349">
      <c r="A349" s="20"/>
      <c r="B349" s="20"/>
      <c r="C349" s="20"/>
      <c r="D349" s="20"/>
      <c r="E349" s="20"/>
      <c r="F349" s="21"/>
      <c r="G349" s="20"/>
      <c r="H349" s="20"/>
      <c r="I349" s="20"/>
      <c r="J349" s="20"/>
      <c r="K349" s="20"/>
      <c r="L349" s="21"/>
      <c r="M349" s="33" t="str">
        <f>IFERROR(__xludf.DUMMYFUNCTION("IFS(W349=""Achat"",IFERROR(VALUE(X349),VALUE(REGEXREPLACE(T(X349),""[^0-9]"",""""))),W349=""Vente"",-IFERROR(VALUE(X349),VALUE(REGEXREPLACE(T(X349),""[^0-9]"",""""))),Y349=""Change"",0,Y349&lt;&gt;""Change"","""")"),"")</f>
        <v/>
      </c>
      <c r="N349" s="34" t="str">
        <f>IFERROR(__xludf.DUMMYFUNCTION("IF(Account!$F349&lt;&gt;"""", VALUE(REGEXREPLACE($I349, ""\,"", ""."")), """")"),"")</f>
        <v/>
      </c>
      <c r="O349" s="35" t="str">
        <f>IF(Account!$F349&lt;&gt;"", DATEVALUE(MID($A349,4,3) &amp; LEFT($A349,3) &amp; RIGHT($A349,4)) + TIMEVALUE($B349), "")</f>
        <v/>
      </c>
      <c r="P349" s="36" t="str">
        <f>IF(Account!$F349&lt;&gt;"", DATEVALUE(MID($C349,4,3) &amp; LEFT($C349,3) &amp; RIGHT($C349,4)), "")</f>
        <v/>
      </c>
      <c r="Q349" s="37" t="str">
        <f t="array" ref="Q349">IF($R349&lt;&gt;"",IFERROR(INDEX(ISIN!$B:$B,MATCH($R349,ISIN!$C:$C,0))),)</f>
        <v/>
      </c>
      <c r="R349" s="38" t="str">
        <f t="array" ref="R349">IF($E349&lt;&gt;"",IFERROR(INDEX(ISIN!$C:$C,MATCH($E349,ISIN!$A:$A,0)),IFERROR(INDEX($R350:$R1200,MATCH($K349,$K350:$K1200,0)))),IF(AND($Y349="change",$H349="EUR"),IF($O349=$O350,$R350,IF($O349=$O348,$R348)),IFERROR(INDEX($R350:$R1200,MATCH(SUBSTITUTE($I349,"-","",1),$K350:$K1200,0)))))</f>
        <v/>
      </c>
      <c r="S349" s="37" t="str">
        <f t="shared" si="1"/>
        <v/>
      </c>
      <c r="T349" s="39" t="str">
        <f t="shared" si="2"/>
        <v/>
      </c>
      <c r="U349" s="40" t="str">
        <f t="shared" si="3"/>
        <v/>
      </c>
      <c r="V349" s="34" t="str">
        <f t="shared" si="4"/>
        <v/>
      </c>
      <c r="W349" s="41" t="str">
        <f>IFERROR(__xludf.DUMMYFUNCTION(" IF(Account!$F349&lt;&gt;"""", SPLIT(Account!$F349, "" ""), """")"),"")</f>
        <v/>
      </c>
      <c r="X349" s="42"/>
      <c r="Y349" s="42"/>
      <c r="Z349" s="42"/>
      <c r="AA349" s="42"/>
      <c r="AB349" s="42"/>
      <c r="AC349" s="42"/>
      <c r="AD349" s="42"/>
      <c r="AE349" s="42"/>
      <c r="AF349" s="42"/>
      <c r="AG349" s="42"/>
      <c r="AH349" s="42"/>
      <c r="AI349" s="42"/>
      <c r="AJ349" s="42"/>
      <c r="AK349" s="42"/>
    </row>
    <row r="350">
      <c r="A350" s="20"/>
      <c r="B350" s="20"/>
      <c r="C350" s="20"/>
      <c r="D350" s="20"/>
      <c r="E350" s="20"/>
      <c r="F350" s="21"/>
      <c r="G350" s="45"/>
      <c r="H350" s="20"/>
      <c r="I350" s="20"/>
      <c r="J350" s="20"/>
      <c r="K350" s="20"/>
      <c r="L350" s="21"/>
      <c r="M350" s="33" t="str">
        <f>IFERROR(__xludf.DUMMYFUNCTION("IFS(W350=""Achat"",IFERROR(VALUE(X350),VALUE(REGEXREPLACE(T(X350),""[^0-9]"",""""))),W350=""Vente"",-IFERROR(VALUE(X350),VALUE(REGEXREPLACE(T(X350),""[^0-9]"",""""))),Y350=""Change"",0,Y350&lt;&gt;""Change"","""")"),"")</f>
        <v/>
      </c>
      <c r="N350" s="34" t="str">
        <f>IFERROR(__xludf.DUMMYFUNCTION("IF(Account!$F350&lt;&gt;"""", VALUE(REGEXREPLACE($I350, ""\,"", ""."")), """")"),"")</f>
        <v/>
      </c>
      <c r="O350" s="35" t="str">
        <f>IF(Account!$F350&lt;&gt;"", DATEVALUE(MID($A350,4,3) &amp; LEFT($A350,3) &amp; RIGHT($A350,4)) + TIMEVALUE($B350), "")</f>
        <v/>
      </c>
      <c r="P350" s="36" t="str">
        <f>IF(Account!$F350&lt;&gt;"", DATEVALUE(MID($C350,4,3) &amp; LEFT($C350,3) &amp; RIGHT($C350,4)), "")</f>
        <v/>
      </c>
      <c r="Q350" s="37" t="str">
        <f t="array" ref="Q350">IF($R350&lt;&gt;"",IFERROR(INDEX(ISIN!$B:$B,MATCH($R350,ISIN!$C:$C,0))),)</f>
        <v/>
      </c>
      <c r="R350" s="38" t="str">
        <f t="array" ref="R350">IF($E350&lt;&gt;"",IFERROR(INDEX(ISIN!$C:$C,MATCH($E350,ISIN!$A:$A,0)),IFERROR(INDEX($R351:$R1200,MATCH($K350,$K351:$K1200,0)))),IF(AND($Y350="change",$H350="EUR"),IF($O350=$O351,$R351,IF($O350=$O349,$R349)),IFERROR(INDEX($R351:$R1200,MATCH(SUBSTITUTE($I350,"-","",1),$K351:$K1200,0)))))</f>
        <v/>
      </c>
      <c r="S350" s="37" t="str">
        <f t="shared" si="1"/>
        <v/>
      </c>
      <c r="T350" s="39" t="str">
        <f t="shared" si="2"/>
        <v/>
      </c>
      <c r="U350" s="40" t="str">
        <f t="shared" si="3"/>
        <v/>
      </c>
      <c r="V350" s="34" t="str">
        <f t="shared" si="4"/>
        <v/>
      </c>
      <c r="W350" s="41" t="str">
        <f>IFERROR(__xludf.DUMMYFUNCTION(" IF(Account!$F350&lt;&gt;"""", SPLIT(Account!$F350, "" ""), """")"),"")</f>
        <v/>
      </c>
      <c r="X350" s="42"/>
      <c r="Y350" s="42"/>
      <c r="Z350" s="42"/>
      <c r="AA350" s="42"/>
      <c r="AB350" s="42"/>
      <c r="AC350" s="42"/>
      <c r="AD350" s="42"/>
      <c r="AE350" s="42"/>
      <c r="AF350" s="42"/>
      <c r="AG350" s="42"/>
      <c r="AH350" s="42"/>
      <c r="AI350" s="42"/>
      <c r="AJ350" s="42"/>
      <c r="AK350" s="42"/>
    </row>
    <row r="351">
      <c r="A351" s="20"/>
      <c r="B351" s="20"/>
      <c r="C351" s="20"/>
      <c r="D351" s="20"/>
      <c r="E351" s="20"/>
      <c r="F351" s="21"/>
      <c r="G351" s="20"/>
      <c r="H351" s="20"/>
      <c r="I351" s="20"/>
      <c r="J351" s="20"/>
      <c r="K351" s="20"/>
      <c r="L351" s="21"/>
      <c r="M351" s="33" t="str">
        <f>IFERROR(__xludf.DUMMYFUNCTION("IFS(W351=""Achat"",IFERROR(VALUE(X351),VALUE(REGEXREPLACE(T(X351),""[^0-9]"",""""))),W351=""Vente"",-IFERROR(VALUE(X351),VALUE(REGEXREPLACE(T(X351),""[^0-9]"",""""))),Y351=""Change"",0,Y351&lt;&gt;""Change"","""")"),"")</f>
        <v/>
      </c>
      <c r="N351" s="34" t="str">
        <f>IFERROR(__xludf.DUMMYFUNCTION("IF(Account!$F351&lt;&gt;"""", VALUE(REGEXREPLACE($I351, ""\,"", ""."")), """")"),"")</f>
        <v/>
      </c>
      <c r="O351" s="35" t="str">
        <f>IF(Account!$F351&lt;&gt;"", DATEVALUE(MID($A351,4,3) &amp; LEFT($A351,3) &amp; RIGHT($A351,4)) + TIMEVALUE($B351), "")</f>
        <v/>
      </c>
      <c r="P351" s="36" t="str">
        <f>IF(Account!$F351&lt;&gt;"", DATEVALUE(MID($C351,4,3) &amp; LEFT($C351,3) &amp; RIGHT($C351,4)), "")</f>
        <v/>
      </c>
      <c r="Q351" s="37" t="str">
        <f t="array" ref="Q351">IF($R351&lt;&gt;"",IFERROR(INDEX(ISIN!$B:$B,MATCH($R351,ISIN!$C:$C,0))),)</f>
        <v/>
      </c>
      <c r="R351" s="38" t="str">
        <f t="array" ref="R351">IF($E351&lt;&gt;"",IFERROR(INDEX(ISIN!$C:$C,MATCH($E351,ISIN!$A:$A,0)),IFERROR(INDEX($R352:$R1200,MATCH($K351,$K352:$K1200,0)))),IF(AND($Y351="change",$H351="EUR"),IF($O351=$O352,$R352,IF($O351=$O350,$R350)),IFERROR(INDEX($R352:$R1200,MATCH(SUBSTITUTE($I351,"-","",1),$K352:$K1200,0)))))</f>
        <v/>
      </c>
      <c r="S351" s="37" t="str">
        <f t="shared" si="1"/>
        <v/>
      </c>
      <c r="T351" s="39" t="str">
        <f t="shared" si="2"/>
        <v/>
      </c>
      <c r="U351" s="40" t="str">
        <f t="shared" si="3"/>
        <v/>
      </c>
      <c r="V351" s="34" t="str">
        <f t="shared" si="4"/>
        <v/>
      </c>
      <c r="W351" s="41" t="str">
        <f>IFERROR(__xludf.DUMMYFUNCTION(" IF(Account!$F351&lt;&gt;"""", SPLIT(Account!$F351, "" ""), """")"),"")</f>
        <v/>
      </c>
      <c r="X351" s="42"/>
      <c r="Y351" s="42"/>
      <c r="Z351" s="42"/>
      <c r="AA351" s="42"/>
      <c r="AB351" s="42"/>
      <c r="AC351" s="42"/>
      <c r="AD351" s="42"/>
      <c r="AE351" s="42"/>
      <c r="AF351" s="42"/>
      <c r="AG351" s="42"/>
      <c r="AH351" s="42"/>
      <c r="AI351" s="42"/>
      <c r="AJ351" s="42"/>
      <c r="AK351" s="42"/>
    </row>
    <row r="352">
      <c r="A352" s="20"/>
      <c r="B352" s="20"/>
      <c r="C352" s="20"/>
      <c r="D352" s="20"/>
      <c r="E352" s="20"/>
      <c r="F352" s="21"/>
      <c r="G352" s="45"/>
      <c r="H352" s="20"/>
      <c r="I352" s="20"/>
      <c r="J352" s="20"/>
      <c r="K352" s="20"/>
      <c r="L352" s="21"/>
      <c r="M352" s="33" t="str">
        <f>IFERROR(__xludf.DUMMYFUNCTION("IFS(W352=""Achat"",IFERROR(VALUE(X352),VALUE(REGEXREPLACE(T(X352),""[^0-9]"",""""))),W352=""Vente"",-IFERROR(VALUE(X352),VALUE(REGEXREPLACE(T(X352),""[^0-9]"",""""))),Y352=""Change"",0,Y352&lt;&gt;""Change"","""")"),"")</f>
        <v/>
      </c>
      <c r="N352" s="34" t="str">
        <f>IFERROR(__xludf.DUMMYFUNCTION("IF(Account!$F352&lt;&gt;"""", VALUE(REGEXREPLACE($I352, ""\,"", ""."")), """")"),"")</f>
        <v/>
      </c>
      <c r="O352" s="35" t="str">
        <f>IF(Account!$F352&lt;&gt;"", DATEVALUE(MID($A352,4,3) &amp; LEFT($A352,3) &amp; RIGHT($A352,4)) + TIMEVALUE($B352), "")</f>
        <v/>
      </c>
      <c r="P352" s="36" t="str">
        <f>IF(Account!$F352&lt;&gt;"", DATEVALUE(MID($C352,4,3) &amp; LEFT($C352,3) &amp; RIGHT($C352,4)), "")</f>
        <v/>
      </c>
      <c r="Q352" s="37" t="str">
        <f t="array" ref="Q352">IF($R352&lt;&gt;"",IFERROR(INDEX(ISIN!$B:$B,MATCH($R352,ISIN!$C:$C,0))),)</f>
        <v/>
      </c>
      <c r="R352" s="38" t="str">
        <f t="array" ref="R352">IF($E352&lt;&gt;"",IFERROR(INDEX(ISIN!$C:$C,MATCH($E352,ISIN!$A:$A,0)),IFERROR(INDEX($R353:$R1200,MATCH($K352,$K353:$K1200,0)))),IF(AND($Y352="change",$H352="EUR"),IF($O352=$O353,$R353,IF($O352=$O351,$R351)),IFERROR(INDEX($R353:$R1200,MATCH(SUBSTITUTE($I352,"-","",1),$K353:$K1200,0)))))</f>
        <v/>
      </c>
      <c r="S352" s="37" t="str">
        <f t="shared" si="1"/>
        <v/>
      </c>
      <c r="T352" s="39" t="str">
        <f t="shared" si="2"/>
        <v/>
      </c>
      <c r="U352" s="40" t="str">
        <f t="shared" si="3"/>
        <v/>
      </c>
      <c r="V352" s="34" t="str">
        <f t="shared" si="4"/>
        <v/>
      </c>
      <c r="W352" s="41" t="str">
        <f>IFERROR(__xludf.DUMMYFUNCTION(" IF(Account!$F352&lt;&gt;"""", SPLIT(Account!$F352, "" ""), """")"),"")</f>
        <v/>
      </c>
      <c r="X352" s="42"/>
      <c r="Y352" s="42"/>
      <c r="Z352" s="42"/>
      <c r="AA352" s="42"/>
      <c r="AB352" s="42"/>
      <c r="AC352" s="42"/>
      <c r="AD352" s="42"/>
      <c r="AE352" s="42"/>
      <c r="AF352" s="42"/>
      <c r="AG352" s="42"/>
      <c r="AH352" s="42"/>
      <c r="AI352" s="42"/>
      <c r="AJ352" s="42"/>
      <c r="AK352" s="42"/>
    </row>
    <row r="353">
      <c r="A353" s="20"/>
      <c r="B353" s="20"/>
      <c r="C353" s="20"/>
      <c r="D353" s="20"/>
      <c r="E353" s="20"/>
      <c r="F353" s="21"/>
      <c r="G353" s="20"/>
      <c r="H353" s="20"/>
      <c r="I353" s="20"/>
      <c r="J353" s="20"/>
      <c r="K353" s="20"/>
      <c r="L353" s="21"/>
      <c r="M353" s="33" t="str">
        <f>IFERROR(__xludf.DUMMYFUNCTION("IFS(W353=""Achat"",IFERROR(VALUE(X353),VALUE(REGEXREPLACE(T(X353),""[^0-9]"",""""))),W353=""Vente"",-IFERROR(VALUE(X353),VALUE(REGEXREPLACE(T(X353),""[^0-9]"",""""))),Y353=""Change"",0,Y353&lt;&gt;""Change"","""")"),"")</f>
        <v/>
      </c>
      <c r="N353" s="34" t="str">
        <f>IFERROR(__xludf.DUMMYFUNCTION("IF(Account!$F353&lt;&gt;"""", VALUE(REGEXREPLACE($I353, ""\,"", ""."")), """")"),"")</f>
        <v/>
      </c>
      <c r="O353" s="35" t="str">
        <f>IF(Account!$F353&lt;&gt;"", DATEVALUE(MID($A353,4,3) &amp; LEFT($A353,3) &amp; RIGHT($A353,4)) + TIMEVALUE($B353), "")</f>
        <v/>
      </c>
      <c r="P353" s="36" t="str">
        <f>IF(Account!$F353&lt;&gt;"", DATEVALUE(MID($C353,4,3) &amp; LEFT($C353,3) &amp; RIGHT($C353,4)), "")</f>
        <v/>
      </c>
      <c r="Q353" s="37" t="str">
        <f t="array" ref="Q353">IF($R353&lt;&gt;"",IFERROR(INDEX(ISIN!$B:$B,MATCH($R353,ISIN!$C:$C,0))),)</f>
        <v/>
      </c>
      <c r="R353" s="38" t="str">
        <f t="array" ref="R353">IF($E353&lt;&gt;"",IFERROR(INDEX(ISIN!$C:$C,MATCH($E353,ISIN!$A:$A,0)),IFERROR(INDEX($R354:$R1200,MATCH($K353,$K354:$K1200,0)))),IF(AND($Y353="change",$H353="EUR"),IF($O353=$O354,$R354,IF($O353=$O352,$R352)),IFERROR(INDEX($R354:$R1200,MATCH(SUBSTITUTE($I353,"-","",1),$K354:$K1200,0)))))</f>
        <v/>
      </c>
      <c r="S353" s="37" t="str">
        <f t="shared" si="1"/>
        <v/>
      </c>
      <c r="T353" s="39" t="str">
        <f t="shared" si="2"/>
        <v/>
      </c>
      <c r="U353" s="40" t="str">
        <f t="shared" si="3"/>
        <v/>
      </c>
      <c r="V353" s="34" t="str">
        <f t="shared" si="4"/>
        <v/>
      </c>
      <c r="W353" s="41" t="str">
        <f>IFERROR(__xludf.DUMMYFUNCTION(" IF(Account!$F353&lt;&gt;"""", SPLIT(Account!$F353, "" ""), """")"),"")</f>
        <v/>
      </c>
      <c r="X353" s="42"/>
      <c r="Y353" s="42"/>
      <c r="Z353" s="42"/>
      <c r="AA353" s="42"/>
      <c r="AB353" s="42"/>
      <c r="AC353" s="42"/>
      <c r="AD353" s="42"/>
      <c r="AE353" s="42"/>
      <c r="AF353" s="42"/>
      <c r="AG353" s="42"/>
      <c r="AH353" s="42"/>
      <c r="AI353" s="42"/>
      <c r="AJ353" s="42"/>
      <c r="AK353" s="42"/>
    </row>
    <row r="354">
      <c r="A354" s="20"/>
      <c r="B354" s="20"/>
      <c r="C354" s="20"/>
      <c r="D354" s="20"/>
      <c r="E354" s="20"/>
      <c r="F354" s="21"/>
      <c r="G354" s="45"/>
      <c r="H354" s="20"/>
      <c r="I354" s="20"/>
      <c r="J354" s="20"/>
      <c r="K354" s="20"/>
      <c r="L354" s="21"/>
      <c r="M354" s="33" t="str">
        <f>IFERROR(__xludf.DUMMYFUNCTION("IFS(W354=""Achat"",IFERROR(VALUE(X354),VALUE(REGEXREPLACE(T(X354),""[^0-9]"",""""))),W354=""Vente"",-IFERROR(VALUE(X354),VALUE(REGEXREPLACE(T(X354),""[^0-9]"",""""))),Y354=""Change"",0,Y354&lt;&gt;""Change"","""")"),"")</f>
        <v/>
      </c>
      <c r="N354" s="34" t="str">
        <f>IFERROR(__xludf.DUMMYFUNCTION("IF(Account!$F354&lt;&gt;"""", VALUE(REGEXREPLACE($I354, ""\,"", ""."")), """")"),"")</f>
        <v/>
      </c>
      <c r="O354" s="35" t="str">
        <f>IF(Account!$F354&lt;&gt;"", DATEVALUE(MID($A354,4,3) &amp; LEFT($A354,3) &amp; RIGHT($A354,4)) + TIMEVALUE($B354), "")</f>
        <v/>
      </c>
      <c r="P354" s="36" t="str">
        <f>IF(Account!$F354&lt;&gt;"", DATEVALUE(MID($C354,4,3) &amp; LEFT($C354,3) &amp; RIGHT($C354,4)), "")</f>
        <v/>
      </c>
      <c r="Q354" s="37" t="str">
        <f t="array" ref="Q354">IF($R354&lt;&gt;"",IFERROR(INDEX(ISIN!$B:$B,MATCH($R354,ISIN!$C:$C,0))),)</f>
        <v/>
      </c>
      <c r="R354" s="38" t="str">
        <f t="array" ref="R354">IF($E354&lt;&gt;"",IFERROR(INDEX(ISIN!$C:$C,MATCH($E354,ISIN!$A:$A,0)),IFERROR(INDEX($R355:$R1200,MATCH($K354,$K355:$K1200,0)))),IF(AND($Y354="change",$H354="EUR"),IF($O354=$O355,$R355,IF($O354=$O353,$R353)),IFERROR(INDEX($R355:$R1200,MATCH(SUBSTITUTE($I354,"-","",1),$K355:$K1200,0)))))</f>
        <v/>
      </c>
      <c r="S354" s="37" t="str">
        <f t="shared" si="1"/>
        <v/>
      </c>
      <c r="T354" s="39" t="str">
        <f t="shared" si="2"/>
        <v/>
      </c>
      <c r="U354" s="40" t="str">
        <f t="shared" si="3"/>
        <v/>
      </c>
      <c r="V354" s="34" t="str">
        <f t="shared" si="4"/>
        <v/>
      </c>
      <c r="W354" s="41" t="str">
        <f>IFERROR(__xludf.DUMMYFUNCTION(" IF(Account!$F354&lt;&gt;"""", SPLIT(Account!$F354, "" ""), """")"),"")</f>
        <v/>
      </c>
      <c r="X354" s="42"/>
      <c r="Y354" s="42"/>
      <c r="Z354" s="42"/>
      <c r="AA354" s="42"/>
      <c r="AB354" s="42"/>
      <c r="AC354" s="42"/>
      <c r="AD354" s="42"/>
      <c r="AE354" s="42"/>
      <c r="AF354" s="42"/>
      <c r="AG354" s="42"/>
      <c r="AH354" s="42"/>
      <c r="AI354" s="42"/>
      <c r="AJ354" s="42"/>
      <c r="AK354" s="42"/>
    </row>
    <row r="355">
      <c r="A355" s="20"/>
      <c r="B355" s="20"/>
      <c r="C355" s="20"/>
      <c r="D355" s="20"/>
      <c r="E355" s="20"/>
      <c r="F355" s="21"/>
      <c r="G355" s="20"/>
      <c r="H355" s="20"/>
      <c r="I355" s="20"/>
      <c r="J355" s="20"/>
      <c r="K355" s="20"/>
      <c r="L355" s="21"/>
      <c r="M355" s="33" t="str">
        <f>IFERROR(__xludf.DUMMYFUNCTION("IFS(W355=""Achat"",IFERROR(VALUE(X355),VALUE(REGEXREPLACE(T(X355),""[^0-9]"",""""))),W355=""Vente"",-IFERROR(VALUE(X355),VALUE(REGEXREPLACE(T(X355),""[^0-9]"",""""))),Y355=""Change"",0,Y355&lt;&gt;""Change"","""")"),"")</f>
        <v/>
      </c>
      <c r="N355" s="34" t="str">
        <f>IFERROR(__xludf.DUMMYFUNCTION("IF(Account!$F355&lt;&gt;"""", VALUE(REGEXREPLACE($I355, ""\,"", ""."")), """")"),"")</f>
        <v/>
      </c>
      <c r="O355" s="35" t="str">
        <f>IF(Account!$F355&lt;&gt;"", DATEVALUE(MID($A355,4,3) &amp; LEFT($A355,3) &amp; RIGHT($A355,4)) + TIMEVALUE($B355), "")</f>
        <v/>
      </c>
      <c r="P355" s="36" t="str">
        <f>IF(Account!$F355&lt;&gt;"", DATEVALUE(MID($C355,4,3) &amp; LEFT($C355,3) &amp; RIGHT($C355,4)), "")</f>
        <v/>
      </c>
      <c r="Q355" s="37" t="str">
        <f t="array" ref="Q355">IF($R355&lt;&gt;"",IFERROR(INDEX(ISIN!$B:$B,MATCH($R355,ISIN!$C:$C,0))),)</f>
        <v/>
      </c>
      <c r="R355" s="38" t="str">
        <f t="array" ref="R355">IF($E355&lt;&gt;"",IFERROR(INDEX(ISIN!$C:$C,MATCH($E355,ISIN!$A:$A,0)),IFERROR(INDEX($R356:$R1200,MATCH($K355,$K356:$K1200,0)))),IF(AND($Y355="change",$H355="EUR"),IF($O355=$O356,$R356,IF($O355=$O354,$R354)),IFERROR(INDEX($R356:$R1200,MATCH(SUBSTITUTE($I355,"-","",1),$K356:$K1200,0)))))</f>
        <v/>
      </c>
      <c r="S355" s="37" t="str">
        <f t="shared" si="1"/>
        <v/>
      </c>
      <c r="T355" s="39" t="str">
        <f t="shared" si="2"/>
        <v/>
      </c>
      <c r="U355" s="40" t="str">
        <f t="shared" si="3"/>
        <v/>
      </c>
      <c r="V355" s="34" t="str">
        <f t="shared" si="4"/>
        <v/>
      </c>
      <c r="W355" s="41" t="str">
        <f>IFERROR(__xludf.DUMMYFUNCTION(" IF(Account!$F355&lt;&gt;"""", SPLIT(Account!$F355, "" ""), """")"),"")</f>
        <v/>
      </c>
      <c r="X355" s="42"/>
      <c r="Y355" s="42"/>
      <c r="Z355" s="42"/>
      <c r="AA355" s="42"/>
      <c r="AB355" s="42"/>
      <c r="AC355" s="42"/>
      <c r="AD355" s="42"/>
      <c r="AE355" s="42"/>
      <c r="AF355" s="42"/>
      <c r="AG355" s="42"/>
      <c r="AH355" s="42"/>
      <c r="AI355" s="42"/>
      <c r="AJ355" s="42"/>
      <c r="AK355" s="42"/>
    </row>
    <row r="356">
      <c r="A356" s="20"/>
      <c r="B356" s="20"/>
      <c r="C356" s="20"/>
      <c r="D356" s="20"/>
      <c r="E356" s="20"/>
      <c r="F356" s="21"/>
      <c r="G356" s="45"/>
      <c r="H356" s="20"/>
      <c r="I356" s="20"/>
      <c r="J356" s="20"/>
      <c r="K356" s="20"/>
      <c r="L356" s="21"/>
      <c r="M356" s="33" t="str">
        <f>IFERROR(__xludf.DUMMYFUNCTION("IFS(W356=""Achat"",IFERROR(VALUE(X356),VALUE(REGEXREPLACE(T(X356),""[^0-9]"",""""))),W356=""Vente"",-IFERROR(VALUE(X356),VALUE(REGEXREPLACE(T(X356),""[^0-9]"",""""))),Y356=""Change"",0,Y356&lt;&gt;""Change"","""")"),"")</f>
        <v/>
      </c>
      <c r="N356" s="34" t="str">
        <f>IFERROR(__xludf.DUMMYFUNCTION("IF(Account!$F356&lt;&gt;"""", VALUE(REGEXREPLACE($I356, ""\,"", ""."")), """")"),"")</f>
        <v/>
      </c>
      <c r="O356" s="35" t="str">
        <f>IF(Account!$F356&lt;&gt;"", DATEVALUE(MID($A356,4,3) &amp; LEFT($A356,3) &amp; RIGHT($A356,4)) + TIMEVALUE($B356), "")</f>
        <v/>
      </c>
      <c r="P356" s="36" t="str">
        <f>IF(Account!$F356&lt;&gt;"", DATEVALUE(MID($C356,4,3) &amp; LEFT($C356,3) &amp; RIGHT($C356,4)), "")</f>
        <v/>
      </c>
      <c r="Q356" s="37" t="str">
        <f t="array" ref="Q356">IF($R356&lt;&gt;"",IFERROR(INDEX(ISIN!$B:$B,MATCH($R356,ISIN!$C:$C,0))),)</f>
        <v/>
      </c>
      <c r="R356" s="38" t="str">
        <f t="array" ref="R356">IF($E356&lt;&gt;"",IFERROR(INDEX(ISIN!$C:$C,MATCH($E356,ISIN!$A:$A,0)),IFERROR(INDEX($R357:$R1200,MATCH($K356,$K357:$K1200,0)))),IF(AND($Y356="change",$H356="EUR"),IF($O356=$O357,$R357,IF($O356=$O355,$R355)),IFERROR(INDEX($R357:$R1200,MATCH(SUBSTITUTE($I356,"-","",1),$K357:$K1200,0)))))</f>
        <v/>
      </c>
      <c r="S356" s="37" t="str">
        <f t="shared" si="1"/>
        <v/>
      </c>
      <c r="T356" s="39" t="str">
        <f t="shared" si="2"/>
        <v/>
      </c>
      <c r="U356" s="40" t="str">
        <f t="shared" si="3"/>
        <v/>
      </c>
      <c r="V356" s="34" t="str">
        <f t="shared" si="4"/>
        <v/>
      </c>
      <c r="W356" s="41" t="str">
        <f>IFERROR(__xludf.DUMMYFUNCTION(" IF(Account!$F356&lt;&gt;"""", SPLIT(Account!$F356, "" ""), """")"),"")</f>
        <v/>
      </c>
      <c r="X356" s="42"/>
      <c r="Y356" s="42"/>
      <c r="Z356" s="42"/>
      <c r="AA356" s="42"/>
      <c r="AB356" s="42"/>
      <c r="AC356" s="42"/>
      <c r="AD356" s="42"/>
      <c r="AE356" s="42"/>
      <c r="AF356" s="42"/>
      <c r="AG356" s="42"/>
      <c r="AH356" s="42"/>
      <c r="AI356" s="42"/>
      <c r="AJ356" s="42"/>
      <c r="AK356" s="42"/>
    </row>
    <row r="357">
      <c r="A357" s="20"/>
      <c r="B357" s="20"/>
      <c r="C357" s="20"/>
      <c r="D357" s="20"/>
      <c r="E357" s="20"/>
      <c r="F357" s="21"/>
      <c r="G357" s="20"/>
      <c r="H357" s="20"/>
      <c r="I357" s="20"/>
      <c r="J357" s="20"/>
      <c r="K357" s="20"/>
      <c r="L357" s="21"/>
      <c r="M357" s="33" t="str">
        <f>IFERROR(__xludf.DUMMYFUNCTION("IFS(W357=""Achat"",IFERROR(VALUE(X357),VALUE(REGEXREPLACE(T(X357),""[^0-9]"",""""))),W357=""Vente"",-IFERROR(VALUE(X357),VALUE(REGEXREPLACE(T(X357),""[^0-9]"",""""))),Y357=""Change"",0,Y357&lt;&gt;""Change"","""")"),"")</f>
        <v/>
      </c>
      <c r="N357" s="34" t="str">
        <f>IFERROR(__xludf.DUMMYFUNCTION("IF(Account!$F357&lt;&gt;"""", VALUE(REGEXREPLACE($I357, ""\,"", ""."")), """")"),"")</f>
        <v/>
      </c>
      <c r="O357" s="35" t="str">
        <f>IF(Account!$F357&lt;&gt;"", DATEVALUE(MID($A357,4,3) &amp; LEFT($A357,3) &amp; RIGHT($A357,4)) + TIMEVALUE($B357), "")</f>
        <v/>
      </c>
      <c r="P357" s="36" t="str">
        <f>IF(Account!$F357&lt;&gt;"", DATEVALUE(MID($C357,4,3) &amp; LEFT($C357,3) &amp; RIGHT($C357,4)), "")</f>
        <v/>
      </c>
      <c r="Q357" s="37" t="str">
        <f t="array" ref="Q357">IF($R357&lt;&gt;"",IFERROR(INDEX(ISIN!$B:$B,MATCH($R357,ISIN!$C:$C,0))),)</f>
        <v/>
      </c>
      <c r="R357" s="38" t="str">
        <f t="array" ref="R357">IF($E357&lt;&gt;"",IFERROR(INDEX(ISIN!$C:$C,MATCH($E357,ISIN!$A:$A,0)),IFERROR(INDEX($R358:$R1200,MATCH($K357,$K358:$K1200,0)))),IF(AND($Y357="change",$H357="EUR"),IF($O357=$O358,$R358,IF($O357=$O356,$R356)),IFERROR(INDEX($R358:$R1200,MATCH(SUBSTITUTE($I357,"-","",1),$K358:$K1200,0)))))</f>
        <v/>
      </c>
      <c r="S357" s="37" t="str">
        <f t="shared" si="1"/>
        <v/>
      </c>
      <c r="T357" s="39" t="str">
        <f t="shared" si="2"/>
        <v/>
      </c>
      <c r="U357" s="40" t="str">
        <f t="shared" si="3"/>
        <v/>
      </c>
      <c r="V357" s="34" t="str">
        <f t="shared" si="4"/>
        <v/>
      </c>
      <c r="W357" s="41" t="str">
        <f>IFERROR(__xludf.DUMMYFUNCTION(" IF(Account!$F357&lt;&gt;"""", SPLIT(Account!$F357, "" ""), """")"),"")</f>
        <v/>
      </c>
      <c r="X357" s="42"/>
      <c r="Y357" s="42"/>
      <c r="Z357" s="42"/>
      <c r="AA357" s="42"/>
      <c r="AB357" s="42"/>
      <c r="AC357" s="42"/>
      <c r="AD357" s="42"/>
      <c r="AE357" s="42"/>
      <c r="AF357" s="42"/>
      <c r="AG357" s="42"/>
      <c r="AH357" s="42"/>
      <c r="AI357" s="42"/>
      <c r="AJ357" s="42"/>
      <c r="AK357" s="42"/>
    </row>
    <row r="358">
      <c r="A358" s="20"/>
      <c r="B358" s="20"/>
      <c r="C358" s="20"/>
      <c r="D358" s="20"/>
      <c r="E358" s="20"/>
      <c r="F358" s="21"/>
      <c r="G358" s="20"/>
      <c r="H358" s="20"/>
      <c r="I358" s="20"/>
      <c r="J358" s="20"/>
      <c r="K358" s="20"/>
      <c r="L358" s="21"/>
      <c r="M358" s="33" t="str">
        <f>IFERROR(__xludf.DUMMYFUNCTION("IFS(W358=""Achat"",IFERROR(VALUE(X358),VALUE(REGEXREPLACE(T(X358),""[^0-9]"",""""))),W358=""Vente"",-IFERROR(VALUE(X358),VALUE(REGEXREPLACE(T(X358),""[^0-9]"",""""))),Y358=""Change"",0,Y358&lt;&gt;""Change"","""")"),"")</f>
        <v/>
      </c>
      <c r="N358" s="34" t="str">
        <f>IFERROR(__xludf.DUMMYFUNCTION("IF(Account!$F358&lt;&gt;"""", VALUE(REGEXREPLACE($I358, ""\,"", ""."")), """")"),"")</f>
        <v/>
      </c>
      <c r="O358" s="35" t="str">
        <f>IF(Account!$F358&lt;&gt;"", DATEVALUE(MID($A358,4,3) &amp; LEFT($A358,3) &amp; RIGHT($A358,4)) + TIMEVALUE($B358), "")</f>
        <v/>
      </c>
      <c r="P358" s="36" t="str">
        <f>IF(Account!$F358&lt;&gt;"", DATEVALUE(MID($C358,4,3) &amp; LEFT($C358,3) &amp; RIGHT($C358,4)), "")</f>
        <v/>
      </c>
      <c r="Q358" s="37" t="str">
        <f t="array" ref="Q358">IF($R358&lt;&gt;"",IFERROR(INDEX(ISIN!$B:$B,MATCH($R358,ISIN!$C:$C,0))),)</f>
        <v/>
      </c>
      <c r="R358" s="38" t="str">
        <f t="array" ref="R358">IF($E358&lt;&gt;"",IFERROR(INDEX(ISIN!$C:$C,MATCH($E358,ISIN!$A:$A,0)),IFERROR(INDEX($R359:$R1200,MATCH($K358,$K359:$K1200,0)))),IF(AND($Y358="change",$H358="EUR"),IF($O358=$O359,$R359,IF($O358=$O357,$R357)),IFERROR(INDEX($R359:$R1200,MATCH(SUBSTITUTE($I358,"-","",1),$K359:$K1200,0)))))</f>
        <v/>
      </c>
      <c r="S358" s="37" t="str">
        <f t="shared" si="1"/>
        <v/>
      </c>
      <c r="T358" s="39" t="str">
        <f t="shared" si="2"/>
        <v/>
      </c>
      <c r="U358" s="40" t="str">
        <f t="shared" si="3"/>
        <v/>
      </c>
      <c r="V358" s="34" t="str">
        <f t="shared" si="4"/>
        <v/>
      </c>
      <c r="W358" s="41" t="str">
        <f>IFERROR(__xludf.DUMMYFUNCTION(" IF(Account!$F358&lt;&gt;"""", SPLIT(Account!$F358, "" ""), """")"),"")</f>
        <v/>
      </c>
      <c r="X358" s="42"/>
      <c r="Y358" s="42"/>
      <c r="Z358" s="42"/>
      <c r="AA358" s="42"/>
      <c r="AB358" s="42"/>
      <c r="AC358" s="42"/>
      <c r="AD358" s="42"/>
      <c r="AE358" s="42"/>
      <c r="AF358" s="42"/>
      <c r="AG358" s="42"/>
      <c r="AH358" s="42"/>
      <c r="AI358" s="42"/>
      <c r="AJ358" s="42"/>
      <c r="AK358" s="42"/>
    </row>
    <row r="359">
      <c r="A359" s="20"/>
      <c r="B359" s="20"/>
      <c r="C359" s="20"/>
      <c r="D359" s="20"/>
      <c r="E359" s="20"/>
      <c r="F359" s="21"/>
      <c r="G359" s="45"/>
      <c r="H359" s="20"/>
      <c r="I359" s="20"/>
      <c r="J359" s="20"/>
      <c r="K359" s="20"/>
      <c r="L359" s="21"/>
      <c r="M359" s="33" t="str">
        <f>IFERROR(__xludf.DUMMYFUNCTION("IFS(W359=""Achat"",IFERROR(VALUE(X359),VALUE(REGEXREPLACE(T(X359),""[^0-9]"",""""))),W359=""Vente"",-IFERROR(VALUE(X359),VALUE(REGEXREPLACE(T(X359),""[^0-9]"",""""))),Y359=""Change"",0,Y359&lt;&gt;""Change"","""")"),"")</f>
        <v/>
      </c>
      <c r="N359" s="34" t="str">
        <f>IFERROR(__xludf.DUMMYFUNCTION("IF(Account!$F359&lt;&gt;"""", VALUE(REGEXREPLACE($I359, ""\,"", ""."")), """")"),"")</f>
        <v/>
      </c>
      <c r="O359" s="35" t="str">
        <f>IF(Account!$F359&lt;&gt;"", DATEVALUE(MID($A359,4,3) &amp; LEFT($A359,3) &amp; RIGHT($A359,4)) + TIMEVALUE($B359), "")</f>
        <v/>
      </c>
      <c r="P359" s="36" t="str">
        <f>IF(Account!$F359&lt;&gt;"", DATEVALUE(MID($C359,4,3) &amp; LEFT($C359,3) &amp; RIGHT($C359,4)), "")</f>
        <v/>
      </c>
      <c r="Q359" s="37" t="str">
        <f t="array" ref="Q359">IF($R359&lt;&gt;"",IFERROR(INDEX(ISIN!$B:$B,MATCH($R359,ISIN!$C:$C,0))),)</f>
        <v/>
      </c>
      <c r="R359" s="38" t="str">
        <f t="array" ref="R359">IF($E359&lt;&gt;"",IFERROR(INDEX(ISIN!$C:$C,MATCH($E359,ISIN!$A:$A,0)),IFERROR(INDEX($R360:$R1200,MATCH($K359,$K360:$K1200,0)))),IF(AND($Y359="change",$H359="EUR"),IF($O359=$O360,$R360,IF($O359=$O358,$R358)),IFERROR(INDEX($R360:$R1200,MATCH(SUBSTITUTE($I359,"-","",1),$K360:$K1200,0)))))</f>
        <v/>
      </c>
      <c r="S359" s="37" t="str">
        <f t="shared" si="1"/>
        <v/>
      </c>
      <c r="T359" s="39" t="str">
        <f t="shared" si="2"/>
        <v/>
      </c>
      <c r="U359" s="40" t="str">
        <f t="shared" si="3"/>
        <v/>
      </c>
      <c r="V359" s="34" t="str">
        <f t="shared" si="4"/>
        <v/>
      </c>
      <c r="W359" s="41" t="str">
        <f>IFERROR(__xludf.DUMMYFUNCTION(" IF(Account!$F359&lt;&gt;"""", SPLIT(Account!$F359, "" ""), """")"),"")</f>
        <v/>
      </c>
      <c r="X359" s="42"/>
      <c r="Y359" s="42"/>
      <c r="Z359" s="42"/>
      <c r="AA359" s="42"/>
      <c r="AB359" s="42"/>
      <c r="AC359" s="42"/>
      <c r="AD359" s="42"/>
      <c r="AE359" s="42"/>
      <c r="AF359" s="42"/>
      <c r="AG359" s="42"/>
      <c r="AH359" s="42"/>
      <c r="AI359" s="42"/>
      <c r="AJ359" s="42"/>
      <c r="AK359" s="42"/>
    </row>
    <row r="360">
      <c r="A360" s="20"/>
      <c r="B360" s="20"/>
      <c r="C360" s="20"/>
      <c r="D360" s="20"/>
      <c r="E360" s="20"/>
      <c r="F360" s="21"/>
      <c r="G360" s="20"/>
      <c r="H360" s="20"/>
      <c r="I360" s="20"/>
      <c r="J360" s="20"/>
      <c r="K360" s="20"/>
      <c r="L360" s="21"/>
      <c r="M360" s="33" t="str">
        <f>IFERROR(__xludf.DUMMYFUNCTION("IFS(W360=""Achat"",IFERROR(VALUE(X360),VALUE(REGEXREPLACE(T(X360),""[^0-9]"",""""))),W360=""Vente"",-IFERROR(VALUE(X360),VALUE(REGEXREPLACE(T(X360),""[^0-9]"",""""))),Y360=""Change"",0,Y360&lt;&gt;""Change"","""")"),"")</f>
        <v/>
      </c>
      <c r="N360" s="34" t="str">
        <f>IFERROR(__xludf.DUMMYFUNCTION("IF(Account!$F360&lt;&gt;"""", VALUE(REGEXREPLACE($I360, ""\,"", ""."")), """")"),"")</f>
        <v/>
      </c>
      <c r="O360" s="35" t="str">
        <f>IF(Account!$F360&lt;&gt;"", DATEVALUE(MID($A360,4,3) &amp; LEFT($A360,3) &amp; RIGHT($A360,4)) + TIMEVALUE($B360), "")</f>
        <v/>
      </c>
      <c r="P360" s="36" t="str">
        <f>IF(Account!$F360&lt;&gt;"", DATEVALUE(MID($C360,4,3) &amp; LEFT($C360,3) &amp; RIGHT($C360,4)), "")</f>
        <v/>
      </c>
      <c r="Q360" s="37" t="str">
        <f t="array" ref="Q360">IF($R360&lt;&gt;"",IFERROR(INDEX(ISIN!$B:$B,MATCH($R360,ISIN!$C:$C,0))),)</f>
        <v/>
      </c>
      <c r="R360" s="38" t="str">
        <f t="array" ref="R360">IF($E360&lt;&gt;"",IFERROR(INDEX(ISIN!$C:$C,MATCH($E360,ISIN!$A:$A,0)),IFERROR(INDEX($R361:$R1200,MATCH($K360,$K361:$K1200,0)))),IF(AND($Y360="change",$H360="EUR"),IF($O360=$O361,$R361,IF($O360=$O359,$R359)),IFERROR(INDEX($R361:$R1200,MATCH(SUBSTITUTE($I360,"-","",1),$K361:$K1200,0)))))</f>
        <v/>
      </c>
      <c r="S360" s="37" t="str">
        <f t="shared" si="1"/>
        <v/>
      </c>
      <c r="T360" s="39" t="str">
        <f t="shared" si="2"/>
        <v/>
      </c>
      <c r="U360" s="40" t="str">
        <f t="shared" si="3"/>
        <v/>
      </c>
      <c r="V360" s="34" t="str">
        <f t="shared" si="4"/>
        <v/>
      </c>
      <c r="W360" s="41" t="str">
        <f>IFERROR(__xludf.DUMMYFUNCTION(" IF(Account!$F360&lt;&gt;"""", SPLIT(Account!$F360, "" ""), """")"),"")</f>
        <v/>
      </c>
      <c r="X360" s="42"/>
      <c r="Y360" s="42"/>
      <c r="Z360" s="42"/>
      <c r="AA360" s="42"/>
      <c r="AB360" s="42"/>
      <c r="AC360" s="42"/>
      <c r="AD360" s="42"/>
      <c r="AE360" s="42"/>
      <c r="AF360" s="42"/>
      <c r="AG360" s="42"/>
      <c r="AH360" s="42"/>
      <c r="AI360" s="42"/>
      <c r="AJ360" s="42"/>
      <c r="AK360" s="42"/>
    </row>
    <row r="361">
      <c r="A361" s="20"/>
      <c r="B361" s="20"/>
      <c r="C361" s="20"/>
      <c r="D361" s="20"/>
      <c r="E361" s="20"/>
      <c r="F361" s="21"/>
      <c r="G361" s="20"/>
      <c r="H361" s="20"/>
      <c r="I361" s="20"/>
      <c r="J361" s="20"/>
      <c r="K361" s="20"/>
      <c r="L361" s="21"/>
      <c r="M361" s="33" t="str">
        <f>IFERROR(__xludf.DUMMYFUNCTION("IFS(W361=""Achat"",IFERROR(VALUE(X361),VALUE(REGEXREPLACE(T(X361),""[^0-9]"",""""))),W361=""Vente"",-IFERROR(VALUE(X361),VALUE(REGEXREPLACE(T(X361),""[^0-9]"",""""))),Y361=""Change"",0,Y361&lt;&gt;""Change"","""")"),"")</f>
        <v/>
      </c>
      <c r="N361" s="34" t="str">
        <f>IFERROR(__xludf.DUMMYFUNCTION("IF(Account!$F361&lt;&gt;"""", VALUE(REGEXREPLACE($I361, ""\,"", ""."")), """")"),"")</f>
        <v/>
      </c>
      <c r="O361" s="35" t="str">
        <f>IF(Account!$F361&lt;&gt;"", DATEVALUE(MID($A361,4,3) &amp; LEFT($A361,3) &amp; RIGHT($A361,4)) + TIMEVALUE($B361), "")</f>
        <v/>
      </c>
      <c r="P361" s="36" t="str">
        <f>IF(Account!$F361&lt;&gt;"", DATEVALUE(MID($C361,4,3) &amp; LEFT($C361,3) &amp; RIGHT($C361,4)), "")</f>
        <v/>
      </c>
      <c r="Q361" s="37" t="str">
        <f t="array" ref="Q361">IF($R361&lt;&gt;"",IFERROR(INDEX(ISIN!$B:$B,MATCH($R361,ISIN!$C:$C,0))),)</f>
        <v/>
      </c>
      <c r="R361" s="38" t="str">
        <f t="array" ref="R361">IF($E361&lt;&gt;"",IFERROR(INDEX(ISIN!$C:$C,MATCH($E361,ISIN!$A:$A,0)),IFERROR(INDEX($R362:$R1200,MATCH($K361,$K362:$K1200,0)))),IF(AND($Y361="change",$H361="EUR"),IF($O361=$O362,$R362,IF($O361=$O360,$R360)),IFERROR(INDEX($R362:$R1200,MATCH(SUBSTITUTE($I361,"-","",1),$K362:$K1200,0)))))</f>
        <v/>
      </c>
      <c r="S361" s="37" t="str">
        <f t="shared" si="1"/>
        <v/>
      </c>
      <c r="T361" s="39" t="str">
        <f t="shared" si="2"/>
        <v/>
      </c>
      <c r="U361" s="40" t="str">
        <f t="shared" si="3"/>
        <v/>
      </c>
      <c r="V361" s="34" t="str">
        <f t="shared" si="4"/>
        <v/>
      </c>
      <c r="W361" s="41" t="str">
        <f>IFERROR(__xludf.DUMMYFUNCTION(" IF(Account!$F361&lt;&gt;"""", SPLIT(Account!$F361, "" ""), """")"),"")</f>
        <v/>
      </c>
      <c r="X361" s="42"/>
      <c r="Y361" s="42"/>
      <c r="Z361" s="42"/>
      <c r="AA361" s="42"/>
      <c r="AB361" s="42"/>
      <c r="AC361" s="42"/>
      <c r="AD361" s="42"/>
      <c r="AE361" s="42"/>
      <c r="AF361" s="42"/>
      <c r="AG361" s="42"/>
      <c r="AH361" s="42"/>
      <c r="AI361" s="42"/>
      <c r="AJ361" s="42"/>
      <c r="AK361" s="42"/>
    </row>
    <row r="362">
      <c r="A362" s="20"/>
      <c r="B362" s="20"/>
      <c r="C362" s="20"/>
      <c r="D362" s="20"/>
      <c r="E362" s="20"/>
      <c r="F362" s="21"/>
      <c r="G362" s="45"/>
      <c r="H362" s="20"/>
      <c r="I362" s="20"/>
      <c r="J362" s="20"/>
      <c r="K362" s="20"/>
      <c r="L362" s="21"/>
      <c r="M362" s="33" t="str">
        <f>IFERROR(__xludf.DUMMYFUNCTION("IFS(W362=""Achat"",IFERROR(VALUE(X362),VALUE(REGEXREPLACE(T(X362),""[^0-9]"",""""))),W362=""Vente"",-IFERROR(VALUE(X362),VALUE(REGEXREPLACE(T(X362),""[^0-9]"",""""))),Y362=""Change"",0,Y362&lt;&gt;""Change"","""")"),"")</f>
        <v/>
      </c>
      <c r="N362" s="34" t="str">
        <f>IFERROR(__xludf.DUMMYFUNCTION("IF(Account!$F362&lt;&gt;"""", VALUE(REGEXREPLACE($I362, ""\,"", ""."")), """")"),"")</f>
        <v/>
      </c>
      <c r="O362" s="35" t="str">
        <f>IF(Account!$F362&lt;&gt;"", DATEVALUE(MID($A362,4,3) &amp; LEFT($A362,3) &amp; RIGHT($A362,4)) + TIMEVALUE($B362), "")</f>
        <v/>
      </c>
      <c r="P362" s="36" t="str">
        <f>IF(Account!$F362&lt;&gt;"", DATEVALUE(MID($C362,4,3) &amp; LEFT($C362,3) &amp; RIGHT($C362,4)), "")</f>
        <v/>
      </c>
      <c r="Q362" s="37" t="str">
        <f t="array" ref="Q362">IF($R362&lt;&gt;"",IFERROR(INDEX(ISIN!$B:$B,MATCH($R362,ISIN!$C:$C,0))),)</f>
        <v/>
      </c>
      <c r="R362" s="38" t="str">
        <f t="array" ref="R362">IF($E362&lt;&gt;"",IFERROR(INDEX(ISIN!$C:$C,MATCH($E362,ISIN!$A:$A,0)),IFERROR(INDEX($R363:$R1200,MATCH($K362,$K363:$K1200,0)))),IF(AND($Y362="change",$H362="EUR"),IF($O362=$O363,$R363,IF($O362=$O361,$R361)),IFERROR(INDEX($R363:$R1200,MATCH(SUBSTITUTE($I362,"-","",1),$K363:$K1200,0)))))</f>
        <v/>
      </c>
      <c r="S362" s="37" t="str">
        <f t="shared" si="1"/>
        <v/>
      </c>
      <c r="T362" s="39" t="str">
        <f t="shared" si="2"/>
        <v/>
      </c>
      <c r="U362" s="40" t="str">
        <f t="shared" si="3"/>
        <v/>
      </c>
      <c r="V362" s="34" t="str">
        <f t="shared" si="4"/>
        <v/>
      </c>
      <c r="W362" s="41" t="str">
        <f>IFERROR(__xludf.DUMMYFUNCTION(" IF(Account!$F362&lt;&gt;"""", SPLIT(Account!$F362, "" ""), """")"),"")</f>
        <v/>
      </c>
      <c r="X362" s="42"/>
      <c r="Y362" s="42"/>
      <c r="Z362" s="42"/>
      <c r="AA362" s="42"/>
      <c r="AB362" s="42"/>
      <c r="AC362" s="42"/>
      <c r="AD362" s="42"/>
      <c r="AE362" s="42"/>
      <c r="AF362" s="42"/>
      <c r="AG362" s="42"/>
      <c r="AH362" s="42"/>
      <c r="AI362" s="42"/>
      <c r="AJ362" s="42"/>
      <c r="AK362" s="42"/>
    </row>
    <row r="363">
      <c r="A363" s="20"/>
      <c r="B363" s="20"/>
      <c r="C363" s="20"/>
      <c r="D363" s="20"/>
      <c r="E363" s="20"/>
      <c r="F363" s="21"/>
      <c r="G363" s="45"/>
      <c r="H363" s="20"/>
      <c r="I363" s="20"/>
      <c r="J363" s="20"/>
      <c r="K363" s="20"/>
      <c r="L363" s="21"/>
      <c r="M363" s="33" t="str">
        <f>IFERROR(__xludf.DUMMYFUNCTION("IFS(W363=""Achat"",IFERROR(VALUE(X363),VALUE(REGEXREPLACE(T(X363),""[^0-9]"",""""))),W363=""Vente"",-IFERROR(VALUE(X363),VALUE(REGEXREPLACE(T(X363),""[^0-9]"",""""))),Y363=""Change"",0,Y363&lt;&gt;""Change"","""")"),"")</f>
        <v/>
      </c>
      <c r="N363" s="34" t="str">
        <f>IFERROR(__xludf.DUMMYFUNCTION("IF(Account!$F363&lt;&gt;"""", VALUE(REGEXREPLACE($I363, ""\,"", ""."")), """")"),"")</f>
        <v/>
      </c>
      <c r="O363" s="35" t="str">
        <f>IF(Account!$F363&lt;&gt;"", DATEVALUE(MID($A363,4,3) &amp; LEFT($A363,3) &amp; RIGHT($A363,4)) + TIMEVALUE($B363), "")</f>
        <v/>
      </c>
      <c r="P363" s="36" t="str">
        <f>IF(Account!$F363&lt;&gt;"", DATEVALUE(MID($C363,4,3) &amp; LEFT($C363,3) &amp; RIGHT($C363,4)), "")</f>
        <v/>
      </c>
      <c r="Q363" s="37" t="str">
        <f t="array" ref="Q363">IF($R363&lt;&gt;"",IFERROR(INDEX(ISIN!$B:$B,MATCH($R363,ISIN!$C:$C,0))),)</f>
        <v/>
      </c>
      <c r="R363" s="38" t="str">
        <f t="array" ref="R363">IF($E363&lt;&gt;"",IFERROR(INDEX(ISIN!$C:$C,MATCH($E363,ISIN!$A:$A,0)),IFERROR(INDEX($R364:$R1200,MATCH($K363,$K364:$K1200,0)))),IF(AND($Y363="change",$H363="EUR"),IF($O363=$O364,$R364,IF($O363=$O362,$R362)),IFERROR(INDEX($R364:$R1200,MATCH(SUBSTITUTE($I363,"-","",1),$K364:$K1200,0)))))</f>
        <v/>
      </c>
      <c r="S363" s="37" t="str">
        <f t="shared" si="1"/>
        <v/>
      </c>
      <c r="T363" s="39" t="str">
        <f t="shared" si="2"/>
        <v/>
      </c>
      <c r="U363" s="40" t="str">
        <f t="shared" si="3"/>
        <v/>
      </c>
      <c r="V363" s="34" t="str">
        <f t="shared" si="4"/>
        <v/>
      </c>
      <c r="W363" s="41" t="str">
        <f>IFERROR(__xludf.DUMMYFUNCTION(" IF(Account!$F363&lt;&gt;"""", SPLIT(Account!$F363, "" ""), """")"),"")</f>
        <v/>
      </c>
      <c r="X363" s="42"/>
      <c r="Y363" s="42"/>
      <c r="Z363" s="42"/>
      <c r="AA363" s="42"/>
      <c r="AB363" s="42"/>
      <c r="AC363" s="42"/>
      <c r="AD363" s="42"/>
      <c r="AE363" s="42"/>
      <c r="AF363" s="42"/>
      <c r="AG363" s="42"/>
      <c r="AH363" s="42"/>
      <c r="AI363" s="42"/>
      <c r="AJ363" s="42"/>
      <c r="AK363" s="42"/>
    </row>
    <row r="364">
      <c r="A364" s="20"/>
      <c r="B364" s="20"/>
      <c r="C364" s="20"/>
      <c r="D364" s="20"/>
      <c r="E364" s="20"/>
      <c r="F364" s="21"/>
      <c r="G364" s="45"/>
      <c r="H364" s="20"/>
      <c r="I364" s="20"/>
      <c r="J364" s="20"/>
      <c r="K364" s="20"/>
      <c r="L364" s="21"/>
      <c r="M364" s="33" t="str">
        <f>IFERROR(__xludf.DUMMYFUNCTION("IFS(W364=""Achat"",IFERROR(VALUE(X364),VALUE(REGEXREPLACE(T(X364),""[^0-9]"",""""))),W364=""Vente"",-IFERROR(VALUE(X364),VALUE(REGEXREPLACE(T(X364),""[^0-9]"",""""))),Y364=""Change"",0,Y364&lt;&gt;""Change"","""")"),"")</f>
        <v/>
      </c>
      <c r="N364" s="34" t="str">
        <f>IFERROR(__xludf.DUMMYFUNCTION("IF(Account!$F364&lt;&gt;"""", VALUE(REGEXREPLACE($I364, ""\,"", ""."")), """")"),"")</f>
        <v/>
      </c>
      <c r="O364" s="35" t="str">
        <f>IF(Account!$F364&lt;&gt;"", DATEVALUE(MID($A364,4,3) &amp; LEFT($A364,3) &amp; RIGHT($A364,4)) + TIMEVALUE($B364), "")</f>
        <v/>
      </c>
      <c r="P364" s="36" t="str">
        <f>IF(Account!$F364&lt;&gt;"", DATEVALUE(MID($C364,4,3) &amp; LEFT($C364,3) &amp; RIGHT($C364,4)), "")</f>
        <v/>
      </c>
      <c r="Q364" s="37" t="str">
        <f t="array" ref="Q364">IF($R364&lt;&gt;"",IFERROR(INDEX(ISIN!$B:$B,MATCH($R364,ISIN!$C:$C,0))),)</f>
        <v/>
      </c>
      <c r="R364" s="38" t="str">
        <f t="array" ref="R364">IF($E364&lt;&gt;"",IFERROR(INDEX(ISIN!$C:$C,MATCH($E364,ISIN!$A:$A,0)),IFERROR(INDEX($R365:$R1200,MATCH($K364,$K365:$K1200,0)))),IF(AND($Y364="change",$H364="EUR"),IF($O364=$O365,$R365,IF($O364=$O363,$R363)),IFERROR(INDEX($R365:$R1200,MATCH(SUBSTITUTE($I364,"-","",1),$K365:$K1200,0)))))</f>
        <v/>
      </c>
      <c r="S364" s="37" t="str">
        <f t="shared" si="1"/>
        <v/>
      </c>
      <c r="T364" s="39" t="str">
        <f t="shared" si="2"/>
        <v/>
      </c>
      <c r="U364" s="40" t="str">
        <f t="shared" si="3"/>
        <v/>
      </c>
      <c r="V364" s="34" t="str">
        <f t="shared" si="4"/>
        <v/>
      </c>
      <c r="W364" s="41" t="str">
        <f>IFERROR(__xludf.DUMMYFUNCTION(" IF(Account!$F364&lt;&gt;"""", SPLIT(Account!$F364, "" ""), """")"),"")</f>
        <v/>
      </c>
      <c r="X364" s="42"/>
      <c r="Y364" s="42"/>
      <c r="Z364" s="42"/>
      <c r="AA364" s="42"/>
      <c r="AB364" s="42"/>
      <c r="AC364" s="42"/>
      <c r="AD364" s="42"/>
      <c r="AE364" s="42"/>
      <c r="AF364" s="42"/>
      <c r="AG364" s="42"/>
      <c r="AH364" s="42"/>
      <c r="AI364" s="42"/>
      <c r="AJ364" s="42"/>
      <c r="AK364" s="42"/>
    </row>
    <row r="365">
      <c r="A365" s="20"/>
      <c r="B365" s="20"/>
      <c r="C365" s="20"/>
      <c r="D365" s="20"/>
      <c r="E365" s="20"/>
      <c r="F365" s="21"/>
      <c r="G365" s="45"/>
      <c r="H365" s="20"/>
      <c r="I365" s="20"/>
      <c r="J365" s="20"/>
      <c r="K365" s="20"/>
      <c r="L365" s="21"/>
      <c r="M365" s="33" t="str">
        <f>IFERROR(__xludf.DUMMYFUNCTION("IFS(W365=""Achat"",IFERROR(VALUE(X365),VALUE(REGEXREPLACE(T(X365),""[^0-9]"",""""))),W365=""Vente"",-IFERROR(VALUE(X365),VALUE(REGEXREPLACE(T(X365),""[^0-9]"",""""))),Y365=""Change"",0,Y365&lt;&gt;""Change"","""")"),"")</f>
        <v/>
      </c>
      <c r="N365" s="34" t="str">
        <f>IFERROR(__xludf.DUMMYFUNCTION("IF(Account!$F365&lt;&gt;"""", VALUE(REGEXREPLACE($I365, ""\,"", ""."")), """")"),"")</f>
        <v/>
      </c>
      <c r="O365" s="35" t="str">
        <f>IF(Account!$F365&lt;&gt;"", DATEVALUE(MID($A365,4,3) &amp; LEFT($A365,3) &amp; RIGHT($A365,4)) + TIMEVALUE($B365), "")</f>
        <v/>
      </c>
      <c r="P365" s="36" t="str">
        <f>IF(Account!$F365&lt;&gt;"", DATEVALUE(MID($C365,4,3) &amp; LEFT($C365,3) &amp; RIGHT($C365,4)), "")</f>
        <v/>
      </c>
      <c r="Q365" s="37" t="str">
        <f t="array" ref="Q365">IF($R365&lt;&gt;"",IFERROR(INDEX(ISIN!$B:$B,MATCH($R365,ISIN!$C:$C,0))),)</f>
        <v/>
      </c>
      <c r="R365" s="38" t="str">
        <f t="array" ref="R365">IF($E365&lt;&gt;"",IFERROR(INDEX(ISIN!$C:$C,MATCH($E365,ISIN!$A:$A,0)),IFERROR(INDEX($R366:$R1200,MATCH($K365,$K366:$K1200,0)))),IF(AND($Y365="change",$H365="EUR"),IF($O365=$O366,$R366,IF($O365=$O364,$R364)),IFERROR(INDEX($R366:$R1200,MATCH(SUBSTITUTE($I365,"-","",1),$K366:$K1200,0)))))</f>
        <v/>
      </c>
      <c r="S365" s="37" t="str">
        <f t="shared" si="1"/>
        <v/>
      </c>
      <c r="T365" s="39" t="str">
        <f t="shared" si="2"/>
        <v/>
      </c>
      <c r="U365" s="40" t="str">
        <f t="shared" si="3"/>
        <v/>
      </c>
      <c r="V365" s="34" t="str">
        <f t="shared" si="4"/>
        <v/>
      </c>
      <c r="W365" s="41" t="str">
        <f>IFERROR(__xludf.DUMMYFUNCTION(" IF(Account!$F365&lt;&gt;"""", SPLIT(Account!$F365, "" ""), """")"),"")</f>
        <v/>
      </c>
      <c r="X365" s="42"/>
      <c r="Y365" s="42"/>
      <c r="Z365" s="42"/>
      <c r="AA365" s="42"/>
      <c r="AB365" s="42"/>
      <c r="AC365" s="42"/>
      <c r="AD365" s="42"/>
      <c r="AE365" s="42"/>
      <c r="AF365" s="42"/>
      <c r="AG365" s="42"/>
      <c r="AH365" s="42"/>
      <c r="AI365" s="42"/>
      <c r="AJ365" s="42"/>
      <c r="AK365" s="42"/>
    </row>
    <row r="366">
      <c r="A366" s="20"/>
      <c r="B366" s="20"/>
      <c r="C366" s="20"/>
      <c r="D366" s="20"/>
      <c r="E366" s="20"/>
      <c r="F366" s="21"/>
      <c r="G366" s="20"/>
      <c r="H366" s="20"/>
      <c r="I366" s="20"/>
      <c r="J366" s="20"/>
      <c r="K366" s="20"/>
      <c r="L366" s="21"/>
      <c r="M366" s="33" t="str">
        <f>IFERROR(__xludf.DUMMYFUNCTION("IFS(W366=""Achat"",IFERROR(VALUE(X366),VALUE(REGEXREPLACE(T(X366),""[^0-9]"",""""))),W366=""Vente"",-IFERROR(VALUE(X366),VALUE(REGEXREPLACE(T(X366),""[^0-9]"",""""))),Y366=""Change"",0,Y366&lt;&gt;""Change"","""")"),"")</f>
        <v/>
      </c>
      <c r="N366" s="34" t="str">
        <f>IFERROR(__xludf.DUMMYFUNCTION("IF(Account!$F366&lt;&gt;"""", VALUE(REGEXREPLACE($I366, ""\,"", ""."")), """")"),"")</f>
        <v/>
      </c>
      <c r="O366" s="35" t="str">
        <f>IF(Account!$F366&lt;&gt;"", DATEVALUE(MID($A366,4,3) &amp; LEFT($A366,3) &amp; RIGHT($A366,4)) + TIMEVALUE($B366), "")</f>
        <v/>
      </c>
      <c r="P366" s="36" t="str">
        <f>IF(Account!$F366&lt;&gt;"", DATEVALUE(MID($C366,4,3) &amp; LEFT($C366,3) &amp; RIGHT($C366,4)), "")</f>
        <v/>
      </c>
      <c r="Q366" s="37" t="str">
        <f t="array" ref="Q366">IF($R366&lt;&gt;"",IFERROR(INDEX(ISIN!$B:$B,MATCH($R366,ISIN!$C:$C,0))),)</f>
        <v/>
      </c>
      <c r="R366" s="38" t="str">
        <f t="array" ref="R366">IF($E366&lt;&gt;"",IFERROR(INDEX(ISIN!$C:$C,MATCH($E366,ISIN!$A:$A,0)),IFERROR(INDEX($R367:$R1200,MATCH($K366,$K367:$K1200,0)))),IF(AND($Y366="change",$H366="EUR"),IF($O366=$O367,$R367,IF($O366=$O365,$R365)),IFERROR(INDEX($R367:$R1200,MATCH(SUBSTITUTE($I366,"-","",1),$K367:$K1200,0)))))</f>
        <v/>
      </c>
      <c r="S366" s="37" t="str">
        <f t="shared" si="1"/>
        <v/>
      </c>
      <c r="T366" s="39" t="str">
        <f t="shared" si="2"/>
        <v/>
      </c>
      <c r="U366" s="40" t="str">
        <f t="shared" si="3"/>
        <v/>
      </c>
      <c r="V366" s="34" t="str">
        <f t="shared" si="4"/>
        <v/>
      </c>
      <c r="W366" s="41" t="str">
        <f>IFERROR(__xludf.DUMMYFUNCTION(" IF(Account!$F366&lt;&gt;"""", SPLIT(Account!$F366, "" ""), """")"),"")</f>
        <v/>
      </c>
      <c r="X366" s="42"/>
      <c r="Y366" s="42"/>
      <c r="Z366" s="42"/>
      <c r="AA366" s="42"/>
      <c r="AB366" s="42"/>
      <c r="AC366" s="42"/>
      <c r="AD366" s="42"/>
      <c r="AE366" s="42"/>
      <c r="AF366" s="42"/>
      <c r="AG366" s="42"/>
      <c r="AH366" s="42"/>
      <c r="AI366" s="42"/>
      <c r="AJ366" s="42"/>
      <c r="AK366" s="42"/>
    </row>
    <row r="367">
      <c r="A367" s="20"/>
      <c r="B367" s="20"/>
      <c r="C367" s="20"/>
      <c r="D367" s="20"/>
      <c r="E367" s="20"/>
      <c r="F367" s="21"/>
      <c r="G367" s="45"/>
      <c r="H367" s="20"/>
      <c r="I367" s="20"/>
      <c r="J367" s="20"/>
      <c r="K367" s="20"/>
      <c r="L367" s="21"/>
      <c r="M367" s="33" t="str">
        <f>IFERROR(__xludf.DUMMYFUNCTION("IFS(W367=""Achat"",IFERROR(VALUE(X367),VALUE(REGEXREPLACE(T(X367),""[^0-9]"",""""))),W367=""Vente"",-IFERROR(VALUE(X367),VALUE(REGEXREPLACE(T(X367),""[^0-9]"",""""))),Y367=""Change"",0,Y367&lt;&gt;""Change"","""")"),"")</f>
        <v/>
      </c>
      <c r="N367" s="34" t="str">
        <f>IFERROR(__xludf.DUMMYFUNCTION("IF(Account!$F367&lt;&gt;"""", VALUE(REGEXREPLACE($I367, ""\,"", ""."")), """")"),"")</f>
        <v/>
      </c>
      <c r="O367" s="35" t="str">
        <f>IF(Account!$F367&lt;&gt;"", DATEVALUE(MID($A367,4,3) &amp; LEFT($A367,3) &amp; RIGHT($A367,4)) + TIMEVALUE($B367), "")</f>
        <v/>
      </c>
      <c r="P367" s="36" t="str">
        <f>IF(Account!$F367&lt;&gt;"", DATEVALUE(MID($C367,4,3) &amp; LEFT($C367,3) &amp; RIGHT($C367,4)), "")</f>
        <v/>
      </c>
      <c r="Q367" s="37" t="str">
        <f t="array" ref="Q367">IF($R367&lt;&gt;"",IFERROR(INDEX(ISIN!$B:$B,MATCH($R367,ISIN!$C:$C,0))),)</f>
        <v/>
      </c>
      <c r="R367" s="38" t="str">
        <f t="array" ref="R367">IF($E367&lt;&gt;"",IFERROR(INDEX(ISIN!$C:$C,MATCH($E367,ISIN!$A:$A,0)),IFERROR(INDEX($R368:$R1200,MATCH($K367,$K368:$K1200,0)))),IF(AND($Y367="change",$H367="EUR"),IF($O367=$O368,$R368,IF($O367=$O366,$R366)),IFERROR(INDEX($R368:$R1200,MATCH(SUBSTITUTE($I367,"-","",1),$K368:$K1200,0)))))</f>
        <v/>
      </c>
      <c r="S367" s="37" t="str">
        <f t="shared" si="1"/>
        <v/>
      </c>
      <c r="T367" s="39" t="str">
        <f t="shared" si="2"/>
        <v/>
      </c>
      <c r="U367" s="40" t="str">
        <f t="shared" si="3"/>
        <v/>
      </c>
      <c r="V367" s="34" t="str">
        <f t="shared" si="4"/>
        <v/>
      </c>
      <c r="W367" s="41" t="str">
        <f>IFERROR(__xludf.DUMMYFUNCTION(" IF(Account!$F367&lt;&gt;"""", SPLIT(Account!$F367, "" ""), """")"),"")</f>
        <v/>
      </c>
      <c r="X367" s="42"/>
      <c r="Y367" s="42"/>
      <c r="Z367" s="42"/>
      <c r="AA367" s="42"/>
      <c r="AB367" s="42"/>
      <c r="AC367" s="42"/>
      <c r="AD367" s="42"/>
      <c r="AE367" s="42"/>
      <c r="AF367" s="42"/>
      <c r="AG367" s="42"/>
      <c r="AH367" s="42"/>
      <c r="AI367" s="42"/>
      <c r="AJ367" s="42"/>
      <c r="AK367" s="42"/>
    </row>
    <row r="368">
      <c r="A368" s="20"/>
      <c r="B368" s="20"/>
      <c r="C368" s="20"/>
      <c r="D368" s="20"/>
      <c r="E368" s="20"/>
      <c r="F368" s="21"/>
      <c r="G368" s="20"/>
      <c r="H368" s="20"/>
      <c r="I368" s="20"/>
      <c r="J368" s="20"/>
      <c r="K368" s="20"/>
      <c r="L368" s="21"/>
      <c r="M368" s="33" t="str">
        <f>IFERROR(__xludf.DUMMYFUNCTION("IFS(W368=""Achat"",IFERROR(VALUE(X368),VALUE(REGEXREPLACE(T(X368),""[^0-9]"",""""))),W368=""Vente"",-IFERROR(VALUE(X368),VALUE(REGEXREPLACE(T(X368),""[^0-9]"",""""))),Y368=""Change"",0,Y368&lt;&gt;""Change"","""")"),"")</f>
        <v/>
      </c>
      <c r="N368" s="34" t="str">
        <f>IFERROR(__xludf.DUMMYFUNCTION("IF(Account!$F368&lt;&gt;"""", VALUE(REGEXREPLACE($I368, ""\,"", ""."")), """")"),"")</f>
        <v/>
      </c>
      <c r="O368" s="35" t="str">
        <f>IF(Account!$F368&lt;&gt;"", DATEVALUE(MID($A368,4,3) &amp; LEFT($A368,3) &amp; RIGHT($A368,4)) + TIMEVALUE($B368), "")</f>
        <v/>
      </c>
      <c r="P368" s="36" t="str">
        <f>IF(Account!$F368&lt;&gt;"", DATEVALUE(MID($C368,4,3) &amp; LEFT($C368,3) &amp; RIGHT($C368,4)), "")</f>
        <v/>
      </c>
      <c r="Q368" s="37" t="str">
        <f t="array" ref="Q368">IF($R368&lt;&gt;"",IFERROR(INDEX(ISIN!$B:$B,MATCH($R368,ISIN!$C:$C,0))),)</f>
        <v/>
      </c>
      <c r="R368" s="38" t="str">
        <f t="array" ref="R368">IF($E368&lt;&gt;"",IFERROR(INDEX(ISIN!$C:$C,MATCH($E368,ISIN!$A:$A,0)),IFERROR(INDEX($R369:$R1200,MATCH($K368,$K369:$K1200,0)))),IF(AND($Y368="change",$H368="EUR"),IF($O368=$O369,$R369,IF($O368=$O367,$R367)),IFERROR(INDEX($R369:$R1200,MATCH(SUBSTITUTE($I368,"-","",1),$K369:$K1200,0)))))</f>
        <v/>
      </c>
      <c r="S368" s="37" t="str">
        <f t="shared" si="1"/>
        <v/>
      </c>
      <c r="T368" s="39" t="str">
        <f t="shared" si="2"/>
        <v/>
      </c>
      <c r="U368" s="40" t="str">
        <f t="shared" si="3"/>
        <v/>
      </c>
      <c r="V368" s="34" t="str">
        <f t="shared" si="4"/>
        <v/>
      </c>
      <c r="W368" s="41" t="str">
        <f>IFERROR(__xludf.DUMMYFUNCTION(" IF(Account!$F368&lt;&gt;"""", SPLIT(Account!$F368, "" ""), """")"),"")</f>
        <v/>
      </c>
      <c r="X368" s="42"/>
      <c r="Y368" s="42"/>
      <c r="Z368" s="42"/>
      <c r="AA368" s="42"/>
      <c r="AB368" s="42"/>
      <c r="AC368" s="42"/>
      <c r="AD368" s="42"/>
      <c r="AE368" s="42"/>
      <c r="AF368" s="42"/>
      <c r="AG368" s="42"/>
      <c r="AH368" s="42"/>
      <c r="AI368" s="42"/>
      <c r="AJ368" s="42"/>
      <c r="AK368" s="42"/>
    </row>
    <row r="369">
      <c r="A369" s="20"/>
      <c r="B369" s="20"/>
      <c r="C369" s="20"/>
      <c r="D369" s="20"/>
      <c r="E369" s="20"/>
      <c r="F369" s="21"/>
      <c r="G369" s="45"/>
      <c r="H369" s="20"/>
      <c r="I369" s="20"/>
      <c r="J369" s="20"/>
      <c r="K369" s="20"/>
      <c r="L369" s="21"/>
      <c r="M369" s="33" t="str">
        <f>IFERROR(__xludf.DUMMYFUNCTION("IFS(W369=""Achat"",IFERROR(VALUE(X369),VALUE(REGEXREPLACE(T(X369),""[^0-9]"",""""))),W369=""Vente"",-IFERROR(VALUE(X369),VALUE(REGEXREPLACE(T(X369),""[^0-9]"",""""))),Y369=""Change"",0,Y369&lt;&gt;""Change"","""")"),"")</f>
        <v/>
      </c>
      <c r="N369" s="34" t="str">
        <f>IFERROR(__xludf.DUMMYFUNCTION("IF(Account!$F369&lt;&gt;"""", VALUE(REGEXREPLACE($I369, ""\,"", ""."")), """")"),"")</f>
        <v/>
      </c>
      <c r="O369" s="35" t="str">
        <f>IF(Account!$F369&lt;&gt;"", DATEVALUE(MID($A369,4,3) &amp; LEFT($A369,3) &amp; RIGHT($A369,4)) + TIMEVALUE($B369), "")</f>
        <v/>
      </c>
      <c r="P369" s="36" t="str">
        <f>IF(Account!$F369&lt;&gt;"", DATEVALUE(MID($C369,4,3) &amp; LEFT($C369,3) &amp; RIGHT($C369,4)), "")</f>
        <v/>
      </c>
      <c r="Q369" s="37" t="str">
        <f t="array" ref="Q369">IF($R369&lt;&gt;"",IFERROR(INDEX(ISIN!$B:$B,MATCH($R369,ISIN!$C:$C,0))),)</f>
        <v/>
      </c>
      <c r="R369" s="38" t="str">
        <f t="array" ref="R369">IF($E369&lt;&gt;"",IFERROR(INDEX(ISIN!$C:$C,MATCH($E369,ISIN!$A:$A,0)),IFERROR(INDEX($R370:$R1200,MATCH($K369,$K370:$K1200,0)))),IF(AND($Y369="change",$H369="EUR"),IF($O369=$O370,$R370,IF($O369=$O368,$R368)),IFERROR(INDEX($R370:$R1200,MATCH(SUBSTITUTE($I369,"-","",1),$K370:$K1200,0)))))</f>
        <v/>
      </c>
      <c r="S369" s="37" t="str">
        <f t="shared" si="1"/>
        <v/>
      </c>
      <c r="T369" s="39" t="str">
        <f t="shared" si="2"/>
        <v/>
      </c>
      <c r="U369" s="40" t="str">
        <f t="shared" si="3"/>
        <v/>
      </c>
      <c r="V369" s="34" t="str">
        <f t="shared" si="4"/>
        <v/>
      </c>
      <c r="W369" s="41" t="str">
        <f>IFERROR(__xludf.DUMMYFUNCTION(" IF(Account!$F369&lt;&gt;"""", SPLIT(Account!$F369, "" ""), """")"),"")</f>
        <v/>
      </c>
      <c r="X369" s="42"/>
      <c r="Y369" s="42"/>
      <c r="Z369" s="42"/>
      <c r="AA369" s="42"/>
      <c r="AB369" s="42"/>
      <c r="AC369" s="42"/>
      <c r="AD369" s="42"/>
      <c r="AE369" s="42"/>
      <c r="AF369" s="42"/>
      <c r="AG369" s="42"/>
      <c r="AH369" s="42"/>
      <c r="AI369" s="42"/>
      <c r="AJ369" s="42"/>
      <c r="AK369" s="42"/>
    </row>
    <row r="370">
      <c r="A370" s="20"/>
      <c r="B370" s="20"/>
      <c r="C370" s="20"/>
      <c r="D370" s="20"/>
      <c r="E370" s="20"/>
      <c r="F370" s="21"/>
      <c r="G370" s="20"/>
      <c r="H370" s="20"/>
      <c r="I370" s="20"/>
      <c r="J370" s="20"/>
      <c r="K370" s="20"/>
      <c r="L370" s="21"/>
      <c r="M370" s="33" t="str">
        <f>IFERROR(__xludf.DUMMYFUNCTION("IFS(W370=""Achat"",IFERROR(VALUE(X370),VALUE(REGEXREPLACE(T(X370),""[^0-9]"",""""))),W370=""Vente"",-IFERROR(VALUE(X370),VALUE(REGEXREPLACE(T(X370),""[^0-9]"",""""))),Y370=""Change"",0,Y370&lt;&gt;""Change"","""")"),"")</f>
        <v/>
      </c>
      <c r="N370" s="34" t="str">
        <f>IFERROR(__xludf.DUMMYFUNCTION("IF(Account!$F370&lt;&gt;"""", VALUE(REGEXREPLACE($I370, ""\,"", ""."")), """")"),"")</f>
        <v/>
      </c>
      <c r="O370" s="35" t="str">
        <f>IF(Account!$F370&lt;&gt;"", DATEVALUE(MID($A370,4,3) &amp; LEFT($A370,3) &amp; RIGHT($A370,4)) + TIMEVALUE($B370), "")</f>
        <v/>
      </c>
      <c r="P370" s="36" t="str">
        <f>IF(Account!$F370&lt;&gt;"", DATEVALUE(MID($C370,4,3) &amp; LEFT($C370,3) &amp; RIGHT($C370,4)), "")</f>
        <v/>
      </c>
      <c r="Q370" s="37" t="str">
        <f t="array" ref="Q370">IF($R370&lt;&gt;"",IFERROR(INDEX(ISIN!$B:$B,MATCH($R370,ISIN!$C:$C,0))),)</f>
        <v/>
      </c>
      <c r="R370" s="38" t="str">
        <f t="array" ref="R370">IF($E370&lt;&gt;"",IFERROR(INDEX(ISIN!$C:$C,MATCH($E370,ISIN!$A:$A,0)),IFERROR(INDEX($R371:$R1200,MATCH($K370,$K371:$K1200,0)))),IF(AND($Y370="change",$H370="EUR"),IF($O370=$O371,$R371,IF($O370=$O369,$R369)),IFERROR(INDEX($R371:$R1200,MATCH(SUBSTITUTE($I370,"-","",1),$K371:$K1200,0)))))</f>
        <v/>
      </c>
      <c r="S370" s="37" t="str">
        <f t="shared" si="1"/>
        <v/>
      </c>
      <c r="T370" s="39" t="str">
        <f t="shared" si="2"/>
        <v/>
      </c>
      <c r="U370" s="40" t="str">
        <f t="shared" si="3"/>
        <v/>
      </c>
      <c r="V370" s="34" t="str">
        <f t="shared" si="4"/>
        <v/>
      </c>
      <c r="W370" s="41" t="str">
        <f>IFERROR(__xludf.DUMMYFUNCTION(" IF(Account!$F370&lt;&gt;"""", SPLIT(Account!$F370, "" ""), """")"),"")</f>
        <v/>
      </c>
      <c r="X370" s="42"/>
      <c r="Y370" s="42"/>
      <c r="Z370" s="42"/>
      <c r="AA370" s="42"/>
      <c r="AB370" s="42"/>
      <c r="AC370" s="42"/>
      <c r="AD370" s="42"/>
      <c r="AE370" s="42"/>
      <c r="AF370" s="42"/>
      <c r="AG370" s="42"/>
      <c r="AH370" s="42"/>
      <c r="AI370" s="42"/>
      <c r="AJ370" s="42"/>
      <c r="AK370" s="42"/>
    </row>
    <row r="371">
      <c r="A371" s="20"/>
      <c r="B371" s="20"/>
      <c r="C371" s="20"/>
      <c r="D371" s="20"/>
      <c r="E371" s="20"/>
      <c r="F371" s="21"/>
      <c r="G371" s="20"/>
      <c r="H371" s="20"/>
      <c r="I371" s="20"/>
      <c r="J371" s="20"/>
      <c r="K371" s="20"/>
      <c r="L371" s="21"/>
      <c r="M371" s="33" t="str">
        <f>IFERROR(__xludf.DUMMYFUNCTION("IFS(W371=""Achat"",IFERROR(VALUE(X371),VALUE(REGEXREPLACE(T(X371),""[^0-9]"",""""))),W371=""Vente"",-IFERROR(VALUE(X371),VALUE(REGEXREPLACE(T(X371),""[^0-9]"",""""))),Y371=""Change"",0,Y371&lt;&gt;""Change"","""")"),"")</f>
        <v/>
      </c>
      <c r="N371" s="34" t="str">
        <f>IFERROR(__xludf.DUMMYFUNCTION("IF(Account!$F371&lt;&gt;"""", VALUE(REGEXREPLACE($I371, ""\,"", ""."")), """")"),"")</f>
        <v/>
      </c>
      <c r="O371" s="35" t="str">
        <f>IF(Account!$F371&lt;&gt;"", DATEVALUE(MID($A371,4,3) &amp; LEFT($A371,3) &amp; RIGHT($A371,4)) + TIMEVALUE($B371), "")</f>
        <v/>
      </c>
      <c r="P371" s="36" t="str">
        <f>IF(Account!$F371&lt;&gt;"", DATEVALUE(MID($C371,4,3) &amp; LEFT($C371,3) &amp; RIGHT($C371,4)), "")</f>
        <v/>
      </c>
      <c r="Q371" s="37" t="str">
        <f t="array" ref="Q371">IF($R371&lt;&gt;"",IFERROR(INDEX(ISIN!$B:$B,MATCH($R371,ISIN!$C:$C,0))),)</f>
        <v/>
      </c>
      <c r="R371" s="38" t="str">
        <f t="array" ref="R371">IF($E371&lt;&gt;"",IFERROR(INDEX(ISIN!$C:$C,MATCH($E371,ISIN!$A:$A,0)),IFERROR(INDEX($R372:$R1200,MATCH($K371,$K372:$K1200,0)))),IF(AND($Y371="change",$H371="EUR"),IF($O371=$O372,$R372,IF($O371=$O370,$R370)),IFERROR(INDEX($R372:$R1200,MATCH(SUBSTITUTE($I371,"-","",1),$K372:$K1200,0)))))</f>
        <v/>
      </c>
      <c r="S371" s="37" t="str">
        <f t="shared" si="1"/>
        <v/>
      </c>
      <c r="T371" s="39" t="str">
        <f t="shared" si="2"/>
        <v/>
      </c>
      <c r="U371" s="40" t="str">
        <f t="shared" si="3"/>
        <v/>
      </c>
      <c r="V371" s="34" t="str">
        <f t="shared" si="4"/>
        <v/>
      </c>
      <c r="W371" s="41" t="str">
        <f>IFERROR(__xludf.DUMMYFUNCTION(" IF(Account!$F371&lt;&gt;"""", SPLIT(Account!$F371, "" ""), """")"),"")</f>
        <v/>
      </c>
      <c r="X371" s="42"/>
      <c r="Y371" s="42"/>
      <c r="Z371" s="42"/>
      <c r="AA371" s="42"/>
      <c r="AB371" s="42"/>
      <c r="AC371" s="42"/>
      <c r="AD371" s="42"/>
      <c r="AE371" s="42"/>
      <c r="AF371" s="42"/>
      <c r="AG371" s="42"/>
      <c r="AH371" s="42"/>
      <c r="AI371" s="42"/>
      <c r="AJ371" s="42"/>
      <c r="AK371" s="42"/>
    </row>
    <row r="372">
      <c r="A372" s="20"/>
      <c r="B372" s="20"/>
      <c r="C372" s="20"/>
      <c r="D372" s="20"/>
      <c r="E372" s="20"/>
      <c r="F372" s="21"/>
      <c r="G372" s="20"/>
      <c r="H372" s="20"/>
      <c r="I372" s="20"/>
      <c r="J372" s="20"/>
      <c r="K372" s="20"/>
      <c r="L372" s="21"/>
      <c r="M372" s="33" t="str">
        <f>IFERROR(__xludf.DUMMYFUNCTION("IFS(W372=""Achat"",IFERROR(VALUE(X372),VALUE(REGEXREPLACE(T(X372),""[^0-9]"",""""))),W372=""Vente"",-IFERROR(VALUE(X372),VALUE(REGEXREPLACE(T(X372),""[^0-9]"",""""))),Y372=""Change"",0,Y372&lt;&gt;""Change"","""")"),"")</f>
        <v/>
      </c>
      <c r="N372" s="34" t="str">
        <f>IFERROR(__xludf.DUMMYFUNCTION("IF(Account!$F372&lt;&gt;"""", VALUE(REGEXREPLACE($I372, ""\,"", ""."")), """")"),"")</f>
        <v/>
      </c>
      <c r="O372" s="35" t="str">
        <f>IF(Account!$F372&lt;&gt;"", DATEVALUE(MID($A372,4,3) &amp; LEFT($A372,3) &amp; RIGHT($A372,4)) + TIMEVALUE($B372), "")</f>
        <v/>
      </c>
      <c r="P372" s="36" t="str">
        <f>IF(Account!$F372&lt;&gt;"", DATEVALUE(MID($C372,4,3) &amp; LEFT($C372,3) &amp; RIGHT($C372,4)), "")</f>
        <v/>
      </c>
      <c r="Q372" s="37" t="str">
        <f t="array" ref="Q372">IF($R372&lt;&gt;"",IFERROR(INDEX(ISIN!$B:$B,MATCH($R372,ISIN!$C:$C,0))),)</f>
        <v/>
      </c>
      <c r="R372" s="38" t="str">
        <f t="array" ref="R372">IF($E372&lt;&gt;"",IFERROR(INDEX(ISIN!$C:$C,MATCH($E372,ISIN!$A:$A,0)),IFERROR(INDEX($R373:$R1200,MATCH($K372,$K373:$K1200,0)))),IF(AND($Y372="change",$H372="EUR"),IF($O372=$O373,$R373,IF($O372=$O371,$R371)),IFERROR(INDEX($R373:$R1200,MATCH(SUBSTITUTE($I372,"-","",1),$K373:$K1200,0)))))</f>
        <v/>
      </c>
      <c r="S372" s="37" t="str">
        <f t="shared" si="1"/>
        <v/>
      </c>
      <c r="T372" s="39" t="str">
        <f t="shared" si="2"/>
        <v/>
      </c>
      <c r="U372" s="40" t="str">
        <f t="shared" si="3"/>
        <v/>
      </c>
      <c r="V372" s="34" t="str">
        <f t="shared" si="4"/>
        <v/>
      </c>
      <c r="W372" s="41" t="str">
        <f>IFERROR(__xludf.DUMMYFUNCTION(" IF(Account!$F372&lt;&gt;"""", SPLIT(Account!$F372, "" ""), """")"),"")</f>
        <v/>
      </c>
      <c r="X372" s="42"/>
      <c r="Y372" s="42"/>
      <c r="Z372" s="42"/>
      <c r="AA372" s="42"/>
      <c r="AB372" s="42"/>
      <c r="AC372" s="42"/>
      <c r="AD372" s="42"/>
      <c r="AE372" s="42"/>
      <c r="AF372" s="42"/>
      <c r="AG372" s="42"/>
      <c r="AH372" s="42"/>
      <c r="AI372" s="42"/>
      <c r="AJ372" s="42"/>
      <c r="AK372" s="42"/>
    </row>
    <row r="373">
      <c r="A373" s="20"/>
      <c r="B373" s="20"/>
      <c r="C373" s="20"/>
      <c r="D373" s="20"/>
      <c r="E373" s="20"/>
      <c r="F373" s="21"/>
      <c r="G373" s="45"/>
      <c r="H373" s="20"/>
      <c r="I373" s="20"/>
      <c r="J373" s="20"/>
      <c r="K373" s="20"/>
      <c r="L373" s="21"/>
      <c r="M373" s="33" t="str">
        <f>IFERROR(__xludf.DUMMYFUNCTION("IFS(W373=""Achat"",IFERROR(VALUE(X373),VALUE(REGEXREPLACE(T(X373),""[^0-9]"",""""))),W373=""Vente"",-IFERROR(VALUE(X373),VALUE(REGEXREPLACE(T(X373),""[^0-9]"",""""))),Y373=""Change"",0,Y373&lt;&gt;""Change"","""")"),"")</f>
        <v/>
      </c>
      <c r="N373" s="34" t="str">
        <f>IFERROR(__xludf.DUMMYFUNCTION("IF(Account!$F373&lt;&gt;"""", VALUE(REGEXREPLACE($I373, ""\,"", ""."")), """")"),"")</f>
        <v/>
      </c>
      <c r="O373" s="35" t="str">
        <f>IF(Account!$F373&lt;&gt;"", DATEVALUE(MID($A373,4,3) &amp; LEFT($A373,3) &amp; RIGHT($A373,4)) + TIMEVALUE($B373), "")</f>
        <v/>
      </c>
      <c r="P373" s="36" t="str">
        <f>IF(Account!$F373&lt;&gt;"", DATEVALUE(MID($C373,4,3) &amp; LEFT($C373,3) &amp; RIGHT($C373,4)), "")</f>
        <v/>
      </c>
      <c r="Q373" s="37" t="str">
        <f t="array" ref="Q373">IF($R373&lt;&gt;"",IFERROR(INDEX(ISIN!$B:$B,MATCH($R373,ISIN!$C:$C,0))),)</f>
        <v/>
      </c>
      <c r="R373" s="38" t="str">
        <f t="array" ref="R373">IF($E373&lt;&gt;"",IFERROR(INDEX(ISIN!$C:$C,MATCH($E373,ISIN!$A:$A,0)),IFERROR(INDEX($R374:$R1200,MATCH($K373,$K374:$K1200,0)))),IF(AND($Y373="change",$H373="EUR"),IF($O373=$O374,$R374,IF($O373=$O372,$R372)),IFERROR(INDEX($R374:$R1200,MATCH(SUBSTITUTE($I373,"-","",1),$K374:$K1200,0)))))</f>
        <v/>
      </c>
      <c r="S373" s="37" t="str">
        <f t="shared" si="1"/>
        <v/>
      </c>
      <c r="T373" s="39" t="str">
        <f t="shared" si="2"/>
        <v/>
      </c>
      <c r="U373" s="40" t="str">
        <f t="shared" si="3"/>
        <v/>
      </c>
      <c r="V373" s="34" t="str">
        <f t="shared" si="4"/>
        <v/>
      </c>
      <c r="W373" s="41" t="str">
        <f>IFERROR(__xludf.DUMMYFUNCTION(" IF(Account!$F373&lt;&gt;"""", SPLIT(Account!$F373, "" ""), """")"),"")</f>
        <v/>
      </c>
      <c r="X373" s="42"/>
      <c r="Y373" s="42"/>
      <c r="Z373" s="42"/>
      <c r="AA373" s="42"/>
      <c r="AB373" s="42"/>
      <c r="AC373" s="42"/>
      <c r="AD373" s="42"/>
      <c r="AE373" s="42"/>
      <c r="AF373" s="42"/>
      <c r="AG373" s="42"/>
      <c r="AH373" s="42"/>
      <c r="AI373" s="42"/>
      <c r="AJ373" s="42"/>
      <c r="AK373" s="42"/>
    </row>
    <row r="374">
      <c r="A374" s="20"/>
      <c r="B374" s="20"/>
      <c r="C374" s="20"/>
      <c r="D374" s="20"/>
      <c r="E374" s="20"/>
      <c r="F374" s="21"/>
      <c r="G374" s="20"/>
      <c r="H374" s="20"/>
      <c r="I374" s="20"/>
      <c r="J374" s="20"/>
      <c r="K374" s="20"/>
      <c r="L374" s="21"/>
      <c r="M374" s="33" t="str">
        <f>IFERROR(__xludf.DUMMYFUNCTION("IFS(W374=""Achat"",IFERROR(VALUE(X374),VALUE(REGEXREPLACE(T(X374),""[^0-9]"",""""))),W374=""Vente"",-IFERROR(VALUE(X374),VALUE(REGEXREPLACE(T(X374),""[^0-9]"",""""))),Y374=""Change"",0,Y374&lt;&gt;""Change"","""")"),"")</f>
        <v/>
      </c>
      <c r="N374" s="34" t="str">
        <f>IFERROR(__xludf.DUMMYFUNCTION("IF(Account!$F374&lt;&gt;"""", VALUE(REGEXREPLACE($I374, ""\,"", ""."")), """")"),"")</f>
        <v/>
      </c>
      <c r="O374" s="35" t="str">
        <f>IF(Account!$F374&lt;&gt;"", DATEVALUE(MID($A374,4,3) &amp; LEFT($A374,3) &amp; RIGHT($A374,4)) + TIMEVALUE($B374), "")</f>
        <v/>
      </c>
      <c r="P374" s="36" t="str">
        <f>IF(Account!$F374&lt;&gt;"", DATEVALUE(MID($C374,4,3) &amp; LEFT($C374,3) &amp; RIGHT($C374,4)), "")</f>
        <v/>
      </c>
      <c r="Q374" s="37" t="str">
        <f t="array" ref="Q374">IF($R374&lt;&gt;"",IFERROR(INDEX(ISIN!$B:$B,MATCH($R374,ISIN!$C:$C,0))),)</f>
        <v/>
      </c>
      <c r="R374" s="38" t="str">
        <f t="array" ref="R374">IF($E374&lt;&gt;"",IFERROR(INDEX(ISIN!$C:$C,MATCH($E374,ISIN!$A:$A,0)),IFERROR(INDEX($R375:$R1200,MATCH($K374,$K375:$K1200,0)))),IF(AND($Y374="change",$H374="EUR"),IF($O374=$O375,$R375,IF($O374=$O373,$R373)),IFERROR(INDEX($R375:$R1200,MATCH(SUBSTITUTE($I374,"-","",1),$K375:$K1200,0)))))</f>
        <v/>
      </c>
      <c r="S374" s="37" t="str">
        <f t="shared" si="1"/>
        <v/>
      </c>
      <c r="T374" s="39" t="str">
        <f t="shared" si="2"/>
        <v/>
      </c>
      <c r="U374" s="40" t="str">
        <f t="shared" si="3"/>
        <v/>
      </c>
      <c r="V374" s="34" t="str">
        <f t="shared" si="4"/>
        <v/>
      </c>
      <c r="W374" s="41" t="str">
        <f>IFERROR(__xludf.DUMMYFUNCTION(" IF(Account!$F374&lt;&gt;"""", SPLIT(Account!$F374, "" ""), """")"),"")</f>
        <v/>
      </c>
      <c r="X374" s="42"/>
      <c r="Y374" s="42"/>
      <c r="Z374" s="42"/>
      <c r="AA374" s="42"/>
      <c r="AB374" s="42"/>
      <c r="AC374" s="42"/>
      <c r="AD374" s="42"/>
      <c r="AE374" s="42"/>
      <c r="AF374" s="42"/>
      <c r="AG374" s="42"/>
      <c r="AH374" s="42"/>
      <c r="AI374" s="42"/>
      <c r="AJ374" s="42"/>
      <c r="AK374" s="42"/>
    </row>
    <row r="375">
      <c r="A375" s="20"/>
      <c r="B375" s="20"/>
      <c r="C375" s="20"/>
      <c r="D375" s="20"/>
      <c r="E375" s="20"/>
      <c r="F375" s="21"/>
      <c r="G375" s="45"/>
      <c r="H375" s="20"/>
      <c r="I375" s="20"/>
      <c r="J375" s="20"/>
      <c r="K375" s="20"/>
      <c r="L375" s="21"/>
      <c r="M375" s="33" t="str">
        <f>IFERROR(__xludf.DUMMYFUNCTION("IFS(W375=""Achat"",IFERROR(VALUE(X375),VALUE(REGEXREPLACE(T(X375),""[^0-9]"",""""))),W375=""Vente"",-IFERROR(VALUE(X375),VALUE(REGEXREPLACE(T(X375),""[^0-9]"",""""))),Y375=""Change"",0,Y375&lt;&gt;""Change"","""")"),"")</f>
        <v/>
      </c>
      <c r="N375" s="34" t="str">
        <f>IFERROR(__xludf.DUMMYFUNCTION("IF(Account!$F375&lt;&gt;"""", VALUE(REGEXREPLACE($I375, ""\,"", ""."")), """")"),"")</f>
        <v/>
      </c>
      <c r="O375" s="35" t="str">
        <f>IF(Account!$F375&lt;&gt;"", DATEVALUE(MID($A375,4,3) &amp; LEFT($A375,3) &amp; RIGHT($A375,4)) + TIMEVALUE($B375), "")</f>
        <v/>
      </c>
      <c r="P375" s="36" t="str">
        <f>IF(Account!$F375&lt;&gt;"", DATEVALUE(MID($C375,4,3) &amp; LEFT($C375,3) &amp; RIGHT($C375,4)), "")</f>
        <v/>
      </c>
      <c r="Q375" s="37" t="str">
        <f t="array" ref="Q375">IF($R375&lt;&gt;"",IFERROR(INDEX(ISIN!$B:$B,MATCH($R375,ISIN!$C:$C,0))),)</f>
        <v/>
      </c>
      <c r="R375" s="38" t="str">
        <f t="array" ref="R375">IF($E375&lt;&gt;"",IFERROR(INDEX(ISIN!$C:$C,MATCH($E375,ISIN!$A:$A,0)),IFERROR(INDEX($R376:$R1200,MATCH($K375,$K376:$K1200,0)))),IF(AND($Y375="change",$H375="EUR"),IF($O375=$O376,$R376,IF($O375=$O374,$R374)),IFERROR(INDEX($R376:$R1200,MATCH(SUBSTITUTE($I375,"-","",1),$K376:$K1200,0)))))</f>
        <v/>
      </c>
      <c r="S375" s="37" t="str">
        <f t="shared" si="1"/>
        <v/>
      </c>
      <c r="T375" s="39" t="str">
        <f t="shared" si="2"/>
        <v/>
      </c>
      <c r="U375" s="40" t="str">
        <f t="shared" si="3"/>
        <v/>
      </c>
      <c r="V375" s="34" t="str">
        <f t="shared" si="4"/>
        <v/>
      </c>
      <c r="W375" s="41" t="str">
        <f>IFERROR(__xludf.DUMMYFUNCTION(" IF(Account!$F375&lt;&gt;"""", SPLIT(Account!$F375, "" ""), """")"),"")</f>
        <v/>
      </c>
      <c r="X375" s="42"/>
      <c r="Y375" s="42"/>
      <c r="Z375" s="42"/>
      <c r="AA375" s="42"/>
      <c r="AB375" s="42"/>
      <c r="AC375" s="42"/>
      <c r="AD375" s="42"/>
      <c r="AE375" s="42"/>
      <c r="AF375" s="42"/>
      <c r="AG375" s="42"/>
      <c r="AH375" s="42"/>
      <c r="AI375" s="42"/>
      <c r="AJ375" s="42"/>
      <c r="AK375" s="42"/>
    </row>
    <row r="376">
      <c r="A376" s="20"/>
      <c r="B376" s="20"/>
      <c r="C376" s="20"/>
      <c r="D376" s="20"/>
      <c r="E376" s="20"/>
      <c r="F376" s="21"/>
      <c r="G376" s="20"/>
      <c r="H376" s="20"/>
      <c r="I376" s="20"/>
      <c r="J376" s="20"/>
      <c r="K376" s="20"/>
      <c r="L376" s="21"/>
      <c r="M376" s="33" t="str">
        <f>IFERROR(__xludf.DUMMYFUNCTION("IFS(W376=""Achat"",IFERROR(VALUE(X376),VALUE(REGEXREPLACE(T(X376),""[^0-9]"",""""))),W376=""Vente"",-IFERROR(VALUE(X376),VALUE(REGEXREPLACE(T(X376),""[^0-9]"",""""))),Y376=""Change"",0,Y376&lt;&gt;""Change"","""")"),"")</f>
        <v/>
      </c>
      <c r="N376" s="34" t="str">
        <f>IFERROR(__xludf.DUMMYFUNCTION("IF(Account!$F376&lt;&gt;"""", VALUE(REGEXREPLACE($I376, ""\,"", ""."")), """")"),"")</f>
        <v/>
      </c>
      <c r="O376" s="35" t="str">
        <f>IF(Account!$F376&lt;&gt;"", DATEVALUE(MID($A376,4,3) &amp; LEFT($A376,3) &amp; RIGHT($A376,4)) + TIMEVALUE($B376), "")</f>
        <v/>
      </c>
      <c r="P376" s="36" t="str">
        <f>IF(Account!$F376&lt;&gt;"", DATEVALUE(MID($C376,4,3) &amp; LEFT($C376,3) &amp; RIGHT($C376,4)), "")</f>
        <v/>
      </c>
      <c r="Q376" s="37" t="str">
        <f t="array" ref="Q376">IF($R376&lt;&gt;"",IFERROR(INDEX(ISIN!$B:$B,MATCH($R376,ISIN!$C:$C,0))),)</f>
        <v/>
      </c>
      <c r="R376" s="38" t="str">
        <f t="array" ref="R376">IF($E376&lt;&gt;"",IFERROR(INDEX(ISIN!$C:$C,MATCH($E376,ISIN!$A:$A,0)),IFERROR(INDEX($R377:$R1200,MATCH($K376,$K377:$K1200,0)))),IF(AND($Y376="change",$H376="EUR"),IF($O376=$O377,$R377,IF($O376=$O375,$R375)),IFERROR(INDEX($R377:$R1200,MATCH(SUBSTITUTE($I376,"-","",1),$K377:$K1200,0)))))</f>
        <v/>
      </c>
      <c r="S376" s="37" t="str">
        <f t="shared" si="1"/>
        <v/>
      </c>
      <c r="T376" s="39" t="str">
        <f t="shared" si="2"/>
        <v/>
      </c>
      <c r="U376" s="40" t="str">
        <f t="shared" si="3"/>
        <v/>
      </c>
      <c r="V376" s="34" t="str">
        <f t="shared" si="4"/>
        <v/>
      </c>
      <c r="W376" s="41" t="str">
        <f>IFERROR(__xludf.DUMMYFUNCTION(" IF(Account!$F376&lt;&gt;"""", SPLIT(Account!$F376, "" ""), """")"),"")</f>
        <v/>
      </c>
      <c r="X376" s="42"/>
      <c r="Y376" s="42"/>
      <c r="Z376" s="42"/>
      <c r="AA376" s="42"/>
      <c r="AB376" s="42"/>
      <c r="AC376" s="42"/>
      <c r="AD376" s="42"/>
      <c r="AE376" s="42"/>
      <c r="AF376" s="42"/>
      <c r="AG376" s="42"/>
      <c r="AH376" s="42"/>
      <c r="AI376" s="42"/>
      <c r="AJ376" s="42"/>
      <c r="AK376" s="42"/>
    </row>
    <row r="377">
      <c r="A377" s="20"/>
      <c r="B377" s="20"/>
      <c r="C377" s="20"/>
      <c r="D377" s="20"/>
      <c r="E377" s="20"/>
      <c r="F377" s="21"/>
      <c r="G377" s="45"/>
      <c r="H377" s="20"/>
      <c r="I377" s="20"/>
      <c r="J377" s="20"/>
      <c r="K377" s="20"/>
      <c r="L377" s="21"/>
      <c r="M377" s="33" t="str">
        <f>IFERROR(__xludf.DUMMYFUNCTION("IFS(W377=""Achat"",IFERROR(VALUE(X377),VALUE(REGEXREPLACE(T(X377),""[^0-9]"",""""))),W377=""Vente"",-IFERROR(VALUE(X377),VALUE(REGEXREPLACE(T(X377),""[^0-9]"",""""))),Y377=""Change"",0,Y377&lt;&gt;""Change"","""")"),"")</f>
        <v/>
      </c>
      <c r="N377" s="34" t="str">
        <f>IFERROR(__xludf.DUMMYFUNCTION("IF(Account!$F377&lt;&gt;"""", VALUE(REGEXREPLACE($I377, ""\,"", ""."")), """")"),"")</f>
        <v/>
      </c>
      <c r="O377" s="35" t="str">
        <f>IF(Account!$F377&lt;&gt;"", DATEVALUE(MID($A377,4,3) &amp; LEFT($A377,3) &amp; RIGHT($A377,4)) + TIMEVALUE($B377), "")</f>
        <v/>
      </c>
      <c r="P377" s="36" t="str">
        <f>IF(Account!$F377&lt;&gt;"", DATEVALUE(MID($C377,4,3) &amp; LEFT($C377,3) &amp; RIGHT($C377,4)), "")</f>
        <v/>
      </c>
      <c r="Q377" s="37" t="str">
        <f t="array" ref="Q377">IF($R377&lt;&gt;"",IFERROR(INDEX(ISIN!$B:$B,MATCH($R377,ISIN!$C:$C,0))),)</f>
        <v/>
      </c>
      <c r="R377" s="38" t="str">
        <f t="array" ref="R377">IF($E377&lt;&gt;"",IFERROR(INDEX(ISIN!$C:$C,MATCH($E377,ISIN!$A:$A,0)),IFERROR(INDEX($R378:$R1200,MATCH($K377,$K378:$K1200,0)))),IF(AND($Y377="change",$H377="EUR"),IF($O377=$O378,$R378,IF($O377=$O376,$R376)),IFERROR(INDEX($R378:$R1200,MATCH(SUBSTITUTE($I377,"-","",1),$K378:$K1200,0)))))</f>
        <v/>
      </c>
      <c r="S377" s="37" t="str">
        <f t="shared" si="1"/>
        <v/>
      </c>
      <c r="T377" s="39" t="str">
        <f t="shared" si="2"/>
        <v/>
      </c>
      <c r="U377" s="40" t="str">
        <f t="shared" si="3"/>
        <v/>
      </c>
      <c r="V377" s="34" t="str">
        <f t="shared" si="4"/>
        <v/>
      </c>
      <c r="W377" s="41" t="str">
        <f>IFERROR(__xludf.DUMMYFUNCTION(" IF(Account!$F377&lt;&gt;"""", SPLIT(Account!$F377, "" ""), """")"),"")</f>
        <v/>
      </c>
      <c r="X377" s="42"/>
      <c r="Y377" s="42"/>
      <c r="Z377" s="42"/>
      <c r="AA377" s="42"/>
      <c r="AB377" s="42"/>
      <c r="AC377" s="42"/>
      <c r="AD377" s="42"/>
      <c r="AE377" s="42"/>
      <c r="AF377" s="42"/>
      <c r="AG377" s="42"/>
      <c r="AH377" s="42"/>
      <c r="AI377" s="42"/>
      <c r="AJ377" s="42"/>
      <c r="AK377" s="42"/>
    </row>
    <row r="378">
      <c r="A378" s="20"/>
      <c r="B378" s="20"/>
      <c r="C378" s="20"/>
      <c r="D378" s="20"/>
      <c r="E378" s="20"/>
      <c r="F378" s="21"/>
      <c r="G378" s="20"/>
      <c r="H378" s="20"/>
      <c r="I378" s="20"/>
      <c r="J378" s="20"/>
      <c r="K378" s="20"/>
      <c r="L378" s="21"/>
      <c r="M378" s="33" t="str">
        <f>IFERROR(__xludf.DUMMYFUNCTION("IFS(W378=""Achat"",IFERROR(VALUE(X378),VALUE(REGEXREPLACE(T(X378),""[^0-9]"",""""))),W378=""Vente"",-IFERROR(VALUE(X378),VALUE(REGEXREPLACE(T(X378),""[^0-9]"",""""))),Y378=""Change"",0,Y378&lt;&gt;""Change"","""")"),"")</f>
        <v/>
      </c>
      <c r="N378" s="34" t="str">
        <f>IFERROR(__xludf.DUMMYFUNCTION("IF(Account!$F378&lt;&gt;"""", VALUE(REGEXREPLACE($I378, ""\,"", ""."")), """")"),"")</f>
        <v/>
      </c>
      <c r="O378" s="35" t="str">
        <f>IF(Account!$F378&lt;&gt;"", DATEVALUE(MID($A378,4,3) &amp; LEFT($A378,3) &amp; RIGHT($A378,4)) + TIMEVALUE($B378), "")</f>
        <v/>
      </c>
      <c r="P378" s="36" t="str">
        <f>IF(Account!$F378&lt;&gt;"", DATEVALUE(MID($C378,4,3) &amp; LEFT($C378,3) &amp; RIGHT($C378,4)), "")</f>
        <v/>
      </c>
      <c r="Q378" s="37" t="str">
        <f t="array" ref="Q378">IF($R378&lt;&gt;"",IFERROR(INDEX(ISIN!$B:$B,MATCH($R378,ISIN!$C:$C,0))),)</f>
        <v/>
      </c>
      <c r="R378" s="38" t="str">
        <f t="array" ref="R378">IF($E378&lt;&gt;"",IFERROR(INDEX(ISIN!$C:$C,MATCH($E378,ISIN!$A:$A,0)),IFERROR(INDEX($R379:$R1200,MATCH($K378,$K379:$K1200,0)))),IF(AND($Y378="change",$H378="EUR"),IF($O378=$O379,$R379,IF($O378=$O377,$R377)),IFERROR(INDEX($R379:$R1200,MATCH(SUBSTITUTE($I378,"-","",1),$K379:$K1200,0)))))</f>
        <v/>
      </c>
      <c r="S378" s="37" t="str">
        <f t="shared" si="1"/>
        <v/>
      </c>
      <c r="T378" s="39" t="str">
        <f t="shared" si="2"/>
        <v/>
      </c>
      <c r="U378" s="40" t="str">
        <f t="shared" si="3"/>
        <v/>
      </c>
      <c r="V378" s="34" t="str">
        <f t="shared" si="4"/>
        <v/>
      </c>
      <c r="W378" s="41" t="str">
        <f>IFERROR(__xludf.DUMMYFUNCTION(" IF(Account!$F378&lt;&gt;"""", SPLIT(Account!$F378, "" ""), """")"),"")</f>
        <v/>
      </c>
      <c r="X378" s="42"/>
      <c r="Y378" s="42"/>
      <c r="Z378" s="42"/>
      <c r="AA378" s="42"/>
      <c r="AB378" s="42"/>
      <c r="AC378" s="42"/>
      <c r="AD378" s="42"/>
      <c r="AE378" s="42"/>
      <c r="AF378" s="42"/>
      <c r="AG378" s="42"/>
      <c r="AH378" s="42"/>
      <c r="AI378" s="42"/>
      <c r="AJ378" s="42"/>
      <c r="AK378" s="42"/>
    </row>
    <row r="379">
      <c r="A379" s="20"/>
      <c r="B379" s="20"/>
      <c r="C379" s="20"/>
      <c r="D379" s="20"/>
      <c r="E379" s="20"/>
      <c r="F379" s="21"/>
      <c r="G379" s="45"/>
      <c r="H379" s="20"/>
      <c r="I379" s="20"/>
      <c r="J379" s="20"/>
      <c r="K379" s="20"/>
      <c r="L379" s="21"/>
      <c r="M379" s="33" t="str">
        <f>IFERROR(__xludf.DUMMYFUNCTION("IFS(W379=""Achat"",IFERROR(VALUE(X379),VALUE(REGEXREPLACE(T(X379),""[^0-9]"",""""))),W379=""Vente"",-IFERROR(VALUE(X379),VALUE(REGEXREPLACE(T(X379),""[^0-9]"",""""))),Y379=""Change"",0,Y379&lt;&gt;""Change"","""")"),"")</f>
        <v/>
      </c>
      <c r="N379" s="34" t="str">
        <f>IFERROR(__xludf.DUMMYFUNCTION("IF(Account!$F379&lt;&gt;"""", VALUE(REGEXREPLACE($I379, ""\,"", ""."")), """")"),"")</f>
        <v/>
      </c>
      <c r="O379" s="35" t="str">
        <f>IF(Account!$F379&lt;&gt;"", DATEVALUE(MID($A379,4,3) &amp; LEFT($A379,3) &amp; RIGHT($A379,4)) + TIMEVALUE($B379), "")</f>
        <v/>
      </c>
      <c r="P379" s="36" t="str">
        <f>IF(Account!$F379&lt;&gt;"", DATEVALUE(MID($C379,4,3) &amp; LEFT($C379,3) &amp; RIGHT($C379,4)), "")</f>
        <v/>
      </c>
      <c r="Q379" s="37" t="str">
        <f t="array" ref="Q379">IF($R379&lt;&gt;"",IFERROR(INDEX(ISIN!$B:$B,MATCH($R379,ISIN!$C:$C,0))),)</f>
        <v/>
      </c>
      <c r="R379" s="38" t="str">
        <f t="array" ref="R379">IF($E379&lt;&gt;"",IFERROR(INDEX(ISIN!$C:$C,MATCH($E379,ISIN!$A:$A,0)),IFERROR(INDEX($R380:$R1200,MATCH($K379,$K380:$K1200,0)))),IF(AND($Y379="change",$H379="EUR"),IF($O379=$O380,$R380,IF($O379=$O378,$R378)),IFERROR(INDEX($R380:$R1200,MATCH(SUBSTITUTE($I379,"-","",1),$K380:$K1200,0)))))</f>
        <v/>
      </c>
      <c r="S379" s="37" t="str">
        <f t="shared" si="1"/>
        <v/>
      </c>
      <c r="T379" s="39" t="str">
        <f t="shared" si="2"/>
        <v/>
      </c>
      <c r="U379" s="40" t="str">
        <f t="shared" si="3"/>
        <v/>
      </c>
      <c r="V379" s="34" t="str">
        <f t="shared" si="4"/>
        <v/>
      </c>
      <c r="W379" s="41" t="str">
        <f>IFERROR(__xludf.DUMMYFUNCTION(" IF(Account!$F379&lt;&gt;"""", SPLIT(Account!$F379, "" ""), """")"),"")</f>
        <v/>
      </c>
      <c r="X379" s="42"/>
      <c r="Y379" s="42"/>
      <c r="Z379" s="42"/>
      <c r="AA379" s="42"/>
      <c r="AB379" s="42"/>
      <c r="AC379" s="42"/>
      <c r="AD379" s="42"/>
      <c r="AE379" s="42"/>
      <c r="AF379" s="42"/>
      <c r="AG379" s="42"/>
      <c r="AH379" s="42"/>
      <c r="AI379" s="42"/>
      <c r="AJ379" s="42"/>
      <c r="AK379" s="42"/>
    </row>
    <row r="380">
      <c r="A380" s="20"/>
      <c r="B380" s="20"/>
      <c r="C380" s="20"/>
      <c r="D380" s="20"/>
      <c r="E380" s="20"/>
      <c r="F380" s="21"/>
      <c r="G380" s="20"/>
      <c r="H380" s="20"/>
      <c r="I380" s="20"/>
      <c r="J380" s="20"/>
      <c r="K380" s="20"/>
      <c r="L380" s="21"/>
      <c r="M380" s="33" t="str">
        <f>IFERROR(__xludf.DUMMYFUNCTION("IFS(W380=""Achat"",IFERROR(VALUE(X380),VALUE(REGEXREPLACE(T(X380),""[^0-9]"",""""))),W380=""Vente"",-IFERROR(VALUE(X380),VALUE(REGEXREPLACE(T(X380),""[^0-9]"",""""))),Y380=""Change"",0,Y380&lt;&gt;""Change"","""")"),"")</f>
        <v/>
      </c>
      <c r="N380" s="34" t="str">
        <f>IFERROR(__xludf.DUMMYFUNCTION("IF(Account!$F380&lt;&gt;"""", VALUE(REGEXREPLACE($I380, ""\,"", ""."")), """")"),"")</f>
        <v/>
      </c>
      <c r="O380" s="35" t="str">
        <f>IF(Account!$F380&lt;&gt;"", DATEVALUE(MID($A380,4,3) &amp; LEFT($A380,3) &amp; RIGHT($A380,4)) + TIMEVALUE($B380), "")</f>
        <v/>
      </c>
      <c r="P380" s="36" t="str">
        <f>IF(Account!$F380&lt;&gt;"", DATEVALUE(MID($C380,4,3) &amp; LEFT($C380,3) &amp; RIGHT($C380,4)), "")</f>
        <v/>
      </c>
      <c r="Q380" s="37" t="str">
        <f t="array" ref="Q380">IF($R380&lt;&gt;"",IFERROR(INDEX(ISIN!$B:$B,MATCH($R380,ISIN!$C:$C,0))),)</f>
        <v/>
      </c>
      <c r="R380" s="38" t="str">
        <f t="array" ref="R380">IF($E380&lt;&gt;"",IFERROR(INDEX(ISIN!$C:$C,MATCH($E380,ISIN!$A:$A,0)),IFERROR(INDEX($R381:$R1200,MATCH($K380,$K381:$K1200,0)))),IF(AND($Y380="change",$H380="EUR"),IF($O380=$O381,$R381,IF($O380=$O379,$R379)),IFERROR(INDEX($R381:$R1200,MATCH(SUBSTITUTE($I380,"-","",1),$K381:$K1200,0)))))</f>
        <v/>
      </c>
      <c r="S380" s="37" t="str">
        <f t="shared" si="1"/>
        <v/>
      </c>
      <c r="T380" s="39" t="str">
        <f t="shared" si="2"/>
        <v/>
      </c>
      <c r="U380" s="40" t="str">
        <f t="shared" si="3"/>
        <v/>
      </c>
      <c r="V380" s="34" t="str">
        <f t="shared" si="4"/>
        <v/>
      </c>
      <c r="W380" s="41" t="str">
        <f>IFERROR(__xludf.DUMMYFUNCTION(" IF(Account!$F380&lt;&gt;"""", SPLIT(Account!$F380, "" ""), """")"),"")</f>
        <v/>
      </c>
      <c r="X380" s="42"/>
      <c r="Y380" s="42"/>
      <c r="Z380" s="42"/>
      <c r="AA380" s="42"/>
      <c r="AB380" s="42"/>
      <c r="AC380" s="42"/>
      <c r="AD380" s="42"/>
      <c r="AE380" s="42"/>
      <c r="AF380" s="42"/>
      <c r="AG380" s="42"/>
      <c r="AH380" s="42"/>
      <c r="AI380" s="42"/>
      <c r="AJ380" s="42"/>
      <c r="AK380" s="42"/>
    </row>
    <row r="381">
      <c r="A381" s="20"/>
      <c r="B381" s="20"/>
      <c r="C381" s="20"/>
      <c r="D381" s="20"/>
      <c r="E381" s="20"/>
      <c r="F381" s="21"/>
      <c r="G381" s="45"/>
      <c r="H381" s="20"/>
      <c r="I381" s="20"/>
      <c r="J381" s="20"/>
      <c r="K381" s="20"/>
      <c r="L381" s="21"/>
      <c r="M381" s="33" t="str">
        <f>IFERROR(__xludf.DUMMYFUNCTION("IFS(W381=""Achat"",IFERROR(VALUE(X381),VALUE(REGEXREPLACE(T(X381),""[^0-9]"",""""))),W381=""Vente"",-IFERROR(VALUE(X381),VALUE(REGEXREPLACE(T(X381),""[^0-9]"",""""))),Y381=""Change"",0,Y381&lt;&gt;""Change"","""")"),"")</f>
        <v/>
      </c>
      <c r="N381" s="34" t="str">
        <f>IFERROR(__xludf.DUMMYFUNCTION("IF(Account!$F381&lt;&gt;"""", VALUE(REGEXREPLACE($I381, ""\,"", ""."")), """")"),"")</f>
        <v/>
      </c>
      <c r="O381" s="35" t="str">
        <f>IF(Account!$F381&lt;&gt;"", DATEVALUE(MID($A381,4,3) &amp; LEFT($A381,3) &amp; RIGHT($A381,4)) + TIMEVALUE($B381), "")</f>
        <v/>
      </c>
      <c r="P381" s="36" t="str">
        <f>IF(Account!$F381&lt;&gt;"", DATEVALUE(MID($C381,4,3) &amp; LEFT($C381,3) &amp; RIGHT($C381,4)), "")</f>
        <v/>
      </c>
      <c r="Q381" s="37" t="str">
        <f t="array" ref="Q381">IF($R381&lt;&gt;"",IFERROR(INDEX(ISIN!$B:$B,MATCH($R381,ISIN!$C:$C,0))),)</f>
        <v/>
      </c>
      <c r="R381" s="38" t="str">
        <f t="array" ref="R381">IF($E381&lt;&gt;"",IFERROR(INDEX(ISIN!$C:$C,MATCH($E381,ISIN!$A:$A,0)),IFERROR(INDEX($R382:$R1200,MATCH($K381,$K382:$K1200,0)))),IF(AND($Y381="change",$H381="EUR"),IF($O381=$O382,$R382,IF($O381=$O380,$R380)),IFERROR(INDEX($R382:$R1200,MATCH(SUBSTITUTE($I381,"-","",1),$K382:$K1200,0)))))</f>
        <v/>
      </c>
      <c r="S381" s="37" t="str">
        <f t="shared" si="1"/>
        <v/>
      </c>
      <c r="T381" s="39" t="str">
        <f t="shared" si="2"/>
        <v/>
      </c>
      <c r="U381" s="40" t="str">
        <f t="shared" si="3"/>
        <v/>
      </c>
      <c r="V381" s="34" t="str">
        <f t="shared" si="4"/>
        <v/>
      </c>
      <c r="W381" s="41" t="str">
        <f>IFERROR(__xludf.DUMMYFUNCTION(" IF(Account!$F381&lt;&gt;"""", SPLIT(Account!$F381, "" ""), """")"),"")</f>
        <v/>
      </c>
      <c r="X381" s="42"/>
      <c r="Y381" s="42"/>
      <c r="Z381" s="42"/>
      <c r="AA381" s="42"/>
      <c r="AB381" s="42"/>
      <c r="AC381" s="42"/>
      <c r="AD381" s="42"/>
      <c r="AE381" s="42"/>
      <c r="AF381" s="42"/>
      <c r="AG381" s="42"/>
      <c r="AH381" s="42"/>
      <c r="AI381" s="42"/>
      <c r="AJ381" s="42"/>
      <c r="AK381" s="42"/>
    </row>
    <row r="382">
      <c r="A382" s="20"/>
      <c r="B382" s="20"/>
      <c r="C382" s="20"/>
      <c r="D382" s="20"/>
      <c r="E382" s="20"/>
      <c r="F382" s="21"/>
      <c r="G382" s="45"/>
      <c r="H382" s="20"/>
      <c r="I382" s="20"/>
      <c r="J382" s="20"/>
      <c r="K382" s="20"/>
      <c r="L382" s="21"/>
      <c r="M382" s="33" t="str">
        <f>IFERROR(__xludf.DUMMYFUNCTION("IFS(W382=""Achat"",IFERROR(VALUE(X382),VALUE(REGEXREPLACE(T(X382),""[^0-9]"",""""))),W382=""Vente"",-IFERROR(VALUE(X382),VALUE(REGEXREPLACE(T(X382),""[^0-9]"",""""))),Y382=""Change"",0,Y382&lt;&gt;""Change"","""")"),"")</f>
        <v/>
      </c>
      <c r="N382" s="34" t="str">
        <f>IFERROR(__xludf.DUMMYFUNCTION("IF(Account!$F382&lt;&gt;"""", VALUE(REGEXREPLACE($I382, ""\,"", ""."")), """")"),"")</f>
        <v/>
      </c>
      <c r="O382" s="35" t="str">
        <f>IF(Account!$F382&lt;&gt;"", DATEVALUE(MID($A382,4,3) &amp; LEFT($A382,3) &amp; RIGHT($A382,4)) + TIMEVALUE($B382), "")</f>
        <v/>
      </c>
      <c r="P382" s="36" t="str">
        <f>IF(Account!$F382&lt;&gt;"", DATEVALUE(MID($C382,4,3) &amp; LEFT($C382,3) &amp; RIGHT($C382,4)), "")</f>
        <v/>
      </c>
      <c r="Q382" s="37" t="str">
        <f t="array" ref="Q382">IF($R382&lt;&gt;"",IFERROR(INDEX(ISIN!$B:$B,MATCH($R382,ISIN!$C:$C,0))),)</f>
        <v/>
      </c>
      <c r="R382" s="38" t="str">
        <f t="array" ref="R382">IF($E382&lt;&gt;"",IFERROR(INDEX(ISIN!$C:$C,MATCH($E382,ISIN!$A:$A,0)),IFERROR(INDEX($R383:$R1200,MATCH($K382,$K383:$K1200,0)))),IF(AND($Y382="change",$H382="EUR"),IF($O382=$O383,$R383,IF($O382=$O381,$R381)),IFERROR(INDEX($R383:$R1200,MATCH(SUBSTITUTE($I382,"-","",1),$K383:$K1200,0)))))</f>
        <v/>
      </c>
      <c r="S382" s="37" t="str">
        <f t="shared" si="1"/>
        <v/>
      </c>
      <c r="T382" s="39" t="str">
        <f t="shared" si="2"/>
        <v/>
      </c>
      <c r="U382" s="40" t="str">
        <f t="shared" si="3"/>
        <v/>
      </c>
      <c r="V382" s="34" t="str">
        <f t="shared" si="4"/>
        <v/>
      </c>
      <c r="W382" s="41" t="str">
        <f>IFERROR(__xludf.DUMMYFUNCTION(" IF(Account!$F382&lt;&gt;"""", SPLIT(Account!$F382, "" ""), """")"),"")</f>
        <v/>
      </c>
      <c r="X382" s="42"/>
      <c r="Y382" s="42"/>
      <c r="Z382" s="42"/>
      <c r="AA382" s="42"/>
      <c r="AB382" s="42"/>
      <c r="AC382" s="42"/>
      <c r="AD382" s="42"/>
      <c r="AE382" s="42"/>
      <c r="AF382" s="42"/>
      <c r="AG382" s="42"/>
      <c r="AH382" s="42"/>
      <c r="AI382" s="42"/>
      <c r="AJ382" s="42"/>
      <c r="AK382" s="42"/>
    </row>
    <row r="383">
      <c r="A383" s="20"/>
      <c r="B383" s="20"/>
      <c r="C383" s="20"/>
      <c r="D383" s="20"/>
      <c r="E383" s="20"/>
      <c r="F383" s="21"/>
      <c r="G383" s="45"/>
      <c r="H383" s="20"/>
      <c r="I383" s="20"/>
      <c r="J383" s="20"/>
      <c r="K383" s="20"/>
      <c r="L383" s="21"/>
      <c r="M383" s="33" t="str">
        <f>IFERROR(__xludf.DUMMYFUNCTION("IFS(W383=""Achat"",IFERROR(VALUE(X383),VALUE(REGEXREPLACE(T(X383),""[^0-9]"",""""))),W383=""Vente"",-IFERROR(VALUE(X383),VALUE(REGEXREPLACE(T(X383),""[^0-9]"",""""))),Y383=""Change"",0,Y383&lt;&gt;""Change"","""")"),"")</f>
        <v/>
      </c>
      <c r="N383" s="34" t="str">
        <f>IFERROR(__xludf.DUMMYFUNCTION("IF(Account!$F383&lt;&gt;"""", VALUE(REGEXREPLACE($I383, ""\,"", ""."")), """")"),"")</f>
        <v/>
      </c>
      <c r="O383" s="35" t="str">
        <f>IF(Account!$F383&lt;&gt;"", DATEVALUE(MID($A383,4,3) &amp; LEFT($A383,3) &amp; RIGHT($A383,4)) + TIMEVALUE($B383), "")</f>
        <v/>
      </c>
      <c r="P383" s="36" t="str">
        <f>IF(Account!$F383&lt;&gt;"", DATEVALUE(MID($C383,4,3) &amp; LEFT($C383,3) &amp; RIGHT($C383,4)), "")</f>
        <v/>
      </c>
      <c r="Q383" s="37" t="str">
        <f t="array" ref="Q383">IF($R383&lt;&gt;"",IFERROR(INDEX(ISIN!$B:$B,MATCH($R383,ISIN!$C:$C,0))),)</f>
        <v/>
      </c>
      <c r="R383" s="38" t="str">
        <f t="array" ref="R383">IF($E383&lt;&gt;"",IFERROR(INDEX(ISIN!$C:$C,MATCH($E383,ISIN!$A:$A,0)),IFERROR(INDEX($R384:$R1200,MATCH($K383,$K384:$K1200,0)))),IF(AND($Y383="change",$H383="EUR"),IF($O383=$O384,$R384,IF($O383=$O382,$R382)),IFERROR(INDEX($R384:$R1200,MATCH(SUBSTITUTE($I383,"-","",1),$K384:$K1200,0)))))</f>
        <v/>
      </c>
      <c r="S383" s="37" t="str">
        <f t="shared" si="1"/>
        <v/>
      </c>
      <c r="T383" s="39" t="str">
        <f t="shared" si="2"/>
        <v/>
      </c>
      <c r="U383" s="40" t="str">
        <f t="shared" si="3"/>
        <v/>
      </c>
      <c r="V383" s="34" t="str">
        <f t="shared" si="4"/>
        <v/>
      </c>
      <c r="W383" s="41" t="str">
        <f>IFERROR(__xludf.DUMMYFUNCTION(" IF(Account!$F383&lt;&gt;"""", SPLIT(Account!$F383, "" ""), """")"),"")</f>
        <v/>
      </c>
      <c r="X383" s="42"/>
      <c r="Y383" s="42"/>
      <c r="Z383" s="42"/>
      <c r="AA383" s="42"/>
      <c r="AB383" s="42"/>
      <c r="AC383" s="42"/>
      <c r="AD383" s="42"/>
      <c r="AE383" s="42"/>
      <c r="AF383" s="42"/>
      <c r="AG383" s="42"/>
      <c r="AH383" s="42"/>
      <c r="AI383" s="42"/>
      <c r="AJ383" s="42"/>
      <c r="AK383" s="42"/>
    </row>
    <row r="384">
      <c r="A384" s="20"/>
      <c r="B384" s="20"/>
      <c r="C384" s="20"/>
      <c r="D384" s="20"/>
      <c r="E384" s="20"/>
      <c r="F384" s="21"/>
      <c r="G384" s="45"/>
      <c r="H384" s="20"/>
      <c r="I384" s="20"/>
      <c r="J384" s="20"/>
      <c r="K384" s="20"/>
      <c r="L384" s="21"/>
      <c r="M384" s="33" t="str">
        <f>IFERROR(__xludf.DUMMYFUNCTION("IFS(W384=""Achat"",IFERROR(VALUE(X384),VALUE(REGEXREPLACE(T(X384),""[^0-9]"",""""))),W384=""Vente"",-IFERROR(VALUE(X384),VALUE(REGEXREPLACE(T(X384),""[^0-9]"",""""))),Y384=""Change"",0,Y384&lt;&gt;""Change"","""")"),"")</f>
        <v/>
      </c>
      <c r="N384" s="34" t="str">
        <f>IFERROR(__xludf.DUMMYFUNCTION("IF(Account!$F384&lt;&gt;"""", VALUE(REGEXREPLACE($I384, ""\,"", ""."")), """")"),"")</f>
        <v/>
      </c>
      <c r="O384" s="35" t="str">
        <f>IF(Account!$F384&lt;&gt;"", DATEVALUE(MID($A384,4,3) &amp; LEFT($A384,3) &amp; RIGHT($A384,4)) + TIMEVALUE($B384), "")</f>
        <v/>
      </c>
      <c r="P384" s="36" t="str">
        <f>IF(Account!$F384&lt;&gt;"", DATEVALUE(MID($C384,4,3) &amp; LEFT($C384,3) &amp; RIGHT($C384,4)), "")</f>
        <v/>
      </c>
      <c r="Q384" s="37" t="str">
        <f t="array" ref="Q384">IF($R384&lt;&gt;"",IFERROR(INDEX(ISIN!$B:$B,MATCH($R384,ISIN!$C:$C,0))),)</f>
        <v/>
      </c>
      <c r="R384" s="38" t="str">
        <f t="array" ref="R384">IF($E384&lt;&gt;"",IFERROR(INDEX(ISIN!$C:$C,MATCH($E384,ISIN!$A:$A,0)),IFERROR(INDEX($R385:$R1200,MATCH($K384,$K385:$K1200,0)))),IF(AND($Y384="change",$H384="EUR"),IF($O384=$O385,$R385,IF($O384=$O383,$R383)),IFERROR(INDEX($R385:$R1200,MATCH(SUBSTITUTE($I384,"-","",1),$K385:$K1200,0)))))</f>
        <v/>
      </c>
      <c r="S384" s="37" t="str">
        <f t="shared" si="1"/>
        <v/>
      </c>
      <c r="T384" s="39" t="str">
        <f t="shared" si="2"/>
        <v/>
      </c>
      <c r="U384" s="40" t="str">
        <f t="shared" si="3"/>
        <v/>
      </c>
      <c r="V384" s="34" t="str">
        <f t="shared" si="4"/>
        <v/>
      </c>
      <c r="W384" s="41" t="str">
        <f>IFERROR(__xludf.DUMMYFUNCTION(" IF(Account!$F384&lt;&gt;"""", SPLIT(Account!$F384, "" ""), """")"),"")</f>
        <v/>
      </c>
      <c r="X384" s="42"/>
      <c r="Y384" s="42"/>
      <c r="Z384" s="42"/>
      <c r="AA384" s="42"/>
      <c r="AB384" s="42"/>
      <c r="AC384" s="42"/>
      <c r="AD384" s="42"/>
      <c r="AE384" s="42"/>
      <c r="AF384" s="42"/>
      <c r="AG384" s="42"/>
      <c r="AH384" s="42"/>
      <c r="AI384" s="42"/>
      <c r="AJ384" s="42"/>
      <c r="AK384" s="42"/>
    </row>
    <row r="385">
      <c r="A385" s="20"/>
      <c r="B385" s="20"/>
      <c r="C385" s="20"/>
      <c r="D385" s="20"/>
      <c r="E385" s="20"/>
      <c r="F385" s="21"/>
      <c r="G385" s="45"/>
      <c r="H385" s="20"/>
      <c r="I385" s="20"/>
      <c r="J385" s="20"/>
      <c r="K385" s="20"/>
      <c r="L385" s="21"/>
      <c r="M385" s="33" t="str">
        <f>IFERROR(__xludf.DUMMYFUNCTION("IFS(W385=""Achat"",IFERROR(VALUE(X385),VALUE(REGEXREPLACE(T(X385),""[^0-9]"",""""))),W385=""Vente"",-IFERROR(VALUE(X385),VALUE(REGEXREPLACE(T(X385),""[^0-9]"",""""))),Y385=""Change"",0,Y385&lt;&gt;""Change"","""")"),"")</f>
        <v/>
      </c>
      <c r="N385" s="34" t="str">
        <f>IFERROR(__xludf.DUMMYFUNCTION("IF(Account!$F385&lt;&gt;"""", VALUE(REGEXREPLACE($I385, ""\,"", ""."")), """")"),"")</f>
        <v/>
      </c>
      <c r="O385" s="35" t="str">
        <f>IF(Account!$F385&lt;&gt;"", DATEVALUE(MID($A385,4,3) &amp; LEFT($A385,3) &amp; RIGHT($A385,4)) + TIMEVALUE($B385), "")</f>
        <v/>
      </c>
      <c r="P385" s="36" t="str">
        <f>IF(Account!$F385&lt;&gt;"", DATEVALUE(MID($C385,4,3) &amp; LEFT($C385,3) &amp; RIGHT($C385,4)), "")</f>
        <v/>
      </c>
      <c r="Q385" s="37" t="str">
        <f t="array" ref="Q385">IF($R385&lt;&gt;"",IFERROR(INDEX(ISIN!$B:$B,MATCH($R385,ISIN!$C:$C,0))),)</f>
        <v/>
      </c>
      <c r="R385" s="38" t="str">
        <f t="array" ref="R385">IF($E385&lt;&gt;"",IFERROR(INDEX(ISIN!$C:$C,MATCH($E385,ISIN!$A:$A,0)),IFERROR(INDEX($R386:$R1200,MATCH($K385,$K386:$K1200,0)))),IF(AND($Y385="change",$H385="EUR"),IF($O385=$O386,$R386,IF($O385=$O384,$R384)),IFERROR(INDEX($R386:$R1200,MATCH(SUBSTITUTE($I385,"-","",1),$K386:$K1200,0)))))</f>
        <v/>
      </c>
      <c r="S385" s="37" t="str">
        <f t="shared" si="1"/>
        <v/>
      </c>
      <c r="T385" s="39" t="str">
        <f t="shared" si="2"/>
        <v/>
      </c>
      <c r="U385" s="40" t="str">
        <f t="shared" si="3"/>
        <v/>
      </c>
      <c r="V385" s="34" t="str">
        <f t="shared" si="4"/>
        <v/>
      </c>
      <c r="W385" s="41" t="str">
        <f>IFERROR(__xludf.DUMMYFUNCTION(" IF(Account!$F385&lt;&gt;"""", SPLIT(Account!$F385, "" ""), """")"),"")</f>
        <v/>
      </c>
      <c r="X385" s="42"/>
      <c r="Y385" s="42"/>
      <c r="Z385" s="42"/>
      <c r="AA385" s="42"/>
      <c r="AB385" s="42"/>
      <c r="AC385" s="42"/>
      <c r="AD385" s="42"/>
      <c r="AE385" s="42"/>
      <c r="AF385" s="42"/>
      <c r="AG385" s="42"/>
      <c r="AH385" s="42"/>
      <c r="AI385" s="42"/>
      <c r="AJ385" s="42"/>
      <c r="AK385" s="42"/>
    </row>
    <row r="386">
      <c r="A386" s="20"/>
      <c r="B386" s="20"/>
      <c r="C386" s="20"/>
      <c r="D386" s="20"/>
      <c r="E386" s="20"/>
      <c r="F386" s="21"/>
      <c r="G386" s="45"/>
      <c r="H386" s="20"/>
      <c r="I386" s="20"/>
      <c r="J386" s="20"/>
      <c r="K386" s="20"/>
      <c r="L386" s="21"/>
      <c r="M386" s="33" t="str">
        <f>IFERROR(__xludf.DUMMYFUNCTION("IFS(W386=""Achat"",IFERROR(VALUE(X386),VALUE(REGEXREPLACE(T(X386),""[^0-9]"",""""))),W386=""Vente"",-IFERROR(VALUE(X386),VALUE(REGEXREPLACE(T(X386),""[^0-9]"",""""))),Y386=""Change"",0,Y386&lt;&gt;""Change"","""")"),"")</f>
        <v/>
      </c>
      <c r="N386" s="34" t="str">
        <f>IFERROR(__xludf.DUMMYFUNCTION("IF(Account!$F386&lt;&gt;"""", VALUE(REGEXREPLACE($I386, ""\,"", ""."")), """")"),"")</f>
        <v/>
      </c>
      <c r="O386" s="35" t="str">
        <f>IF(Account!$F386&lt;&gt;"", DATEVALUE(MID($A386,4,3) &amp; LEFT($A386,3) &amp; RIGHT($A386,4)) + TIMEVALUE($B386), "")</f>
        <v/>
      </c>
      <c r="P386" s="36" t="str">
        <f>IF(Account!$F386&lt;&gt;"", DATEVALUE(MID($C386,4,3) &amp; LEFT($C386,3) &amp; RIGHT($C386,4)), "")</f>
        <v/>
      </c>
      <c r="Q386" s="37" t="str">
        <f t="array" ref="Q386">IF($R386&lt;&gt;"",IFERROR(INDEX(ISIN!$B:$B,MATCH($R386,ISIN!$C:$C,0))),)</f>
        <v/>
      </c>
      <c r="R386" s="38" t="str">
        <f t="array" ref="R386">IF($E386&lt;&gt;"",IFERROR(INDEX(ISIN!$C:$C,MATCH($E386,ISIN!$A:$A,0)),IFERROR(INDEX($R387:$R1200,MATCH($K386,$K387:$K1200,0)))),IF(AND($Y386="change",$H386="EUR"),IF($O386=$O387,$R387,IF($O386=$O385,$R385)),IFERROR(INDEX($R387:$R1200,MATCH(SUBSTITUTE($I386,"-","",1),$K387:$K1200,0)))))</f>
        <v/>
      </c>
      <c r="S386" s="37" t="str">
        <f t="shared" si="1"/>
        <v/>
      </c>
      <c r="T386" s="39" t="str">
        <f t="shared" si="2"/>
        <v/>
      </c>
      <c r="U386" s="40" t="str">
        <f t="shared" si="3"/>
        <v/>
      </c>
      <c r="V386" s="34" t="str">
        <f t="shared" si="4"/>
        <v/>
      </c>
      <c r="W386" s="41" t="str">
        <f>IFERROR(__xludf.DUMMYFUNCTION(" IF(Account!$F386&lt;&gt;"""", SPLIT(Account!$F386, "" ""), """")"),"")</f>
        <v/>
      </c>
      <c r="X386" s="42"/>
      <c r="Y386" s="42"/>
      <c r="Z386" s="42"/>
      <c r="AA386" s="42"/>
      <c r="AB386" s="42"/>
      <c r="AC386" s="42"/>
      <c r="AD386" s="42"/>
      <c r="AE386" s="42"/>
      <c r="AF386" s="42"/>
      <c r="AG386" s="42"/>
      <c r="AH386" s="42"/>
      <c r="AI386" s="42"/>
      <c r="AJ386" s="42"/>
      <c r="AK386" s="42"/>
    </row>
    <row r="387">
      <c r="A387" s="20"/>
      <c r="B387" s="20"/>
      <c r="C387" s="20"/>
      <c r="D387" s="20"/>
      <c r="E387" s="20"/>
      <c r="F387" s="21"/>
      <c r="G387" s="45"/>
      <c r="H387" s="20"/>
      <c r="I387" s="20"/>
      <c r="J387" s="20"/>
      <c r="K387" s="20"/>
      <c r="L387" s="21"/>
      <c r="M387" s="33" t="str">
        <f>IFERROR(__xludf.DUMMYFUNCTION("IFS(W387=""Achat"",IFERROR(VALUE(X387),VALUE(REGEXREPLACE(T(X387),""[^0-9]"",""""))),W387=""Vente"",-IFERROR(VALUE(X387),VALUE(REGEXREPLACE(T(X387),""[^0-9]"",""""))),Y387=""Change"",0,Y387&lt;&gt;""Change"","""")"),"")</f>
        <v/>
      </c>
      <c r="N387" s="34" t="str">
        <f>IFERROR(__xludf.DUMMYFUNCTION("IF(Account!$F387&lt;&gt;"""", VALUE(REGEXREPLACE($I387, ""\,"", ""."")), """")"),"")</f>
        <v/>
      </c>
      <c r="O387" s="35" t="str">
        <f>IF(Account!$F387&lt;&gt;"", DATEVALUE(MID($A387,4,3) &amp; LEFT($A387,3) &amp; RIGHT($A387,4)) + TIMEVALUE($B387), "")</f>
        <v/>
      </c>
      <c r="P387" s="36" t="str">
        <f>IF(Account!$F387&lt;&gt;"", DATEVALUE(MID($C387,4,3) &amp; LEFT($C387,3) &amp; RIGHT($C387,4)), "")</f>
        <v/>
      </c>
      <c r="Q387" s="37" t="str">
        <f t="array" ref="Q387">IF($R387&lt;&gt;"",IFERROR(INDEX(ISIN!$B:$B,MATCH($R387,ISIN!$C:$C,0))),)</f>
        <v/>
      </c>
      <c r="R387" s="38" t="str">
        <f t="array" ref="R387">IF($E387&lt;&gt;"",IFERROR(INDEX(ISIN!$C:$C,MATCH($E387,ISIN!$A:$A,0)),IFERROR(INDEX($R388:$R1200,MATCH($K387,$K388:$K1200,0)))),IF(AND($Y387="change",$H387="EUR"),IF($O387=$O388,$R388,IF($O387=$O386,$R386)),IFERROR(INDEX($R388:$R1200,MATCH(SUBSTITUTE($I387,"-","",1),$K388:$K1200,0)))))</f>
        <v/>
      </c>
      <c r="S387" s="37" t="str">
        <f t="shared" si="1"/>
        <v/>
      </c>
      <c r="T387" s="39" t="str">
        <f t="shared" si="2"/>
        <v/>
      </c>
      <c r="U387" s="40" t="str">
        <f t="shared" si="3"/>
        <v/>
      </c>
      <c r="V387" s="34" t="str">
        <f t="shared" si="4"/>
        <v/>
      </c>
      <c r="W387" s="41" t="str">
        <f>IFERROR(__xludf.DUMMYFUNCTION(" IF(Account!$F387&lt;&gt;"""", SPLIT(Account!$F387, "" ""), """")"),"")</f>
        <v/>
      </c>
      <c r="X387" s="42"/>
      <c r="Y387" s="42"/>
      <c r="Z387" s="42"/>
      <c r="AA387" s="42"/>
      <c r="AB387" s="42"/>
      <c r="AC387" s="42"/>
      <c r="AD387" s="42"/>
      <c r="AE387" s="42"/>
      <c r="AF387" s="42"/>
      <c r="AG387" s="42"/>
      <c r="AH387" s="42"/>
      <c r="AI387" s="42"/>
      <c r="AJ387" s="42"/>
      <c r="AK387" s="42"/>
    </row>
    <row r="388">
      <c r="A388" s="20"/>
      <c r="B388" s="20"/>
      <c r="C388" s="20"/>
      <c r="D388" s="20"/>
      <c r="E388" s="20"/>
      <c r="F388" s="21"/>
      <c r="G388" s="45"/>
      <c r="H388" s="20"/>
      <c r="I388" s="20"/>
      <c r="J388" s="20"/>
      <c r="K388" s="20"/>
      <c r="L388" s="21"/>
      <c r="M388" s="33" t="str">
        <f>IFERROR(__xludf.DUMMYFUNCTION("IFS(W388=""Achat"",IFERROR(VALUE(X388),VALUE(REGEXREPLACE(T(X388),""[^0-9]"",""""))),W388=""Vente"",-IFERROR(VALUE(X388),VALUE(REGEXREPLACE(T(X388),""[^0-9]"",""""))),Y388=""Change"",0,Y388&lt;&gt;""Change"","""")"),"")</f>
        <v/>
      </c>
      <c r="N388" s="34" t="str">
        <f>IFERROR(__xludf.DUMMYFUNCTION("IF(Account!$F388&lt;&gt;"""", VALUE(REGEXREPLACE($I388, ""\,"", ""."")), """")"),"")</f>
        <v/>
      </c>
      <c r="O388" s="35" t="str">
        <f>IF(Account!$F388&lt;&gt;"", DATEVALUE(MID($A388,4,3) &amp; LEFT($A388,3) &amp; RIGHT($A388,4)) + TIMEVALUE($B388), "")</f>
        <v/>
      </c>
      <c r="P388" s="36" t="str">
        <f>IF(Account!$F388&lt;&gt;"", DATEVALUE(MID($C388,4,3) &amp; LEFT($C388,3) &amp; RIGHT($C388,4)), "")</f>
        <v/>
      </c>
      <c r="Q388" s="37" t="str">
        <f t="array" ref="Q388">IF($R388&lt;&gt;"",IFERROR(INDEX(ISIN!$B:$B,MATCH($R388,ISIN!$C:$C,0))),)</f>
        <v/>
      </c>
      <c r="R388" s="38" t="str">
        <f t="array" ref="R388">IF($E388&lt;&gt;"",IFERROR(INDEX(ISIN!$C:$C,MATCH($E388,ISIN!$A:$A,0)),IFERROR(INDEX($R389:$R1200,MATCH($K388,$K389:$K1200,0)))),IF(AND($Y388="change",$H388="EUR"),IF($O388=$O389,$R389,IF($O388=$O387,$R387)),IFERROR(INDEX($R389:$R1200,MATCH(SUBSTITUTE($I388,"-","",1),$K389:$K1200,0)))))</f>
        <v/>
      </c>
      <c r="S388" s="37" t="str">
        <f t="shared" si="1"/>
        <v/>
      </c>
      <c r="T388" s="39" t="str">
        <f t="shared" si="2"/>
        <v/>
      </c>
      <c r="U388" s="40" t="str">
        <f t="shared" si="3"/>
        <v/>
      </c>
      <c r="V388" s="34" t="str">
        <f t="shared" si="4"/>
        <v/>
      </c>
      <c r="W388" s="41" t="str">
        <f>IFERROR(__xludf.DUMMYFUNCTION(" IF(Account!$F388&lt;&gt;"""", SPLIT(Account!$F388, "" ""), """")"),"")</f>
        <v/>
      </c>
      <c r="X388" s="42"/>
      <c r="Y388" s="42"/>
      <c r="Z388" s="42"/>
      <c r="AA388" s="42"/>
      <c r="AB388" s="42"/>
      <c r="AC388" s="42"/>
      <c r="AD388" s="42"/>
      <c r="AE388" s="42"/>
      <c r="AF388" s="42"/>
      <c r="AG388" s="42"/>
      <c r="AH388" s="42"/>
      <c r="AI388" s="42"/>
      <c r="AJ388" s="42"/>
      <c r="AK388" s="42"/>
    </row>
    <row r="389">
      <c r="A389" s="20"/>
      <c r="B389" s="20"/>
      <c r="C389" s="20"/>
      <c r="D389" s="20"/>
      <c r="E389" s="20"/>
      <c r="F389" s="21"/>
      <c r="G389" s="20"/>
      <c r="H389" s="20"/>
      <c r="I389" s="20"/>
      <c r="J389" s="20"/>
      <c r="K389" s="20"/>
      <c r="L389" s="21"/>
      <c r="M389" s="33" t="str">
        <f>IFERROR(__xludf.DUMMYFUNCTION("IFS(W389=""Achat"",IFERROR(VALUE(X389),VALUE(REGEXREPLACE(T(X389),""[^0-9]"",""""))),W389=""Vente"",-IFERROR(VALUE(X389),VALUE(REGEXREPLACE(T(X389),""[^0-9]"",""""))),Y389=""Change"",0,Y389&lt;&gt;""Change"","""")"),"")</f>
        <v/>
      </c>
      <c r="N389" s="34" t="str">
        <f>IFERROR(__xludf.DUMMYFUNCTION("IF(Account!$F389&lt;&gt;"""", VALUE(REGEXREPLACE($I389, ""\,"", ""."")), """")"),"")</f>
        <v/>
      </c>
      <c r="O389" s="35" t="str">
        <f>IF(Account!$F389&lt;&gt;"", DATEVALUE(MID($A389,4,3) &amp; LEFT($A389,3) &amp; RIGHT($A389,4)) + TIMEVALUE($B389), "")</f>
        <v/>
      </c>
      <c r="P389" s="36" t="str">
        <f>IF(Account!$F389&lt;&gt;"", DATEVALUE(MID($C389,4,3) &amp; LEFT($C389,3) &amp; RIGHT($C389,4)), "")</f>
        <v/>
      </c>
      <c r="Q389" s="37" t="str">
        <f t="array" ref="Q389">IF($R389&lt;&gt;"",IFERROR(INDEX(ISIN!$B:$B,MATCH($R389,ISIN!$C:$C,0))),)</f>
        <v/>
      </c>
      <c r="R389" s="38" t="str">
        <f t="array" ref="R389">IF($E389&lt;&gt;"",IFERROR(INDEX(ISIN!$C:$C,MATCH($E389,ISIN!$A:$A,0)),IFERROR(INDEX($R390:$R1200,MATCH($K389,$K390:$K1200,0)))),IF(AND($Y389="change",$H389="EUR"),IF($O389=$O390,$R390,IF($O389=$O388,$R388)),IFERROR(INDEX($R390:$R1200,MATCH(SUBSTITUTE($I389,"-","",1),$K390:$K1200,0)))))</f>
        <v/>
      </c>
      <c r="S389" s="37" t="str">
        <f t="shared" si="1"/>
        <v/>
      </c>
      <c r="T389" s="39" t="str">
        <f t="shared" si="2"/>
        <v/>
      </c>
      <c r="U389" s="40" t="str">
        <f t="shared" si="3"/>
        <v/>
      </c>
      <c r="V389" s="34" t="str">
        <f t="shared" si="4"/>
        <v/>
      </c>
      <c r="W389" s="41" t="str">
        <f>IFERROR(__xludf.DUMMYFUNCTION(" IF(Account!$F389&lt;&gt;"""", SPLIT(Account!$F389, "" ""), """")"),"")</f>
        <v/>
      </c>
      <c r="X389" s="42"/>
      <c r="Y389" s="42"/>
      <c r="Z389" s="42"/>
      <c r="AA389" s="42"/>
      <c r="AB389" s="42"/>
      <c r="AC389" s="42"/>
      <c r="AD389" s="42"/>
      <c r="AE389" s="42"/>
      <c r="AF389" s="42"/>
      <c r="AG389" s="42"/>
      <c r="AH389" s="42"/>
      <c r="AI389" s="42"/>
      <c r="AJ389" s="42"/>
      <c r="AK389" s="42"/>
    </row>
    <row r="390">
      <c r="A390" s="20"/>
      <c r="B390" s="20"/>
      <c r="C390" s="20"/>
      <c r="D390" s="20"/>
      <c r="E390" s="20"/>
      <c r="F390" s="21"/>
      <c r="G390" s="45"/>
      <c r="H390" s="20"/>
      <c r="I390" s="20"/>
      <c r="J390" s="20"/>
      <c r="K390" s="20"/>
      <c r="L390" s="21"/>
      <c r="M390" s="33" t="str">
        <f>IFERROR(__xludf.DUMMYFUNCTION("IFS(W390=""Achat"",IFERROR(VALUE(X390),VALUE(REGEXREPLACE(T(X390),""[^0-9]"",""""))),W390=""Vente"",-IFERROR(VALUE(X390),VALUE(REGEXREPLACE(T(X390),""[^0-9]"",""""))),Y390=""Change"",0,Y390&lt;&gt;""Change"","""")"),"")</f>
        <v/>
      </c>
      <c r="N390" s="34" t="str">
        <f>IFERROR(__xludf.DUMMYFUNCTION("IF(Account!$F390&lt;&gt;"""", VALUE(REGEXREPLACE($I390, ""\,"", ""."")), """")"),"")</f>
        <v/>
      </c>
      <c r="O390" s="35" t="str">
        <f>IF(Account!$F390&lt;&gt;"", DATEVALUE(MID($A390,4,3) &amp; LEFT($A390,3) &amp; RIGHT($A390,4)) + TIMEVALUE($B390), "")</f>
        <v/>
      </c>
      <c r="P390" s="36" t="str">
        <f>IF(Account!$F390&lt;&gt;"", DATEVALUE(MID($C390,4,3) &amp; LEFT($C390,3) &amp; RIGHT($C390,4)), "")</f>
        <v/>
      </c>
      <c r="Q390" s="37" t="str">
        <f t="array" ref="Q390">IF($R390&lt;&gt;"",IFERROR(INDEX(ISIN!$B:$B,MATCH($R390,ISIN!$C:$C,0))),)</f>
        <v/>
      </c>
      <c r="R390" s="38" t="str">
        <f t="array" ref="R390">IF($E390&lt;&gt;"",IFERROR(INDEX(ISIN!$C:$C,MATCH($E390,ISIN!$A:$A,0)),IFERROR(INDEX($R391:$R1200,MATCH($K390,$K391:$K1200,0)))),IF(AND($Y390="change",$H390="EUR"),IF($O390=$O391,$R391,IF($O390=$O389,$R389)),IFERROR(INDEX($R391:$R1200,MATCH(SUBSTITUTE($I390,"-","",1),$K391:$K1200,0)))))</f>
        <v/>
      </c>
      <c r="S390" s="37" t="str">
        <f t="shared" si="1"/>
        <v/>
      </c>
      <c r="T390" s="39" t="str">
        <f t="shared" si="2"/>
        <v/>
      </c>
      <c r="U390" s="40" t="str">
        <f t="shared" si="3"/>
        <v/>
      </c>
      <c r="V390" s="34" t="str">
        <f t="shared" si="4"/>
        <v/>
      </c>
      <c r="W390" s="41" t="str">
        <f>IFERROR(__xludf.DUMMYFUNCTION(" IF(Account!$F390&lt;&gt;"""", SPLIT(Account!$F390, "" ""), """")"),"")</f>
        <v/>
      </c>
      <c r="X390" s="42"/>
      <c r="Y390" s="42"/>
      <c r="Z390" s="42"/>
      <c r="AA390" s="42"/>
      <c r="AB390" s="42"/>
      <c r="AC390" s="42"/>
      <c r="AD390" s="42"/>
      <c r="AE390" s="42"/>
      <c r="AF390" s="42"/>
      <c r="AG390" s="42"/>
      <c r="AH390" s="42"/>
      <c r="AI390" s="42"/>
      <c r="AJ390" s="42"/>
      <c r="AK390" s="42"/>
    </row>
    <row r="391">
      <c r="A391" s="20"/>
      <c r="B391" s="20"/>
      <c r="C391" s="20"/>
      <c r="D391" s="20"/>
      <c r="E391" s="20"/>
      <c r="F391" s="21"/>
      <c r="G391" s="20"/>
      <c r="H391" s="20"/>
      <c r="I391" s="20"/>
      <c r="J391" s="20"/>
      <c r="K391" s="20"/>
      <c r="L391" s="21"/>
      <c r="M391" s="33" t="str">
        <f>IFERROR(__xludf.DUMMYFUNCTION("IFS(W391=""Achat"",IFERROR(VALUE(X391),VALUE(REGEXREPLACE(T(X391),""[^0-9]"",""""))),W391=""Vente"",-IFERROR(VALUE(X391),VALUE(REGEXREPLACE(T(X391),""[^0-9]"",""""))),Y391=""Change"",0,Y391&lt;&gt;""Change"","""")"),"")</f>
        <v/>
      </c>
      <c r="N391" s="34" t="str">
        <f>IFERROR(__xludf.DUMMYFUNCTION("IF(Account!$F391&lt;&gt;"""", VALUE(REGEXREPLACE($I391, ""\,"", ""."")), """")"),"")</f>
        <v/>
      </c>
      <c r="O391" s="35" t="str">
        <f>IF(Account!$F391&lt;&gt;"", DATEVALUE(MID($A391,4,3) &amp; LEFT($A391,3) &amp; RIGHT($A391,4)) + TIMEVALUE($B391), "")</f>
        <v/>
      </c>
      <c r="P391" s="36" t="str">
        <f>IF(Account!$F391&lt;&gt;"", DATEVALUE(MID($C391,4,3) &amp; LEFT($C391,3) &amp; RIGHT($C391,4)), "")</f>
        <v/>
      </c>
      <c r="Q391" s="37" t="str">
        <f t="array" ref="Q391">IF($R391&lt;&gt;"",IFERROR(INDEX(ISIN!$B:$B,MATCH($R391,ISIN!$C:$C,0))),)</f>
        <v/>
      </c>
      <c r="R391" s="38" t="str">
        <f t="array" ref="R391">IF($E391&lt;&gt;"",IFERROR(INDEX(ISIN!$C:$C,MATCH($E391,ISIN!$A:$A,0)),IFERROR(INDEX($R392:$R1200,MATCH($K391,$K392:$K1200,0)))),IF(AND($Y391="change",$H391="EUR"),IF($O391=$O392,$R392,IF($O391=$O390,$R390)),IFERROR(INDEX($R392:$R1200,MATCH(SUBSTITUTE($I391,"-","",1),$K392:$K1200,0)))))</f>
        <v/>
      </c>
      <c r="S391" s="37" t="str">
        <f t="shared" si="1"/>
        <v/>
      </c>
      <c r="T391" s="39" t="str">
        <f t="shared" si="2"/>
        <v/>
      </c>
      <c r="U391" s="40" t="str">
        <f t="shared" si="3"/>
        <v/>
      </c>
      <c r="V391" s="34" t="str">
        <f t="shared" si="4"/>
        <v/>
      </c>
      <c r="W391" s="41" t="str">
        <f>IFERROR(__xludf.DUMMYFUNCTION(" IF(Account!$F391&lt;&gt;"""", SPLIT(Account!$F391, "" ""), """")"),"")</f>
        <v/>
      </c>
      <c r="X391" s="42"/>
      <c r="Y391" s="42"/>
      <c r="Z391" s="42"/>
      <c r="AA391" s="42"/>
      <c r="AB391" s="42"/>
      <c r="AC391" s="42"/>
      <c r="AD391" s="42"/>
      <c r="AE391" s="42"/>
      <c r="AF391" s="42"/>
      <c r="AG391" s="42"/>
      <c r="AH391" s="42"/>
      <c r="AI391" s="42"/>
      <c r="AJ391" s="42"/>
      <c r="AK391" s="42"/>
    </row>
    <row r="392">
      <c r="A392" s="20"/>
      <c r="B392" s="20"/>
      <c r="C392" s="20"/>
      <c r="D392" s="20"/>
      <c r="E392" s="20"/>
      <c r="F392" s="21"/>
      <c r="G392" s="45"/>
      <c r="H392" s="20"/>
      <c r="I392" s="20"/>
      <c r="J392" s="20"/>
      <c r="K392" s="20"/>
      <c r="L392" s="21"/>
      <c r="M392" s="33" t="str">
        <f>IFERROR(__xludf.DUMMYFUNCTION("IFS(W392=""Achat"",IFERROR(VALUE(X392),VALUE(REGEXREPLACE(T(X392),""[^0-9]"",""""))),W392=""Vente"",-IFERROR(VALUE(X392),VALUE(REGEXREPLACE(T(X392),""[^0-9]"",""""))),Y392=""Change"",0,Y392&lt;&gt;""Change"","""")"),"")</f>
        <v/>
      </c>
      <c r="N392" s="34" t="str">
        <f>IFERROR(__xludf.DUMMYFUNCTION("IF(Account!$F392&lt;&gt;"""", VALUE(REGEXREPLACE($I392, ""\,"", ""."")), """")"),"")</f>
        <v/>
      </c>
      <c r="O392" s="35" t="str">
        <f>IF(Account!$F392&lt;&gt;"", DATEVALUE(MID($A392,4,3) &amp; LEFT($A392,3) &amp; RIGHT($A392,4)) + TIMEVALUE($B392), "")</f>
        <v/>
      </c>
      <c r="P392" s="36" t="str">
        <f>IF(Account!$F392&lt;&gt;"", DATEVALUE(MID($C392,4,3) &amp; LEFT($C392,3) &amp; RIGHT($C392,4)), "")</f>
        <v/>
      </c>
      <c r="Q392" s="37" t="str">
        <f t="array" ref="Q392">IF($R392&lt;&gt;"",IFERROR(INDEX(ISIN!$B:$B,MATCH($R392,ISIN!$C:$C,0))),)</f>
        <v/>
      </c>
      <c r="R392" s="38" t="str">
        <f t="array" ref="R392">IF($E392&lt;&gt;"",IFERROR(INDEX(ISIN!$C:$C,MATCH($E392,ISIN!$A:$A,0)),IFERROR(INDEX($R393:$R1200,MATCH($K392,$K393:$K1200,0)))),IF(AND($Y392="change",$H392="EUR"),IF($O392=$O393,$R393,IF($O392=$O391,$R391)),IFERROR(INDEX($R393:$R1200,MATCH(SUBSTITUTE($I392,"-","",1),$K393:$K1200,0)))))</f>
        <v/>
      </c>
      <c r="S392" s="37" t="str">
        <f t="shared" si="1"/>
        <v/>
      </c>
      <c r="T392" s="39" t="str">
        <f t="shared" si="2"/>
        <v/>
      </c>
      <c r="U392" s="40" t="str">
        <f t="shared" si="3"/>
        <v/>
      </c>
      <c r="V392" s="34" t="str">
        <f t="shared" si="4"/>
        <v/>
      </c>
      <c r="W392" s="41" t="str">
        <f>IFERROR(__xludf.DUMMYFUNCTION(" IF(Account!$F392&lt;&gt;"""", SPLIT(Account!$F392, "" ""), """")"),"")</f>
        <v/>
      </c>
      <c r="X392" s="42"/>
      <c r="Y392" s="42"/>
      <c r="Z392" s="42"/>
      <c r="AA392" s="42"/>
      <c r="AB392" s="42"/>
      <c r="AC392" s="42"/>
      <c r="AD392" s="42"/>
      <c r="AE392" s="42"/>
      <c r="AF392" s="42"/>
      <c r="AG392" s="42"/>
      <c r="AH392" s="42"/>
      <c r="AI392" s="42"/>
      <c r="AJ392" s="42"/>
      <c r="AK392" s="42"/>
    </row>
    <row r="393">
      <c r="A393" s="20"/>
      <c r="B393" s="20"/>
      <c r="C393" s="20"/>
      <c r="D393" s="20"/>
      <c r="E393" s="20"/>
      <c r="F393" s="21"/>
      <c r="G393" s="45"/>
      <c r="H393" s="20"/>
      <c r="I393" s="20"/>
      <c r="J393" s="20"/>
      <c r="K393" s="20"/>
      <c r="L393" s="21"/>
      <c r="M393" s="33" t="str">
        <f>IFERROR(__xludf.DUMMYFUNCTION("IFS(W393=""Achat"",IFERROR(VALUE(X393),VALUE(REGEXREPLACE(T(X393),""[^0-9]"",""""))),W393=""Vente"",-IFERROR(VALUE(X393),VALUE(REGEXREPLACE(T(X393),""[^0-9]"",""""))),Y393=""Change"",0,Y393&lt;&gt;""Change"","""")"),"")</f>
        <v/>
      </c>
      <c r="N393" s="34" t="str">
        <f>IFERROR(__xludf.DUMMYFUNCTION("IF(Account!$F393&lt;&gt;"""", VALUE(REGEXREPLACE($I393, ""\,"", ""."")), """")"),"")</f>
        <v/>
      </c>
      <c r="O393" s="35" t="str">
        <f>IF(Account!$F393&lt;&gt;"", DATEVALUE(MID($A393,4,3) &amp; LEFT($A393,3) &amp; RIGHT($A393,4)) + TIMEVALUE($B393), "")</f>
        <v/>
      </c>
      <c r="P393" s="36" t="str">
        <f>IF(Account!$F393&lt;&gt;"", DATEVALUE(MID($C393,4,3) &amp; LEFT($C393,3) &amp; RIGHT($C393,4)), "")</f>
        <v/>
      </c>
      <c r="Q393" s="37" t="str">
        <f t="array" ref="Q393">IF($R393&lt;&gt;"",IFERROR(INDEX(ISIN!$B:$B,MATCH($R393,ISIN!$C:$C,0))),)</f>
        <v/>
      </c>
      <c r="R393" s="38" t="str">
        <f t="array" ref="R393">IF($E393&lt;&gt;"",IFERROR(INDEX(ISIN!$C:$C,MATCH($E393,ISIN!$A:$A,0)),IFERROR(INDEX($R394:$R1200,MATCH($K393,$K394:$K1200,0)))),IF(AND($Y393="change",$H393="EUR"),IF($O393=$O394,$R394,IF($O393=$O392,$R392)),IFERROR(INDEX($R394:$R1200,MATCH(SUBSTITUTE($I393,"-","",1),$K394:$K1200,0)))))</f>
        <v/>
      </c>
      <c r="S393" s="37" t="str">
        <f t="shared" si="1"/>
        <v/>
      </c>
      <c r="T393" s="39" t="str">
        <f t="shared" si="2"/>
        <v/>
      </c>
      <c r="U393" s="40" t="str">
        <f t="shared" si="3"/>
        <v/>
      </c>
      <c r="V393" s="34" t="str">
        <f t="shared" si="4"/>
        <v/>
      </c>
      <c r="W393" s="41" t="str">
        <f>IFERROR(__xludf.DUMMYFUNCTION(" IF(Account!$F393&lt;&gt;"""", SPLIT(Account!$F393, "" ""), """")"),"")</f>
        <v/>
      </c>
      <c r="X393" s="42"/>
      <c r="Y393" s="42"/>
      <c r="Z393" s="42"/>
      <c r="AA393" s="42"/>
      <c r="AB393" s="42"/>
      <c r="AC393" s="42"/>
      <c r="AD393" s="42"/>
      <c r="AE393" s="42"/>
      <c r="AF393" s="42"/>
      <c r="AG393" s="42"/>
      <c r="AH393" s="42"/>
      <c r="AI393" s="42"/>
      <c r="AJ393" s="42"/>
      <c r="AK393" s="42"/>
    </row>
    <row r="394">
      <c r="A394" s="20"/>
      <c r="B394" s="20"/>
      <c r="C394" s="20"/>
      <c r="D394" s="20"/>
      <c r="E394" s="20"/>
      <c r="F394" s="21"/>
      <c r="G394" s="20"/>
      <c r="H394" s="20"/>
      <c r="I394" s="20"/>
      <c r="J394" s="20"/>
      <c r="K394" s="20"/>
      <c r="L394" s="21"/>
      <c r="M394" s="33" t="str">
        <f>IFERROR(__xludf.DUMMYFUNCTION("IFS(W394=""Achat"",IFERROR(VALUE(X394),VALUE(REGEXREPLACE(T(X394),""[^0-9]"",""""))),W394=""Vente"",-IFERROR(VALUE(X394),VALUE(REGEXREPLACE(T(X394),""[^0-9]"",""""))),Y394=""Change"",0,Y394&lt;&gt;""Change"","""")"),"")</f>
        <v/>
      </c>
      <c r="N394" s="34" t="str">
        <f>IFERROR(__xludf.DUMMYFUNCTION("IF(Account!$F394&lt;&gt;"""", VALUE(REGEXREPLACE($I394, ""\,"", ""."")), """")"),"")</f>
        <v/>
      </c>
      <c r="O394" s="35" t="str">
        <f>IF(Account!$F394&lt;&gt;"", DATEVALUE(MID($A394,4,3) &amp; LEFT($A394,3) &amp; RIGHT($A394,4)) + TIMEVALUE($B394), "")</f>
        <v/>
      </c>
      <c r="P394" s="36" t="str">
        <f>IF(Account!$F394&lt;&gt;"", DATEVALUE(MID($C394,4,3) &amp; LEFT($C394,3) &amp; RIGHT($C394,4)), "")</f>
        <v/>
      </c>
      <c r="Q394" s="37" t="str">
        <f t="array" ref="Q394">IF($R394&lt;&gt;"",IFERROR(INDEX(ISIN!$B:$B,MATCH($R394,ISIN!$C:$C,0))),)</f>
        <v/>
      </c>
      <c r="R394" s="38" t="str">
        <f t="array" ref="R394">IF($E394&lt;&gt;"",IFERROR(INDEX(ISIN!$C:$C,MATCH($E394,ISIN!$A:$A,0)),IFERROR(INDEX($R395:$R1200,MATCH($K394,$K395:$K1200,0)))),IF(AND($Y394="change",$H394="EUR"),IF($O394=$O395,$R395,IF($O394=$O393,$R393)),IFERROR(INDEX($R395:$R1200,MATCH(SUBSTITUTE($I394,"-","",1),$K395:$K1200,0)))))</f>
        <v/>
      </c>
      <c r="S394" s="37" t="str">
        <f t="shared" si="1"/>
        <v/>
      </c>
      <c r="T394" s="39" t="str">
        <f t="shared" si="2"/>
        <v/>
      </c>
      <c r="U394" s="40" t="str">
        <f t="shared" si="3"/>
        <v/>
      </c>
      <c r="V394" s="34" t="str">
        <f t="shared" si="4"/>
        <v/>
      </c>
      <c r="W394" s="41" t="str">
        <f>IFERROR(__xludf.DUMMYFUNCTION(" IF(Account!$F394&lt;&gt;"""", SPLIT(Account!$F394, "" ""), """")"),"")</f>
        <v/>
      </c>
      <c r="X394" s="42"/>
      <c r="Y394" s="42"/>
      <c r="Z394" s="42"/>
      <c r="AA394" s="42"/>
      <c r="AB394" s="42"/>
      <c r="AC394" s="42"/>
      <c r="AD394" s="42"/>
      <c r="AE394" s="42"/>
      <c r="AF394" s="42"/>
      <c r="AG394" s="42"/>
      <c r="AH394" s="42"/>
      <c r="AI394" s="42"/>
      <c r="AJ394" s="42"/>
      <c r="AK394" s="42"/>
    </row>
    <row r="395">
      <c r="A395" s="20"/>
      <c r="B395" s="20"/>
      <c r="C395" s="20"/>
      <c r="D395" s="20"/>
      <c r="E395" s="20"/>
      <c r="F395" s="21"/>
      <c r="G395" s="45"/>
      <c r="H395" s="20"/>
      <c r="I395" s="20"/>
      <c r="J395" s="20"/>
      <c r="K395" s="20"/>
      <c r="L395" s="21"/>
      <c r="M395" s="33" t="str">
        <f>IFERROR(__xludf.DUMMYFUNCTION("IFS(W395=""Achat"",IFERROR(VALUE(X395),VALUE(REGEXREPLACE(T(X395),""[^0-9]"",""""))),W395=""Vente"",-IFERROR(VALUE(X395),VALUE(REGEXREPLACE(T(X395),""[^0-9]"",""""))),Y395=""Change"",0,Y395&lt;&gt;""Change"","""")"),"")</f>
        <v/>
      </c>
      <c r="N395" s="34" t="str">
        <f>IFERROR(__xludf.DUMMYFUNCTION("IF(Account!$F395&lt;&gt;"""", VALUE(REGEXREPLACE($I395, ""\,"", ""."")), """")"),"")</f>
        <v/>
      </c>
      <c r="O395" s="35" t="str">
        <f>IF(Account!$F395&lt;&gt;"", DATEVALUE(MID($A395,4,3) &amp; LEFT($A395,3) &amp; RIGHT($A395,4)) + TIMEVALUE($B395), "")</f>
        <v/>
      </c>
      <c r="P395" s="36" t="str">
        <f>IF(Account!$F395&lt;&gt;"", DATEVALUE(MID($C395,4,3) &amp; LEFT($C395,3) &amp; RIGHT($C395,4)), "")</f>
        <v/>
      </c>
      <c r="Q395" s="37" t="str">
        <f t="array" ref="Q395">IF($R395&lt;&gt;"",IFERROR(INDEX(ISIN!$B:$B,MATCH($R395,ISIN!$C:$C,0))),)</f>
        <v/>
      </c>
      <c r="R395" s="38" t="str">
        <f t="array" ref="R395">IF($E395&lt;&gt;"",IFERROR(INDEX(ISIN!$C:$C,MATCH($E395,ISIN!$A:$A,0)),IFERROR(INDEX($R396:$R1200,MATCH($K395,$K396:$K1200,0)))),IF(AND($Y395="change",$H395="EUR"),IF($O395=$O396,$R396,IF($O395=$O394,$R394)),IFERROR(INDEX($R396:$R1200,MATCH(SUBSTITUTE($I395,"-","",1),$K396:$K1200,0)))))</f>
        <v/>
      </c>
      <c r="S395" s="37" t="str">
        <f t="shared" si="1"/>
        <v/>
      </c>
      <c r="T395" s="39" t="str">
        <f t="shared" si="2"/>
        <v/>
      </c>
      <c r="U395" s="40" t="str">
        <f t="shared" si="3"/>
        <v/>
      </c>
      <c r="V395" s="34" t="str">
        <f t="shared" si="4"/>
        <v/>
      </c>
      <c r="W395" s="41" t="str">
        <f>IFERROR(__xludf.DUMMYFUNCTION(" IF(Account!$F395&lt;&gt;"""", SPLIT(Account!$F395, "" ""), """")"),"")</f>
        <v/>
      </c>
      <c r="X395" s="42"/>
      <c r="Y395" s="42"/>
      <c r="Z395" s="42"/>
      <c r="AA395" s="42"/>
      <c r="AB395" s="42"/>
      <c r="AC395" s="42"/>
      <c r="AD395" s="42"/>
      <c r="AE395" s="42"/>
      <c r="AF395" s="42"/>
      <c r="AG395" s="42"/>
      <c r="AH395" s="42"/>
      <c r="AI395" s="42"/>
      <c r="AJ395" s="42"/>
      <c r="AK395" s="42"/>
    </row>
    <row r="396">
      <c r="A396" s="20"/>
      <c r="B396" s="20"/>
      <c r="C396" s="20"/>
      <c r="D396" s="20"/>
      <c r="E396" s="20"/>
      <c r="F396" s="21"/>
      <c r="G396" s="20"/>
      <c r="H396" s="20"/>
      <c r="I396" s="20"/>
      <c r="J396" s="20"/>
      <c r="K396" s="20"/>
      <c r="L396" s="21"/>
      <c r="M396" s="33" t="str">
        <f>IFERROR(__xludf.DUMMYFUNCTION("IFS(W396=""Achat"",IFERROR(VALUE(X396),VALUE(REGEXREPLACE(T(X396),""[^0-9]"",""""))),W396=""Vente"",-IFERROR(VALUE(X396),VALUE(REGEXREPLACE(T(X396),""[^0-9]"",""""))),Y396=""Change"",0,Y396&lt;&gt;""Change"","""")"),"")</f>
        <v/>
      </c>
      <c r="N396" s="34" t="str">
        <f>IFERROR(__xludf.DUMMYFUNCTION("IF(Account!$F396&lt;&gt;"""", VALUE(REGEXREPLACE($I396, ""\,"", ""."")), """")"),"")</f>
        <v/>
      </c>
      <c r="O396" s="35" t="str">
        <f>IF(Account!$F396&lt;&gt;"", DATEVALUE(MID($A396,4,3) &amp; LEFT($A396,3) &amp; RIGHT($A396,4)) + TIMEVALUE($B396), "")</f>
        <v/>
      </c>
      <c r="P396" s="36" t="str">
        <f>IF(Account!$F396&lt;&gt;"", DATEVALUE(MID($C396,4,3) &amp; LEFT($C396,3) &amp; RIGHT($C396,4)), "")</f>
        <v/>
      </c>
      <c r="Q396" s="37" t="str">
        <f t="array" ref="Q396">IF($R396&lt;&gt;"",IFERROR(INDEX(ISIN!$B:$B,MATCH($R396,ISIN!$C:$C,0))),)</f>
        <v/>
      </c>
      <c r="R396" s="38" t="str">
        <f t="array" ref="R396">IF($E396&lt;&gt;"",IFERROR(INDEX(ISIN!$C:$C,MATCH($E396,ISIN!$A:$A,0)),IFERROR(INDEX($R397:$R1200,MATCH($K396,$K397:$K1200,0)))),IF(AND($Y396="change",$H396="EUR"),IF($O396=$O397,$R397,IF($O396=$O395,$R395)),IFERROR(INDEX($R397:$R1200,MATCH(SUBSTITUTE($I396,"-","",1),$K397:$K1200,0)))))</f>
        <v/>
      </c>
      <c r="S396" s="37" t="str">
        <f t="shared" si="1"/>
        <v/>
      </c>
      <c r="T396" s="39" t="str">
        <f t="shared" si="2"/>
        <v/>
      </c>
      <c r="U396" s="40" t="str">
        <f t="shared" si="3"/>
        <v/>
      </c>
      <c r="V396" s="34" t="str">
        <f t="shared" si="4"/>
        <v/>
      </c>
      <c r="W396" s="41" t="str">
        <f>IFERROR(__xludf.DUMMYFUNCTION(" IF(Account!$F396&lt;&gt;"""", SPLIT(Account!$F396, "" ""), """")"),"")</f>
        <v/>
      </c>
      <c r="X396" s="42"/>
      <c r="Y396" s="42"/>
      <c r="Z396" s="42"/>
      <c r="AA396" s="42"/>
      <c r="AB396" s="42"/>
      <c r="AC396" s="42"/>
      <c r="AD396" s="42"/>
      <c r="AE396" s="42"/>
      <c r="AF396" s="42"/>
      <c r="AG396" s="42"/>
      <c r="AH396" s="42"/>
      <c r="AI396" s="42"/>
      <c r="AJ396" s="42"/>
      <c r="AK396" s="42"/>
    </row>
    <row r="397">
      <c r="A397" s="20"/>
      <c r="B397" s="20"/>
      <c r="C397" s="20"/>
      <c r="D397" s="20"/>
      <c r="E397" s="20"/>
      <c r="F397" s="21"/>
      <c r="G397" s="45"/>
      <c r="H397" s="20"/>
      <c r="I397" s="20"/>
      <c r="J397" s="20"/>
      <c r="K397" s="20"/>
      <c r="L397" s="21"/>
      <c r="M397" s="33" t="str">
        <f>IFERROR(__xludf.DUMMYFUNCTION("IFS(W397=""Achat"",IFERROR(VALUE(X397),VALUE(REGEXREPLACE(T(X397),""[^0-9]"",""""))),W397=""Vente"",-IFERROR(VALUE(X397),VALUE(REGEXREPLACE(T(X397),""[^0-9]"",""""))),Y397=""Change"",0,Y397&lt;&gt;""Change"","""")"),"")</f>
        <v/>
      </c>
      <c r="N397" s="34" t="str">
        <f>IFERROR(__xludf.DUMMYFUNCTION("IF(Account!$F397&lt;&gt;"""", VALUE(REGEXREPLACE($I397, ""\,"", ""."")), """")"),"")</f>
        <v/>
      </c>
      <c r="O397" s="35" t="str">
        <f>IF(Account!$F397&lt;&gt;"", DATEVALUE(MID($A397,4,3) &amp; LEFT($A397,3) &amp; RIGHT($A397,4)) + TIMEVALUE($B397), "")</f>
        <v/>
      </c>
      <c r="P397" s="36" t="str">
        <f>IF(Account!$F397&lt;&gt;"", DATEVALUE(MID($C397,4,3) &amp; LEFT($C397,3) &amp; RIGHT($C397,4)), "")</f>
        <v/>
      </c>
      <c r="Q397" s="37" t="str">
        <f t="array" ref="Q397">IF($R397&lt;&gt;"",IFERROR(INDEX(ISIN!$B:$B,MATCH($R397,ISIN!$C:$C,0))),)</f>
        <v/>
      </c>
      <c r="R397" s="38" t="str">
        <f t="array" ref="R397">IF($E397&lt;&gt;"",IFERROR(INDEX(ISIN!$C:$C,MATCH($E397,ISIN!$A:$A,0)),IFERROR(INDEX($R398:$R1200,MATCH($K397,$K398:$K1200,0)))),IF(AND($Y397="change",$H397="EUR"),IF($O397=$O398,$R398,IF($O397=$O396,$R396)),IFERROR(INDEX($R398:$R1200,MATCH(SUBSTITUTE($I397,"-","",1),$K398:$K1200,0)))))</f>
        <v/>
      </c>
      <c r="S397" s="37" t="str">
        <f t="shared" si="1"/>
        <v/>
      </c>
      <c r="T397" s="39" t="str">
        <f t="shared" si="2"/>
        <v/>
      </c>
      <c r="U397" s="40" t="str">
        <f t="shared" si="3"/>
        <v/>
      </c>
      <c r="V397" s="34" t="str">
        <f t="shared" si="4"/>
        <v/>
      </c>
      <c r="W397" s="41" t="str">
        <f>IFERROR(__xludf.DUMMYFUNCTION(" IF(Account!$F397&lt;&gt;"""", SPLIT(Account!$F397, "" ""), """")"),"")</f>
        <v/>
      </c>
      <c r="X397" s="42"/>
      <c r="Y397" s="42"/>
      <c r="Z397" s="42"/>
      <c r="AA397" s="42"/>
      <c r="AB397" s="42"/>
      <c r="AC397" s="42"/>
      <c r="AD397" s="42"/>
      <c r="AE397" s="42"/>
      <c r="AF397" s="42"/>
      <c r="AG397" s="42"/>
      <c r="AH397" s="42"/>
      <c r="AI397" s="42"/>
      <c r="AJ397" s="42"/>
      <c r="AK397" s="42"/>
    </row>
    <row r="398">
      <c r="A398" s="20"/>
      <c r="B398" s="20"/>
      <c r="C398" s="20"/>
      <c r="D398" s="20"/>
      <c r="E398" s="20"/>
      <c r="F398" s="21"/>
      <c r="G398" s="20"/>
      <c r="H398" s="20"/>
      <c r="I398" s="20"/>
      <c r="J398" s="20"/>
      <c r="K398" s="20"/>
      <c r="L398" s="21"/>
      <c r="M398" s="33" t="str">
        <f>IFERROR(__xludf.DUMMYFUNCTION("IFS(W398=""Achat"",IFERROR(VALUE(X398),VALUE(REGEXREPLACE(T(X398),""[^0-9]"",""""))),W398=""Vente"",-IFERROR(VALUE(X398),VALUE(REGEXREPLACE(T(X398),""[^0-9]"",""""))),Y398=""Change"",0,Y398&lt;&gt;""Change"","""")"),"")</f>
        <v/>
      </c>
      <c r="N398" s="34" t="str">
        <f>IFERROR(__xludf.DUMMYFUNCTION("IF(Account!$F398&lt;&gt;"""", VALUE(REGEXREPLACE($I398, ""\,"", ""."")), """")"),"")</f>
        <v/>
      </c>
      <c r="O398" s="35" t="str">
        <f>IF(Account!$F398&lt;&gt;"", DATEVALUE(MID($A398,4,3) &amp; LEFT($A398,3) &amp; RIGHT($A398,4)) + TIMEVALUE($B398), "")</f>
        <v/>
      </c>
      <c r="P398" s="36" t="str">
        <f>IF(Account!$F398&lt;&gt;"", DATEVALUE(MID($C398,4,3) &amp; LEFT($C398,3) &amp; RIGHT($C398,4)), "")</f>
        <v/>
      </c>
      <c r="Q398" s="37" t="str">
        <f t="array" ref="Q398">IF($R398&lt;&gt;"",IFERROR(INDEX(ISIN!$B:$B,MATCH($R398,ISIN!$C:$C,0))),)</f>
        <v/>
      </c>
      <c r="R398" s="38" t="str">
        <f t="array" ref="R398">IF($E398&lt;&gt;"",IFERROR(INDEX(ISIN!$C:$C,MATCH($E398,ISIN!$A:$A,0)),IFERROR(INDEX($R399:$R1200,MATCH($K398,$K399:$K1200,0)))),IF(AND($Y398="change",$H398="EUR"),IF($O398=$O399,$R399,IF($O398=$O397,$R397)),IFERROR(INDEX($R399:$R1200,MATCH(SUBSTITUTE($I398,"-","",1),$K399:$K1200,0)))))</f>
        <v/>
      </c>
      <c r="S398" s="37" t="str">
        <f t="shared" si="1"/>
        <v/>
      </c>
      <c r="T398" s="39" t="str">
        <f t="shared" si="2"/>
        <v/>
      </c>
      <c r="U398" s="40" t="str">
        <f t="shared" si="3"/>
        <v/>
      </c>
      <c r="V398" s="34" t="str">
        <f t="shared" si="4"/>
        <v/>
      </c>
      <c r="W398" s="41" t="str">
        <f>IFERROR(__xludf.DUMMYFUNCTION(" IF(Account!$F398&lt;&gt;"""", SPLIT(Account!$F398, "" ""), """")"),"")</f>
        <v/>
      </c>
      <c r="X398" s="42"/>
      <c r="Y398" s="42"/>
      <c r="Z398" s="42"/>
      <c r="AA398" s="42"/>
      <c r="AB398" s="42"/>
      <c r="AC398" s="42"/>
      <c r="AD398" s="42"/>
      <c r="AE398" s="42"/>
      <c r="AF398" s="42"/>
      <c r="AG398" s="42"/>
      <c r="AH398" s="42"/>
      <c r="AI398" s="42"/>
      <c r="AJ398" s="42"/>
      <c r="AK398" s="42"/>
    </row>
    <row r="399">
      <c r="A399" s="20"/>
      <c r="B399" s="20"/>
      <c r="C399" s="20"/>
      <c r="D399" s="20"/>
      <c r="E399" s="20"/>
      <c r="F399" s="21"/>
      <c r="G399" s="45"/>
      <c r="H399" s="20"/>
      <c r="I399" s="20"/>
      <c r="J399" s="20"/>
      <c r="K399" s="20"/>
      <c r="L399" s="21"/>
      <c r="M399" s="33" t="str">
        <f>IFERROR(__xludf.DUMMYFUNCTION("IFS(W399=""Achat"",IFERROR(VALUE(X399),VALUE(REGEXREPLACE(T(X399),""[^0-9]"",""""))),W399=""Vente"",-IFERROR(VALUE(X399),VALUE(REGEXREPLACE(T(X399),""[^0-9]"",""""))),Y399=""Change"",0,Y399&lt;&gt;""Change"","""")"),"")</f>
        <v/>
      </c>
      <c r="N399" s="34" t="str">
        <f>IFERROR(__xludf.DUMMYFUNCTION("IF(Account!$F399&lt;&gt;"""", VALUE(REGEXREPLACE($I399, ""\,"", ""."")), """")"),"")</f>
        <v/>
      </c>
      <c r="O399" s="35" t="str">
        <f>IF(Account!$F399&lt;&gt;"", DATEVALUE(MID($A399,4,3) &amp; LEFT($A399,3) &amp; RIGHT($A399,4)) + TIMEVALUE($B399), "")</f>
        <v/>
      </c>
      <c r="P399" s="36" t="str">
        <f>IF(Account!$F399&lt;&gt;"", DATEVALUE(MID($C399,4,3) &amp; LEFT($C399,3) &amp; RIGHT($C399,4)), "")</f>
        <v/>
      </c>
      <c r="Q399" s="37" t="str">
        <f t="array" ref="Q399">IF($R399&lt;&gt;"",IFERROR(INDEX(ISIN!$B:$B,MATCH($R399,ISIN!$C:$C,0))),)</f>
        <v/>
      </c>
      <c r="R399" s="38" t="str">
        <f t="array" ref="R399">IF($E399&lt;&gt;"",IFERROR(INDEX(ISIN!$C:$C,MATCH($E399,ISIN!$A:$A,0)),IFERROR(INDEX($R400:$R1200,MATCH($K399,$K400:$K1200,0)))),IF(AND($Y399="change",$H399="EUR"),IF($O399=$O400,$R400,IF($O399=$O398,$R398)),IFERROR(INDEX($R400:$R1200,MATCH(SUBSTITUTE($I399,"-","",1),$K400:$K1200,0)))))</f>
        <v/>
      </c>
      <c r="S399" s="37" t="str">
        <f t="shared" si="1"/>
        <v/>
      </c>
      <c r="T399" s="39" t="str">
        <f t="shared" si="2"/>
        <v/>
      </c>
      <c r="U399" s="40" t="str">
        <f t="shared" si="3"/>
        <v/>
      </c>
      <c r="V399" s="34" t="str">
        <f t="shared" si="4"/>
        <v/>
      </c>
      <c r="W399" s="41" t="str">
        <f>IFERROR(__xludf.DUMMYFUNCTION(" IF(Account!$F399&lt;&gt;"""", SPLIT(Account!$F399, "" ""), """")"),"")</f>
        <v/>
      </c>
      <c r="X399" s="42"/>
      <c r="Y399" s="42"/>
      <c r="Z399" s="42"/>
      <c r="AA399" s="42"/>
      <c r="AB399" s="42"/>
      <c r="AC399" s="42"/>
      <c r="AD399" s="42"/>
      <c r="AE399" s="42"/>
      <c r="AF399" s="42"/>
      <c r="AG399" s="42"/>
      <c r="AH399" s="42"/>
      <c r="AI399" s="42"/>
      <c r="AJ399" s="42"/>
      <c r="AK399" s="42"/>
    </row>
    <row r="400">
      <c r="A400" s="20"/>
      <c r="B400" s="20"/>
      <c r="C400" s="20"/>
      <c r="D400" s="20"/>
      <c r="E400" s="20"/>
      <c r="F400" s="21"/>
      <c r="G400" s="20"/>
      <c r="H400" s="20"/>
      <c r="I400" s="20"/>
      <c r="J400" s="20"/>
      <c r="K400" s="20"/>
      <c r="L400" s="21"/>
      <c r="M400" s="33" t="str">
        <f>IFERROR(__xludf.DUMMYFUNCTION("IFS(W400=""Achat"",IFERROR(VALUE(X400),VALUE(REGEXREPLACE(T(X400),""[^0-9]"",""""))),W400=""Vente"",-IFERROR(VALUE(X400),VALUE(REGEXREPLACE(T(X400),""[^0-9]"",""""))),Y400=""Change"",0,Y400&lt;&gt;""Change"","""")"),"")</f>
        <v/>
      </c>
      <c r="N400" s="34" t="str">
        <f>IFERROR(__xludf.DUMMYFUNCTION("IF(Account!$F400&lt;&gt;"""", VALUE(REGEXREPLACE($I400, ""\,"", ""."")), """")"),"")</f>
        <v/>
      </c>
      <c r="O400" s="35" t="str">
        <f>IF(Account!$F400&lt;&gt;"", DATEVALUE(MID($A400,4,3) &amp; LEFT($A400,3) &amp; RIGHT($A400,4)) + TIMEVALUE($B400), "")</f>
        <v/>
      </c>
      <c r="P400" s="36" t="str">
        <f>IF(Account!$F400&lt;&gt;"", DATEVALUE(MID($C400,4,3) &amp; LEFT($C400,3) &amp; RIGHT($C400,4)), "")</f>
        <v/>
      </c>
      <c r="Q400" s="37" t="str">
        <f t="array" ref="Q400">IF($R400&lt;&gt;"",IFERROR(INDEX(ISIN!$B:$B,MATCH($R400,ISIN!$C:$C,0))),)</f>
        <v/>
      </c>
      <c r="R400" s="38" t="str">
        <f t="array" ref="R400">IF($E400&lt;&gt;"",IFERROR(INDEX(ISIN!$C:$C,MATCH($E400,ISIN!$A:$A,0)),IFERROR(INDEX($R401:$R1200,MATCH($K400,$K401:$K1200,0)))),IF(AND($Y400="change",$H400="EUR"),IF($O400=$O401,$R401,IF($O400=$O399,$R399)),IFERROR(INDEX($R401:$R1200,MATCH(SUBSTITUTE($I400,"-","",1),$K401:$K1200,0)))))</f>
        <v/>
      </c>
      <c r="S400" s="37" t="str">
        <f t="shared" si="1"/>
        <v/>
      </c>
      <c r="T400" s="39" t="str">
        <f t="shared" si="2"/>
        <v/>
      </c>
      <c r="U400" s="40" t="str">
        <f t="shared" si="3"/>
        <v/>
      </c>
      <c r="V400" s="34" t="str">
        <f t="shared" si="4"/>
        <v/>
      </c>
      <c r="W400" s="41" t="str">
        <f>IFERROR(__xludf.DUMMYFUNCTION(" IF(Account!$F400&lt;&gt;"""", SPLIT(Account!$F400, "" ""), """")"),"")</f>
        <v/>
      </c>
      <c r="X400" s="42"/>
      <c r="Y400" s="42"/>
      <c r="Z400" s="42"/>
      <c r="AA400" s="42"/>
      <c r="AB400" s="42"/>
      <c r="AC400" s="42"/>
      <c r="AD400" s="42"/>
      <c r="AE400" s="42"/>
      <c r="AF400" s="42"/>
      <c r="AG400" s="42"/>
      <c r="AH400" s="42"/>
      <c r="AI400" s="42"/>
      <c r="AJ400" s="42"/>
      <c r="AK400" s="42"/>
    </row>
    <row r="401">
      <c r="A401" s="20"/>
      <c r="B401" s="20"/>
      <c r="C401" s="20"/>
      <c r="D401" s="20"/>
      <c r="E401" s="20"/>
      <c r="F401" s="21"/>
      <c r="G401" s="45"/>
      <c r="H401" s="20"/>
      <c r="I401" s="20"/>
      <c r="J401" s="20"/>
      <c r="K401" s="20"/>
      <c r="L401" s="21"/>
      <c r="M401" s="33" t="str">
        <f>IFERROR(__xludf.DUMMYFUNCTION("IFS(W401=""Achat"",IFERROR(VALUE(X401),VALUE(REGEXREPLACE(T(X401),""[^0-9]"",""""))),W401=""Vente"",-IFERROR(VALUE(X401),VALUE(REGEXREPLACE(T(X401),""[^0-9]"",""""))),Y401=""Change"",0,Y401&lt;&gt;""Change"","""")"),"")</f>
        <v/>
      </c>
      <c r="N401" s="34" t="str">
        <f>IFERROR(__xludf.DUMMYFUNCTION("IF(Account!$F401&lt;&gt;"""", VALUE(REGEXREPLACE($I401, ""\,"", ""."")), """")"),"")</f>
        <v/>
      </c>
      <c r="O401" s="35" t="str">
        <f>IF(Account!$F401&lt;&gt;"", DATEVALUE(MID($A401,4,3) &amp; LEFT($A401,3) &amp; RIGHT($A401,4)) + TIMEVALUE($B401), "")</f>
        <v/>
      </c>
      <c r="P401" s="36" t="str">
        <f>IF(Account!$F401&lt;&gt;"", DATEVALUE(MID($C401,4,3) &amp; LEFT($C401,3) &amp; RIGHT($C401,4)), "")</f>
        <v/>
      </c>
      <c r="Q401" s="37" t="str">
        <f t="array" ref="Q401">IF($R401&lt;&gt;"",IFERROR(INDEX(ISIN!$B:$B,MATCH($R401,ISIN!$C:$C,0))),)</f>
        <v/>
      </c>
      <c r="R401" s="38" t="str">
        <f t="array" ref="R401">IF($E401&lt;&gt;"",IFERROR(INDEX(ISIN!$C:$C,MATCH($E401,ISIN!$A:$A,0)),IFERROR(INDEX($R402:$R1200,MATCH($K401,$K402:$K1200,0)))),IF(AND($Y401="change",$H401="EUR"),IF($O401=$O402,$R402,IF($O401=$O400,$R400)),IFERROR(INDEX($R402:$R1200,MATCH(SUBSTITUTE($I401,"-","",1),$K402:$K1200,0)))))</f>
        <v/>
      </c>
      <c r="S401" s="37" t="str">
        <f t="shared" si="1"/>
        <v/>
      </c>
      <c r="T401" s="39" t="str">
        <f t="shared" si="2"/>
        <v/>
      </c>
      <c r="U401" s="40" t="str">
        <f t="shared" si="3"/>
        <v/>
      </c>
      <c r="V401" s="34" t="str">
        <f t="shared" si="4"/>
        <v/>
      </c>
      <c r="W401" s="41" t="str">
        <f>IFERROR(__xludf.DUMMYFUNCTION(" IF(Account!$F401&lt;&gt;"""", SPLIT(Account!$F401, "" ""), """")"),"")</f>
        <v/>
      </c>
      <c r="X401" s="42"/>
      <c r="Y401" s="42"/>
      <c r="Z401" s="42"/>
      <c r="AA401" s="42"/>
      <c r="AB401" s="42"/>
      <c r="AC401" s="42"/>
      <c r="AD401" s="42"/>
      <c r="AE401" s="42"/>
      <c r="AF401" s="42"/>
      <c r="AG401" s="42"/>
      <c r="AH401" s="42"/>
      <c r="AI401" s="42"/>
      <c r="AJ401" s="42"/>
      <c r="AK401" s="42"/>
    </row>
    <row r="402">
      <c r="A402" s="20"/>
      <c r="B402" s="20"/>
      <c r="C402" s="20"/>
      <c r="D402" s="20"/>
      <c r="E402" s="20"/>
      <c r="F402" s="21"/>
      <c r="G402" s="20"/>
      <c r="H402" s="20"/>
      <c r="I402" s="20"/>
      <c r="J402" s="20"/>
      <c r="K402" s="20"/>
      <c r="L402" s="21"/>
      <c r="M402" s="33" t="str">
        <f>IFERROR(__xludf.DUMMYFUNCTION("IFS(W402=""Achat"",IFERROR(VALUE(X402),VALUE(REGEXREPLACE(T(X402),""[^0-9]"",""""))),W402=""Vente"",-IFERROR(VALUE(X402),VALUE(REGEXREPLACE(T(X402),""[^0-9]"",""""))),Y402=""Change"",0,Y402&lt;&gt;""Change"","""")"),"")</f>
        <v/>
      </c>
      <c r="N402" s="34" t="str">
        <f>IFERROR(__xludf.DUMMYFUNCTION("IF(Account!$F402&lt;&gt;"""", VALUE(REGEXREPLACE($I402, ""\,"", ""."")), """")"),"")</f>
        <v/>
      </c>
      <c r="O402" s="35" t="str">
        <f>IF(Account!$F402&lt;&gt;"", DATEVALUE(MID($A402,4,3) &amp; LEFT($A402,3) &amp; RIGHT($A402,4)) + TIMEVALUE($B402), "")</f>
        <v/>
      </c>
      <c r="P402" s="36" t="str">
        <f>IF(Account!$F402&lt;&gt;"", DATEVALUE(MID($C402,4,3) &amp; LEFT($C402,3) &amp; RIGHT($C402,4)), "")</f>
        <v/>
      </c>
      <c r="Q402" s="37" t="str">
        <f t="array" ref="Q402">IF($R402&lt;&gt;"",IFERROR(INDEX(ISIN!$B:$B,MATCH($R402,ISIN!$C:$C,0))),)</f>
        <v/>
      </c>
      <c r="R402" s="38" t="str">
        <f t="array" ref="R402">IF($E402&lt;&gt;"",IFERROR(INDEX(ISIN!$C:$C,MATCH($E402,ISIN!$A:$A,0)),IFERROR(INDEX($R403:$R1200,MATCH($K402,$K403:$K1200,0)))),IF(AND($Y402="change",$H402="EUR"),IF($O402=$O403,$R403,IF($O402=$O401,$R401)),IFERROR(INDEX($R403:$R1200,MATCH(SUBSTITUTE($I402,"-","",1),$K403:$K1200,0)))))</f>
        <v/>
      </c>
      <c r="S402" s="37" t="str">
        <f t="shared" si="1"/>
        <v/>
      </c>
      <c r="T402" s="39" t="str">
        <f t="shared" si="2"/>
        <v/>
      </c>
      <c r="U402" s="40" t="str">
        <f t="shared" si="3"/>
        <v/>
      </c>
      <c r="V402" s="34" t="str">
        <f t="shared" si="4"/>
        <v/>
      </c>
      <c r="W402" s="41" t="str">
        <f>IFERROR(__xludf.DUMMYFUNCTION(" IF(Account!$F402&lt;&gt;"""", SPLIT(Account!$F402, "" ""), """")"),"")</f>
        <v/>
      </c>
      <c r="X402" s="42"/>
      <c r="Y402" s="42"/>
      <c r="Z402" s="42"/>
      <c r="AA402" s="42"/>
      <c r="AB402" s="42"/>
      <c r="AC402" s="42"/>
      <c r="AD402" s="42"/>
      <c r="AE402" s="42"/>
      <c r="AF402" s="42"/>
      <c r="AG402" s="42"/>
      <c r="AH402" s="42"/>
      <c r="AI402" s="42"/>
      <c r="AJ402" s="42"/>
      <c r="AK402" s="42"/>
    </row>
    <row r="403">
      <c r="A403" s="20"/>
      <c r="B403" s="20"/>
      <c r="C403" s="20"/>
      <c r="D403" s="20"/>
      <c r="E403" s="20"/>
      <c r="F403" s="21"/>
      <c r="G403" s="20"/>
      <c r="H403" s="20"/>
      <c r="I403" s="20"/>
      <c r="J403" s="20"/>
      <c r="K403" s="20"/>
      <c r="L403" s="21"/>
      <c r="M403" s="33" t="str">
        <f>IFERROR(__xludf.DUMMYFUNCTION("IFS(W403=""Achat"",IFERROR(VALUE(X403),VALUE(REGEXREPLACE(T(X403),""[^0-9]"",""""))),W403=""Vente"",-IFERROR(VALUE(X403),VALUE(REGEXREPLACE(T(X403),""[^0-9]"",""""))),Y403=""Change"",0,Y403&lt;&gt;""Change"","""")"),"")</f>
        <v/>
      </c>
      <c r="N403" s="34" t="str">
        <f>IFERROR(__xludf.DUMMYFUNCTION("IF(Account!$F403&lt;&gt;"""", VALUE(REGEXREPLACE($I403, ""\,"", ""."")), """")"),"")</f>
        <v/>
      </c>
      <c r="O403" s="35" t="str">
        <f>IF(Account!$F403&lt;&gt;"", DATEVALUE(MID($A403,4,3) &amp; LEFT($A403,3) &amp; RIGHT($A403,4)) + TIMEVALUE($B403), "")</f>
        <v/>
      </c>
      <c r="P403" s="36" t="str">
        <f>IF(Account!$F403&lt;&gt;"", DATEVALUE(MID($C403,4,3) &amp; LEFT($C403,3) &amp; RIGHT($C403,4)), "")</f>
        <v/>
      </c>
      <c r="Q403" s="37" t="str">
        <f t="array" ref="Q403">IF($R403&lt;&gt;"",IFERROR(INDEX(ISIN!$B:$B,MATCH($R403,ISIN!$C:$C,0))),)</f>
        <v/>
      </c>
      <c r="R403" s="38" t="str">
        <f t="array" ref="R403">IF($E403&lt;&gt;"",IFERROR(INDEX(ISIN!$C:$C,MATCH($E403,ISIN!$A:$A,0)),IFERROR(INDEX($R404:$R1200,MATCH($K403,$K404:$K1200,0)))),IF(AND($Y403="change",$H403="EUR"),IF($O403=$O404,$R404,IF($O403=$O402,$R402)),IFERROR(INDEX($R404:$R1200,MATCH(SUBSTITUTE($I403,"-","",1),$K404:$K1200,0)))))</f>
        <v/>
      </c>
      <c r="S403" s="37" t="str">
        <f t="shared" si="1"/>
        <v/>
      </c>
      <c r="T403" s="39" t="str">
        <f t="shared" si="2"/>
        <v/>
      </c>
      <c r="U403" s="40" t="str">
        <f t="shared" si="3"/>
        <v/>
      </c>
      <c r="V403" s="34" t="str">
        <f t="shared" si="4"/>
        <v/>
      </c>
      <c r="W403" s="41" t="str">
        <f>IFERROR(__xludf.DUMMYFUNCTION(" IF(Account!$F403&lt;&gt;"""", SPLIT(Account!$F403, "" ""), """")"),"")</f>
        <v/>
      </c>
      <c r="X403" s="42"/>
      <c r="Y403" s="42"/>
      <c r="Z403" s="42"/>
      <c r="AA403" s="42"/>
      <c r="AB403" s="42"/>
      <c r="AC403" s="42"/>
      <c r="AD403" s="42"/>
      <c r="AE403" s="42"/>
      <c r="AF403" s="42"/>
      <c r="AG403" s="42"/>
      <c r="AH403" s="42"/>
      <c r="AI403" s="42"/>
      <c r="AJ403" s="42"/>
      <c r="AK403" s="42"/>
    </row>
    <row r="404">
      <c r="A404" s="20"/>
      <c r="B404" s="20"/>
      <c r="C404" s="20"/>
      <c r="D404" s="20"/>
      <c r="E404" s="20"/>
      <c r="F404" s="21"/>
      <c r="G404" s="20"/>
      <c r="H404" s="20"/>
      <c r="I404" s="20"/>
      <c r="J404" s="20"/>
      <c r="K404" s="20"/>
      <c r="L404" s="21"/>
      <c r="M404" s="33" t="str">
        <f>IFERROR(__xludf.DUMMYFUNCTION("IFS(W404=""Achat"",IFERROR(VALUE(X404),VALUE(REGEXREPLACE(T(X404),""[^0-9]"",""""))),W404=""Vente"",-IFERROR(VALUE(X404),VALUE(REGEXREPLACE(T(X404),""[^0-9]"",""""))),Y404=""Change"",0,Y404&lt;&gt;""Change"","""")"),"")</f>
        <v/>
      </c>
      <c r="N404" s="34" t="str">
        <f>IFERROR(__xludf.DUMMYFUNCTION("IF(Account!$F404&lt;&gt;"""", VALUE(REGEXREPLACE($I404, ""\,"", ""."")), """")"),"")</f>
        <v/>
      </c>
      <c r="O404" s="35" t="str">
        <f>IF(Account!$F404&lt;&gt;"", DATEVALUE(MID($A404,4,3) &amp; LEFT($A404,3) &amp; RIGHT($A404,4)) + TIMEVALUE($B404), "")</f>
        <v/>
      </c>
      <c r="P404" s="36" t="str">
        <f>IF(Account!$F404&lt;&gt;"", DATEVALUE(MID($C404,4,3) &amp; LEFT($C404,3) &amp; RIGHT($C404,4)), "")</f>
        <v/>
      </c>
      <c r="Q404" s="37" t="str">
        <f t="array" ref="Q404">IF($R404&lt;&gt;"",IFERROR(INDEX(ISIN!$B:$B,MATCH($R404,ISIN!$C:$C,0))),)</f>
        <v/>
      </c>
      <c r="R404" s="38" t="str">
        <f t="array" ref="R404">IF($E404&lt;&gt;"",IFERROR(INDEX(ISIN!$C:$C,MATCH($E404,ISIN!$A:$A,0)),IFERROR(INDEX($R405:$R1200,MATCH($K404,$K405:$K1200,0)))),IF(AND($Y404="change",$H404="EUR"),IF($O404=$O405,$R405,IF($O404=$O403,$R403)),IFERROR(INDEX($R405:$R1200,MATCH(SUBSTITUTE($I404,"-","",1),$K405:$K1200,0)))))</f>
        <v/>
      </c>
      <c r="S404" s="37" t="str">
        <f t="shared" si="1"/>
        <v/>
      </c>
      <c r="T404" s="39" t="str">
        <f t="shared" si="2"/>
        <v/>
      </c>
      <c r="U404" s="40" t="str">
        <f t="shared" si="3"/>
        <v/>
      </c>
      <c r="V404" s="34" t="str">
        <f t="shared" si="4"/>
        <v/>
      </c>
      <c r="W404" s="41" t="str">
        <f>IFERROR(__xludf.DUMMYFUNCTION(" IF(Account!$F404&lt;&gt;"""", SPLIT(Account!$F404, "" ""), """")"),"")</f>
        <v/>
      </c>
      <c r="X404" s="42"/>
      <c r="Y404" s="42"/>
      <c r="Z404" s="42"/>
      <c r="AA404" s="42"/>
      <c r="AB404" s="42"/>
      <c r="AC404" s="42"/>
      <c r="AD404" s="42"/>
      <c r="AE404" s="42"/>
      <c r="AF404" s="42"/>
      <c r="AG404" s="42"/>
      <c r="AH404" s="42"/>
      <c r="AI404" s="42"/>
      <c r="AJ404" s="42"/>
      <c r="AK404" s="42"/>
    </row>
    <row r="405">
      <c r="A405" s="20"/>
      <c r="B405" s="20"/>
      <c r="C405" s="20"/>
      <c r="D405" s="20"/>
      <c r="E405" s="20"/>
      <c r="F405" s="21"/>
      <c r="G405" s="45"/>
      <c r="H405" s="20"/>
      <c r="I405" s="20"/>
      <c r="J405" s="20"/>
      <c r="K405" s="20"/>
      <c r="L405" s="21"/>
      <c r="M405" s="33" t="str">
        <f>IFERROR(__xludf.DUMMYFUNCTION("IFS(W405=""Achat"",IFERROR(VALUE(X405),VALUE(REGEXREPLACE(T(X405),""[^0-9]"",""""))),W405=""Vente"",-IFERROR(VALUE(X405),VALUE(REGEXREPLACE(T(X405),""[^0-9]"",""""))),Y405=""Change"",0,Y405&lt;&gt;""Change"","""")"),"")</f>
        <v/>
      </c>
      <c r="N405" s="34" t="str">
        <f>IFERROR(__xludf.DUMMYFUNCTION("IF(Account!$F405&lt;&gt;"""", VALUE(REGEXREPLACE($I405, ""\,"", ""."")), """")"),"")</f>
        <v/>
      </c>
      <c r="O405" s="35" t="str">
        <f>IF(Account!$F405&lt;&gt;"", DATEVALUE(MID($A405,4,3) &amp; LEFT($A405,3) &amp; RIGHT($A405,4)) + TIMEVALUE($B405), "")</f>
        <v/>
      </c>
      <c r="P405" s="36" t="str">
        <f>IF(Account!$F405&lt;&gt;"", DATEVALUE(MID($C405,4,3) &amp; LEFT($C405,3) &amp; RIGHT($C405,4)), "")</f>
        <v/>
      </c>
      <c r="Q405" s="37" t="str">
        <f t="array" ref="Q405">IF($R405&lt;&gt;"",IFERROR(INDEX(ISIN!$B:$B,MATCH($R405,ISIN!$C:$C,0))),)</f>
        <v/>
      </c>
      <c r="R405" s="38" t="str">
        <f t="array" ref="R405">IF($E405&lt;&gt;"",IFERROR(INDEX(ISIN!$C:$C,MATCH($E405,ISIN!$A:$A,0)),IFERROR(INDEX($R406:$R1200,MATCH($K405,$K406:$K1200,0)))),IF(AND($Y405="change",$H405="EUR"),IF($O405=$O406,$R406,IF($O405=$O404,$R404)),IFERROR(INDEX($R406:$R1200,MATCH(SUBSTITUTE($I405,"-","",1),$K406:$K1200,0)))))</f>
        <v/>
      </c>
      <c r="S405" s="37" t="str">
        <f t="shared" si="1"/>
        <v/>
      </c>
      <c r="T405" s="39" t="str">
        <f t="shared" si="2"/>
        <v/>
      </c>
      <c r="U405" s="40" t="str">
        <f t="shared" si="3"/>
        <v/>
      </c>
      <c r="V405" s="34" t="str">
        <f t="shared" si="4"/>
        <v/>
      </c>
      <c r="W405" s="41" t="str">
        <f>IFERROR(__xludf.DUMMYFUNCTION(" IF(Account!$F405&lt;&gt;"""", SPLIT(Account!$F405, "" ""), """")"),"")</f>
        <v/>
      </c>
      <c r="X405" s="42"/>
      <c r="Y405" s="42"/>
      <c r="Z405" s="42"/>
      <c r="AA405" s="42"/>
      <c r="AB405" s="42"/>
      <c r="AC405" s="42"/>
      <c r="AD405" s="42"/>
      <c r="AE405" s="42"/>
      <c r="AF405" s="42"/>
      <c r="AG405" s="42"/>
      <c r="AH405" s="42"/>
      <c r="AI405" s="42"/>
      <c r="AJ405" s="42"/>
      <c r="AK405" s="42"/>
    </row>
    <row r="406">
      <c r="A406" s="20"/>
      <c r="B406" s="20"/>
      <c r="C406" s="20"/>
      <c r="D406" s="20"/>
      <c r="E406" s="20"/>
      <c r="F406" s="21"/>
      <c r="G406" s="20"/>
      <c r="H406" s="20"/>
      <c r="I406" s="20"/>
      <c r="J406" s="20"/>
      <c r="K406" s="20"/>
      <c r="L406" s="21"/>
      <c r="M406" s="33" t="str">
        <f>IFERROR(__xludf.DUMMYFUNCTION("IFS(W406=""Achat"",IFERROR(VALUE(X406),VALUE(REGEXREPLACE(T(X406),""[^0-9]"",""""))),W406=""Vente"",-IFERROR(VALUE(X406),VALUE(REGEXREPLACE(T(X406),""[^0-9]"",""""))),Y406=""Change"",0,Y406&lt;&gt;""Change"","""")"),"")</f>
        <v/>
      </c>
      <c r="N406" s="34" t="str">
        <f>IFERROR(__xludf.DUMMYFUNCTION("IF(Account!$F406&lt;&gt;"""", VALUE(REGEXREPLACE($I406, ""\,"", ""."")), """")"),"")</f>
        <v/>
      </c>
      <c r="O406" s="35" t="str">
        <f>IF(Account!$F406&lt;&gt;"", DATEVALUE(MID($A406,4,3) &amp; LEFT($A406,3) &amp; RIGHT($A406,4)) + TIMEVALUE($B406), "")</f>
        <v/>
      </c>
      <c r="P406" s="36" t="str">
        <f>IF(Account!$F406&lt;&gt;"", DATEVALUE(MID($C406,4,3) &amp; LEFT($C406,3) &amp; RIGHT($C406,4)), "")</f>
        <v/>
      </c>
      <c r="Q406" s="37" t="str">
        <f t="array" ref="Q406">IF($R406&lt;&gt;"",IFERROR(INDEX(ISIN!$B:$B,MATCH($R406,ISIN!$C:$C,0))),)</f>
        <v/>
      </c>
      <c r="R406" s="38" t="str">
        <f t="array" ref="R406">IF($E406&lt;&gt;"",IFERROR(INDEX(ISIN!$C:$C,MATCH($E406,ISIN!$A:$A,0)),IFERROR(INDEX($R407:$R1200,MATCH($K406,$K407:$K1200,0)))),IF(AND($Y406="change",$H406="EUR"),IF($O406=$O407,$R407,IF($O406=$O405,$R405)),IFERROR(INDEX($R407:$R1200,MATCH(SUBSTITUTE($I406,"-","",1),$K407:$K1200,0)))))</f>
        <v/>
      </c>
      <c r="S406" s="37" t="str">
        <f t="shared" si="1"/>
        <v/>
      </c>
      <c r="T406" s="39" t="str">
        <f t="shared" si="2"/>
        <v/>
      </c>
      <c r="U406" s="40" t="str">
        <f t="shared" si="3"/>
        <v/>
      </c>
      <c r="V406" s="34" t="str">
        <f t="shared" si="4"/>
        <v/>
      </c>
      <c r="W406" s="41" t="str">
        <f>IFERROR(__xludf.DUMMYFUNCTION(" IF(Account!$F406&lt;&gt;"""", SPLIT(Account!$F406, "" ""), """")"),"")</f>
        <v/>
      </c>
      <c r="X406" s="42"/>
      <c r="Y406" s="42"/>
      <c r="Z406" s="42"/>
      <c r="AA406" s="42"/>
      <c r="AB406" s="42"/>
      <c r="AC406" s="42"/>
      <c r="AD406" s="42"/>
      <c r="AE406" s="42"/>
      <c r="AF406" s="42"/>
      <c r="AG406" s="42"/>
      <c r="AH406" s="42"/>
      <c r="AI406" s="42"/>
      <c r="AJ406" s="42"/>
      <c r="AK406" s="42"/>
    </row>
    <row r="407">
      <c r="A407" s="20"/>
      <c r="B407" s="20"/>
      <c r="C407" s="20"/>
      <c r="D407" s="20"/>
      <c r="E407" s="20"/>
      <c r="F407" s="21"/>
      <c r="G407" s="45"/>
      <c r="H407" s="20"/>
      <c r="I407" s="20"/>
      <c r="J407" s="20"/>
      <c r="K407" s="20"/>
      <c r="L407" s="21"/>
      <c r="M407" s="33" t="str">
        <f>IFERROR(__xludf.DUMMYFUNCTION("IFS(W407=""Achat"",IFERROR(VALUE(X407),VALUE(REGEXREPLACE(T(X407),""[^0-9]"",""""))),W407=""Vente"",-IFERROR(VALUE(X407),VALUE(REGEXREPLACE(T(X407),""[^0-9]"",""""))),Y407=""Change"",0,Y407&lt;&gt;""Change"","""")"),"")</f>
        <v/>
      </c>
      <c r="N407" s="34" t="str">
        <f>IFERROR(__xludf.DUMMYFUNCTION("IF(Account!$F407&lt;&gt;"""", VALUE(REGEXREPLACE($I407, ""\,"", ""."")), """")"),"")</f>
        <v/>
      </c>
      <c r="O407" s="35" t="str">
        <f>IF(Account!$F407&lt;&gt;"", DATEVALUE(MID($A407,4,3) &amp; LEFT($A407,3) &amp; RIGHT($A407,4)) + TIMEVALUE($B407), "")</f>
        <v/>
      </c>
      <c r="P407" s="36" t="str">
        <f>IF(Account!$F407&lt;&gt;"", DATEVALUE(MID($C407,4,3) &amp; LEFT($C407,3) &amp; RIGHT($C407,4)), "")</f>
        <v/>
      </c>
      <c r="Q407" s="37" t="str">
        <f t="array" ref="Q407">IF($R407&lt;&gt;"",IFERROR(INDEX(ISIN!$B:$B,MATCH($R407,ISIN!$C:$C,0))),)</f>
        <v/>
      </c>
      <c r="R407" s="38" t="str">
        <f t="array" ref="R407">IF($E407&lt;&gt;"",IFERROR(INDEX(ISIN!$C:$C,MATCH($E407,ISIN!$A:$A,0)),IFERROR(INDEX($R408:$R1200,MATCH($K407,$K408:$K1200,0)))),IF(AND($Y407="change",$H407="EUR"),IF($O407=$O408,$R408,IF($O407=$O406,$R406)),IFERROR(INDEX($R408:$R1200,MATCH(SUBSTITUTE($I407,"-","",1),$K408:$K1200,0)))))</f>
        <v/>
      </c>
      <c r="S407" s="37" t="str">
        <f t="shared" si="1"/>
        <v/>
      </c>
      <c r="T407" s="39" t="str">
        <f t="shared" si="2"/>
        <v/>
      </c>
      <c r="U407" s="40" t="str">
        <f t="shared" si="3"/>
        <v/>
      </c>
      <c r="V407" s="34" t="str">
        <f t="shared" si="4"/>
        <v/>
      </c>
      <c r="W407" s="41" t="str">
        <f>IFERROR(__xludf.DUMMYFUNCTION(" IF(Account!$F407&lt;&gt;"""", SPLIT(Account!$F407, "" ""), """")"),"")</f>
        <v/>
      </c>
      <c r="X407" s="42"/>
      <c r="Y407" s="42"/>
      <c r="Z407" s="42"/>
      <c r="AA407" s="42"/>
      <c r="AB407" s="42"/>
      <c r="AC407" s="42"/>
      <c r="AD407" s="42"/>
      <c r="AE407" s="42"/>
      <c r="AF407" s="42"/>
      <c r="AG407" s="42"/>
      <c r="AH407" s="42"/>
      <c r="AI407" s="42"/>
      <c r="AJ407" s="42"/>
      <c r="AK407" s="42"/>
    </row>
    <row r="408">
      <c r="A408" s="20"/>
      <c r="B408" s="20"/>
      <c r="C408" s="20"/>
      <c r="D408" s="20"/>
      <c r="E408" s="20"/>
      <c r="F408" s="21"/>
      <c r="G408" s="20"/>
      <c r="H408" s="20"/>
      <c r="I408" s="20"/>
      <c r="J408" s="20"/>
      <c r="K408" s="20"/>
      <c r="L408" s="21"/>
      <c r="M408" s="33" t="str">
        <f>IFERROR(__xludf.DUMMYFUNCTION("IFS(W408=""Achat"",IFERROR(VALUE(X408),VALUE(REGEXREPLACE(T(X408),""[^0-9]"",""""))),W408=""Vente"",-IFERROR(VALUE(X408),VALUE(REGEXREPLACE(T(X408),""[^0-9]"",""""))),Y408=""Change"",0,Y408&lt;&gt;""Change"","""")"),"")</f>
        <v/>
      </c>
      <c r="N408" s="34" t="str">
        <f>IFERROR(__xludf.DUMMYFUNCTION("IF(Account!$F408&lt;&gt;"""", VALUE(REGEXREPLACE($I408, ""\,"", ""."")), """")"),"")</f>
        <v/>
      </c>
      <c r="O408" s="35" t="str">
        <f>IF(Account!$F408&lt;&gt;"", DATEVALUE(MID($A408,4,3) &amp; LEFT($A408,3) &amp; RIGHT($A408,4)) + TIMEVALUE($B408), "")</f>
        <v/>
      </c>
      <c r="P408" s="36" t="str">
        <f>IF(Account!$F408&lt;&gt;"", DATEVALUE(MID($C408,4,3) &amp; LEFT($C408,3) &amp; RIGHT($C408,4)), "")</f>
        <v/>
      </c>
      <c r="Q408" s="37" t="str">
        <f t="array" ref="Q408">IF($R408&lt;&gt;"",IFERROR(INDEX(ISIN!$B:$B,MATCH($R408,ISIN!$C:$C,0))),)</f>
        <v/>
      </c>
      <c r="R408" s="38" t="str">
        <f t="array" ref="R408">IF($E408&lt;&gt;"",IFERROR(INDEX(ISIN!$C:$C,MATCH($E408,ISIN!$A:$A,0)),IFERROR(INDEX($R409:$R1200,MATCH($K408,$K409:$K1200,0)))),IF(AND($Y408="change",$H408="EUR"),IF($O408=$O409,$R409,IF($O408=$O407,$R407)),IFERROR(INDEX($R409:$R1200,MATCH(SUBSTITUTE($I408,"-","",1),$K409:$K1200,0)))))</f>
        <v/>
      </c>
      <c r="S408" s="37" t="str">
        <f t="shared" si="1"/>
        <v/>
      </c>
      <c r="T408" s="39" t="str">
        <f t="shared" si="2"/>
        <v/>
      </c>
      <c r="U408" s="40" t="str">
        <f t="shared" si="3"/>
        <v/>
      </c>
      <c r="V408" s="34" t="str">
        <f t="shared" si="4"/>
        <v/>
      </c>
      <c r="W408" s="41" t="str">
        <f>IFERROR(__xludf.DUMMYFUNCTION(" IF(Account!$F408&lt;&gt;"""", SPLIT(Account!$F408, "" ""), """")"),"")</f>
        <v/>
      </c>
      <c r="X408" s="42"/>
      <c r="Y408" s="42"/>
      <c r="Z408" s="42"/>
      <c r="AA408" s="42"/>
      <c r="AB408" s="42"/>
      <c r="AC408" s="42"/>
      <c r="AD408" s="42"/>
      <c r="AE408" s="42"/>
      <c r="AF408" s="42"/>
      <c r="AG408" s="42"/>
      <c r="AH408" s="42"/>
      <c r="AI408" s="42"/>
      <c r="AJ408" s="42"/>
      <c r="AK408" s="42"/>
    </row>
    <row r="409">
      <c r="A409" s="20"/>
      <c r="B409" s="20"/>
      <c r="C409" s="20"/>
      <c r="D409" s="20"/>
      <c r="E409" s="20"/>
      <c r="F409" s="21"/>
      <c r="G409" s="45"/>
      <c r="H409" s="20"/>
      <c r="I409" s="20"/>
      <c r="J409" s="20"/>
      <c r="K409" s="20"/>
      <c r="L409" s="21"/>
      <c r="M409" s="33" t="str">
        <f>IFERROR(__xludf.DUMMYFUNCTION("IFS(W409=""Achat"",IFERROR(VALUE(X409),VALUE(REGEXREPLACE(T(X409),""[^0-9]"",""""))),W409=""Vente"",-IFERROR(VALUE(X409),VALUE(REGEXREPLACE(T(X409),""[^0-9]"",""""))),Y409=""Change"",0,Y409&lt;&gt;""Change"","""")"),"")</f>
        <v/>
      </c>
      <c r="N409" s="34" t="str">
        <f>IFERROR(__xludf.DUMMYFUNCTION("IF(Account!$F409&lt;&gt;"""", VALUE(REGEXREPLACE($I409, ""\,"", ""."")), """")"),"")</f>
        <v/>
      </c>
      <c r="O409" s="35" t="str">
        <f>IF(Account!$F409&lt;&gt;"", DATEVALUE(MID($A409,4,3) &amp; LEFT($A409,3) &amp; RIGHT($A409,4)) + TIMEVALUE($B409), "")</f>
        <v/>
      </c>
      <c r="P409" s="36" t="str">
        <f>IF(Account!$F409&lt;&gt;"", DATEVALUE(MID($C409,4,3) &amp; LEFT($C409,3) &amp; RIGHT($C409,4)), "")</f>
        <v/>
      </c>
      <c r="Q409" s="37" t="str">
        <f t="array" ref="Q409">IF($R409&lt;&gt;"",IFERROR(INDEX(ISIN!$B:$B,MATCH($R409,ISIN!$C:$C,0))),)</f>
        <v/>
      </c>
      <c r="R409" s="38" t="str">
        <f t="array" ref="R409">IF($E409&lt;&gt;"",IFERROR(INDEX(ISIN!$C:$C,MATCH($E409,ISIN!$A:$A,0)),IFERROR(INDEX($R410:$R1200,MATCH($K409,$K410:$K1200,0)))),IF(AND($Y409="change",$H409="EUR"),IF($O409=$O410,$R410,IF($O409=$O408,$R408)),IFERROR(INDEX($R410:$R1200,MATCH(SUBSTITUTE($I409,"-","",1),$K410:$K1200,0)))))</f>
        <v/>
      </c>
      <c r="S409" s="37" t="str">
        <f t="shared" si="1"/>
        <v/>
      </c>
      <c r="T409" s="39" t="str">
        <f t="shared" si="2"/>
        <v/>
      </c>
      <c r="U409" s="40" t="str">
        <f t="shared" si="3"/>
        <v/>
      </c>
      <c r="V409" s="34" t="str">
        <f t="shared" si="4"/>
        <v/>
      </c>
      <c r="W409" s="41" t="str">
        <f>IFERROR(__xludf.DUMMYFUNCTION(" IF(Account!$F409&lt;&gt;"""", SPLIT(Account!$F409, "" ""), """")"),"")</f>
        <v/>
      </c>
      <c r="X409" s="42"/>
      <c r="Y409" s="42"/>
      <c r="Z409" s="42"/>
      <c r="AA409" s="42"/>
      <c r="AB409" s="42"/>
      <c r="AC409" s="42"/>
      <c r="AD409" s="42"/>
      <c r="AE409" s="42"/>
      <c r="AF409" s="42"/>
      <c r="AG409" s="42"/>
      <c r="AH409" s="42"/>
      <c r="AI409" s="42"/>
      <c r="AJ409" s="42"/>
      <c r="AK409" s="42"/>
    </row>
    <row r="410">
      <c r="A410" s="20"/>
      <c r="B410" s="20"/>
      <c r="C410" s="20"/>
      <c r="D410" s="20"/>
      <c r="E410" s="20"/>
      <c r="F410" s="21"/>
      <c r="G410" s="20"/>
      <c r="H410" s="20"/>
      <c r="I410" s="20"/>
      <c r="J410" s="20"/>
      <c r="K410" s="20"/>
      <c r="L410" s="21"/>
      <c r="M410" s="33" t="str">
        <f>IFERROR(__xludf.DUMMYFUNCTION("IFS(W410=""Achat"",IFERROR(VALUE(X410),VALUE(REGEXREPLACE(T(X410),""[^0-9]"",""""))),W410=""Vente"",-IFERROR(VALUE(X410),VALUE(REGEXREPLACE(T(X410),""[^0-9]"",""""))),Y410=""Change"",0,Y410&lt;&gt;""Change"","""")"),"")</f>
        <v/>
      </c>
      <c r="N410" s="34" t="str">
        <f>IFERROR(__xludf.DUMMYFUNCTION("IF(Account!$F410&lt;&gt;"""", VALUE(REGEXREPLACE($I410, ""\,"", ""."")), """")"),"")</f>
        <v/>
      </c>
      <c r="O410" s="35" t="str">
        <f>IF(Account!$F410&lt;&gt;"", DATEVALUE(MID($A410,4,3) &amp; LEFT($A410,3) &amp; RIGHT($A410,4)) + TIMEVALUE($B410), "")</f>
        <v/>
      </c>
      <c r="P410" s="36" t="str">
        <f>IF(Account!$F410&lt;&gt;"", DATEVALUE(MID($C410,4,3) &amp; LEFT($C410,3) &amp; RIGHT($C410,4)), "")</f>
        <v/>
      </c>
      <c r="Q410" s="37" t="str">
        <f t="array" ref="Q410">IF($R410&lt;&gt;"",IFERROR(INDEX(ISIN!$B:$B,MATCH($R410,ISIN!$C:$C,0))),)</f>
        <v/>
      </c>
      <c r="R410" s="38" t="str">
        <f t="array" ref="R410">IF($E410&lt;&gt;"",IFERROR(INDEX(ISIN!$C:$C,MATCH($E410,ISIN!$A:$A,0)),IFERROR(INDEX($R411:$R1200,MATCH($K410,$K411:$K1200,0)))),IF(AND($Y410="change",$H410="EUR"),IF($O410=$O411,$R411,IF($O410=$O409,$R409)),IFERROR(INDEX($R411:$R1200,MATCH(SUBSTITUTE($I410,"-","",1),$K411:$K1200,0)))))</f>
        <v/>
      </c>
      <c r="S410" s="37" t="str">
        <f t="shared" si="1"/>
        <v/>
      </c>
      <c r="T410" s="39" t="str">
        <f t="shared" si="2"/>
        <v/>
      </c>
      <c r="U410" s="40" t="str">
        <f t="shared" si="3"/>
        <v/>
      </c>
      <c r="V410" s="34" t="str">
        <f t="shared" si="4"/>
        <v/>
      </c>
      <c r="W410" s="41" t="str">
        <f>IFERROR(__xludf.DUMMYFUNCTION(" IF(Account!$F410&lt;&gt;"""", SPLIT(Account!$F410, "" ""), """")"),"")</f>
        <v/>
      </c>
      <c r="X410" s="42"/>
      <c r="Y410" s="42"/>
      <c r="Z410" s="42"/>
      <c r="AA410" s="42"/>
      <c r="AB410" s="42"/>
      <c r="AC410" s="42"/>
      <c r="AD410" s="42"/>
      <c r="AE410" s="42"/>
      <c r="AF410" s="42"/>
      <c r="AG410" s="42"/>
      <c r="AH410" s="42"/>
      <c r="AI410" s="42"/>
      <c r="AJ410" s="42"/>
      <c r="AK410" s="42"/>
    </row>
    <row r="411">
      <c r="A411" s="20"/>
      <c r="B411" s="20"/>
      <c r="C411" s="20"/>
      <c r="D411" s="20"/>
      <c r="E411" s="20"/>
      <c r="F411" s="21"/>
      <c r="G411" s="45"/>
      <c r="H411" s="20"/>
      <c r="I411" s="20"/>
      <c r="J411" s="20"/>
      <c r="K411" s="20"/>
      <c r="L411" s="21"/>
      <c r="M411" s="33" t="str">
        <f>IFERROR(__xludf.DUMMYFUNCTION("IFS(W411=""Achat"",IFERROR(VALUE(X411),VALUE(REGEXREPLACE(T(X411),""[^0-9]"",""""))),W411=""Vente"",-IFERROR(VALUE(X411),VALUE(REGEXREPLACE(T(X411),""[^0-9]"",""""))),Y411=""Change"",0,Y411&lt;&gt;""Change"","""")"),"")</f>
        <v/>
      </c>
      <c r="N411" s="34" t="str">
        <f>IFERROR(__xludf.DUMMYFUNCTION("IF(Account!$F411&lt;&gt;"""", VALUE(REGEXREPLACE($I411, ""\,"", ""."")), """")"),"")</f>
        <v/>
      </c>
      <c r="O411" s="35" t="str">
        <f>IF(Account!$F411&lt;&gt;"", DATEVALUE(MID($A411,4,3) &amp; LEFT($A411,3) &amp; RIGHT($A411,4)) + TIMEVALUE($B411), "")</f>
        <v/>
      </c>
      <c r="P411" s="36" t="str">
        <f>IF(Account!$F411&lt;&gt;"", DATEVALUE(MID($C411,4,3) &amp; LEFT($C411,3) &amp; RIGHT($C411,4)), "")</f>
        <v/>
      </c>
      <c r="Q411" s="37" t="str">
        <f t="array" ref="Q411">IF($R411&lt;&gt;"",IFERROR(INDEX(ISIN!$B:$B,MATCH($R411,ISIN!$C:$C,0))),)</f>
        <v/>
      </c>
      <c r="R411" s="38" t="str">
        <f t="array" ref="R411">IF($E411&lt;&gt;"",IFERROR(INDEX(ISIN!$C:$C,MATCH($E411,ISIN!$A:$A,0)),IFERROR(INDEX($R412:$R1200,MATCH($K411,$K412:$K1200,0)))),IF(AND($Y411="change",$H411="EUR"),IF($O411=$O412,$R412,IF($O411=$O410,$R410)),IFERROR(INDEX($R412:$R1200,MATCH(SUBSTITUTE($I411,"-","",1),$K412:$K1200,0)))))</f>
        <v/>
      </c>
      <c r="S411" s="37" t="str">
        <f t="shared" si="1"/>
        <v/>
      </c>
      <c r="T411" s="39" t="str">
        <f t="shared" si="2"/>
        <v/>
      </c>
      <c r="U411" s="40" t="str">
        <f t="shared" si="3"/>
        <v/>
      </c>
      <c r="V411" s="34" t="str">
        <f t="shared" si="4"/>
        <v/>
      </c>
      <c r="W411" s="41" t="str">
        <f>IFERROR(__xludf.DUMMYFUNCTION(" IF(Account!$F411&lt;&gt;"""", SPLIT(Account!$F411, "" ""), """")"),"")</f>
        <v/>
      </c>
      <c r="X411" s="42"/>
      <c r="Y411" s="42"/>
      <c r="Z411" s="42"/>
      <c r="AA411" s="42"/>
      <c r="AB411" s="42"/>
      <c r="AC411" s="42"/>
      <c r="AD411" s="42"/>
      <c r="AE411" s="42"/>
      <c r="AF411" s="42"/>
      <c r="AG411" s="42"/>
      <c r="AH411" s="42"/>
      <c r="AI411" s="42"/>
      <c r="AJ411" s="42"/>
      <c r="AK411" s="42"/>
    </row>
    <row r="412">
      <c r="A412" s="20"/>
      <c r="B412" s="20"/>
      <c r="C412" s="20"/>
      <c r="D412" s="20"/>
      <c r="E412" s="20"/>
      <c r="F412" s="21"/>
      <c r="G412" s="45"/>
      <c r="H412" s="20"/>
      <c r="I412" s="20"/>
      <c r="J412" s="20"/>
      <c r="K412" s="20"/>
      <c r="L412" s="21"/>
      <c r="M412" s="33" t="str">
        <f>IFERROR(__xludf.DUMMYFUNCTION("IFS(W412=""Achat"",IFERROR(VALUE(X412),VALUE(REGEXREPLACE(T(X412),""[^0-9]"",""""))),W412=""Vente"",-IFERROR(VALUE(X412),VALUE(REGEXREPLACE(T(X412),""[^0-9]"",""""))),Y412=""Change"",0,Y412&lt;&gt;""Change"","""")"),"")</f>
        <v/>
      </c>
      <c r="N412" s="34" t="str">
        <f>IFERROR(__xludf.DUMMYFUNCTION("IF(Account!$F412&lt;&gt;"""", VALUE(REGEXREPLACE($I412, ""\,"", ""."")), """")"),"")</f>
        <v/>
      </c>
      <c r="O412" s="35" t="str">
        <f>IF(Account!$F412&lt;&gt;"", DATEVALUE(MID($A412,4,3) &amp; LEFT($A412,3) &amp; RIGHT($A412,4)) + TIMEVALUE($B412), "")</f>
        <v/>
      </c>
      <c r="P412" s="36" t="str">
        <f>IF(Account!$F412&lt;&gt;"", DATEVALUE(MID($C412,4,3) &amp; LEFT($C412,3) &amp; RIGHT($C412,4)), "")</f>
        <v/>
      </c>
      <c r="Q412" s="37" t="str">
        <f t="array" ref="Q412">IF($R412&lt;&gt;"",IFERROR(INDEX(ISIN!$B:$B,MATCH($R412,ISIN!$C:$C,0))),)</f>
        <v/>
      </c>
      <c r="R412" s="38" t="str">
        <f t="array" ref="R412">IF($E412&lt;&gt;"",IFERROR(INDEX(ISIN!$C:$C,MATCH($E412,ISIN!$A:$A,0)),IFERROR(INDEX($R413:$R1200,MATCH($K412,$K413:$K1200,0)))),IF(AND($Y412="change",$H412="EUR"),IF($O412=$O413,$R413,IF($O412=$O411,$R411)),IFERROR(INDEX($R413:$R1200,MATCH(SUBSTITUTE($I412,"-","",1),$K413:$K1200,0)))))</f>
        <v/>
      </c>
      <c r="S412" s="37" t="str">
        <f t="shared" si="1"/>
        <v/>
      </c>
      <c r="T412" s="39" t="str">
        <f t="shared" si="2"/>
        <v/>
      </c>
      <c r="U412" s="40" t="str">
        <f t="shared" si="3"/>
        <v/>
      </c>
      <c r="V412" s="34" t="str">
        <f t="shared" si="4"/>
        <v/>
      </c>
      <c r="W412" s="41" t="str">
        <f>IFERROR(__xludf.DUMMYFUNCTION(" IF(Account!$F412&lt;&gt;"""", SPLIT(Account!$F412, "" ""), """")"),"")</f>
        <v/>
      </c>
      <c r="X412" s="42"/>
      <c r="Y412" s="42"/>
      <c r="Z412" s="42"/>
      <c r="AA412" s="42"/>
      <c r="AB412" s="42"/>
      <c r="AC412" s="42"/>
      <c r="AD412" s="42"/>
      <c r="AE412" s="42"/>
      <c r="AF412" s="42"/>
      <c r="AG412" s="42"/>
      <c r="AH412" s="42"/>
      <c r="AI412" s="42"/>
      <c r="AJ412" s="42"/>
      <c r="AK412" s="42"/>
    </row>
    <row r="413">
      <c r="A413" s="20"/>
      <c r="B413" s="20"/>
      <c r="C413" s="20"/>
      <c r="D413" s="20"/>
      <c r="E413" s="20"/>
      <c r="F413" s="21"/>
      <c r="G413" s="45"/>
      <c r="H413" s="20"/>
      <c r="I413" s="20"/>
      <c r="J413" s="20"/>
      <c r="K413" s="20"/>
      <c r="L413" s="21"/>
      <c r="M413" s="33" t="str">
        <f>IFERROR(__xludf.DUMMYFUNCTION("IFS(W413=""Achat"",IFERROR(VALUE(X413),VALUE(REGEXREPLACE(T(X413),""[^0-9]"",""""))),W413=""Vente"",-IFERROR(VALUE(X413),VALUE(REGEXREPLACE(T(X413),""[^0-9]"",""""))),Y413=""Change"",0,Y413&lt;&gt;""Change"","""")"),"")</f>
        <v/>
      </c>
      <c r="N413" s="34" t="str">
        <f>IFERROR(__xludf.DUMMYFUNCTION("IF(Account!$F413&lt;&gt;"""", VALUE(REGEXREPLACE($I413, ""\,"", ""."")), """")"),"")</f>
        <v/>
      </c>
      <c r="O413" s="35" t="str">
        <f>IF(Account!$F413&lt;&gt;"", DATEVALUE(MID($A413,4,3) &amp; LEFT($A413,3) &amp; RIGHT($A413,4)) + TIMEVALUE($B413), "")</f>
        <v/>
      </c>
      <c r="P413" s="36" t="str">
        <f>IF(Account!$F413&lt;&gt;"", DATEVALUE(MID($C413,4,3) &amp; LEFT($C413,3) &amp; RIGHT($C413,4)), "")</f>
        <v/>
      </c>
      <c r="Q413" s="37" t="str">
        <f t="array" ref="Q413">IF($R413&lt;&gt;"",IFERROR(INDEX(ISIN!$B:$B,MATCH($R413,ISIN!$C:$C,0))),)</f>
        <v/>
      </c>
      <c r="R413" s="38" t="str">
        <f t="array" ref="R413">IF($E413&lt;&gt;"",IFERROR(INDEX(ISIN!$C:$C,MATCH($E413,ISIN!$A:$A,0)),IFERROR(INDEX($R414:$R1200,MATCH($K413,$K414:$K1200,0)))),IF(AND($Y413="change",$H413="EUR"),IF($O413=$O414,$R414,IF($O413=$O412,$R412)),IFERROR(INDEX($R414:$R1200,MATCH(SUBSTITUTE($I413,"-","",1),$K414:$K1200,0)))))</f>
        <v/>
      </c>
      <c r="S413" s="37" t="str">
        <f t="shared" si="1"/>
        <v/>
      </c>
      <c r="T413" s="39" t="str">
        <f t="shared" si="2"/>
        <v/>
      </c>
      <c r="U413" s="40" t="str">
        <f t="shared" si="3"/>
        <v/>
      </c>
      <c r="V413" s="34" t="str">
        <f t="shared" si="4"/>
        <v/>
      </c>
      <c r="W413" s="41" t="str">
        <f>IFERROR(__xludf.DUMMYFUNCTION(" IF(Account!$F413&lt;&gt;"""", SPLIT(Account!$F413, "" ""), """")"),"")</f>
        <v/>
      </c>
      <c r="X413" s="42"/>
      <c r="Y413" s="42"/>
      <c r="Z413" s="42"/>
      <c r="AA413" s="42"/>
      <c r="AB413" s="42"/>
      <c r="AC413" s="42"/>
      <c r="AD413" s="42"/>
      <c r="AE413" s="42"/>
      <c r="AF413" s="42"/>
      <c r="AG413" s="42"/>
      <c r="AH413" s="42"/>
      <c r="AI413" s="42"/>
      <c r="AJ413" s="42"/>
      <c r="AK413" s="42"/>
    </row>
    <row r="414">
      <c r="A414" s="20"/>
      <c r="B414" s="20"/>
      <c r="C414" s="20"/>
      <c r="D414" s="20"/>
      <c r="E414" s="20"/>
      <c r="F414" s="21"/>
      <c r="G414" s="45"/>
      <c r="H414" s="20"/>
      <c r="I414" s="20"/>
      <c r="J414" s="20"/>
      <c r="K414" s="20"/>
      <c r="L414" s="21"/>
      <c r="M414" s="33" t="str">
        <f>IFERROR(__xludf.DUMMYFUNCTION("IFS(W414=""Achat"",IFERROR(VALUE(X414),VALUE(REGEXREPLACE(T(X414),""[^0-9]"",""""))),W414=""Vente"",-IFERROR(VALUE(X414),VALUE(REGEXREPLACE(T(X414),""[^0-9]"",""""))),Y414=""Change"",0,Y414&lt;&gt;""Change"","""")"),"")</f>
        <v/>
      </c>
      <c r="N414" s="34" t="str">
        <f>IFERROR(__xludf.DUMMYFUNCTION("IF(Account!$F414&lt;&gt;"""", VALUE(REGEXREPLACE($I414, ""\,"", ""."")), """")"),"")</f>
        <v/>
      </c>
      <c r="O414" s="35" t="str">
        <f>IF(Account!$F414&lt;&gt;"", DATEVALUE(MID($A414,4,3) &amp; LEFT($A414,3) &amp; RIGHT($A414,4)) + TIMEVALUE($B414), "")</f>
        <v/>
      </c>
      <c r="P414" s="36" t="str">
        <f>IF(Account!$F414&lt;&gt;"", DATEVALUE(MID($C414,4,3) &amp; LEFT($C414,3) &amp; RIGHT($C414,4)), "")</f>
        <v/>
      </c>
      <c r="Q414" s="37" t="str">
        <f t="array" ref="Q414">IF($R414&lt;&gt;"",IFERROR(INDEX(ISIN!$B:$B,MATCH($R414,ISIN!$C:$C,0))),)</f>
        <v/>
      </c>
      <c r="R414" s="38" t="str">
        <f t="array" ref="R414">IF($E414&lt;&gt;"",IFERROR(INDEX(ISIN!$C:$C,MATCH($E414,ISIN!$A:$A,0)),IFERROR(INDEX($R415:$R1200,MATCH($K414,$K415:$K1200,0)))),IF(AND($Y414="change",$H414="EUR"),IF($O414=$O415,$R415,IF($O414=$O413,$R413)),IFERROR(INDEX($R415:$R1200,MATCH(SUBSTITUTE($I414,"-","",1),$K415:$K1200,0)))))</f>
        <v/>
      </c>
      <c r="S414" s="37" t="str">
        <f t="shared" si="1"/>
        <v/>
      </c>
      <c r="T414" s="39" t="str">
        <f t="shared" si="2"/>
        <v/>
      </c>
      <c r="U414" s="40" t="str">
        <f t="shared" si="3"/>
        <v/>
      </c>
      <c r="V414" s="34" t="str">
        <f t="shared" si="4"/>
        <v/>
      </c>
      <c r="W414" s="41" t="str">
        <f>IFERROR(__xludf.DUMMYFUNCTION(" IF(Account!$F414&lt;&gt;"""", SPLIT(Account!$F414, "" ""), """")"),"")</f>
        <v/>
      </c>
      <c r="X414" s="42"/>
      <c r="Y414" s="42"/>
      <c r="Z414" s="42"/>
      <c r="AA414" s="42"/>
      <c r="AB414" s="42"/>
      <c r="AC414" s="42"/>
      <c r="AD414" s="42"/>
      <c r="AE414" s="42"/>
      <c r="AF414" s="42"/>
      <c r="AG414" s="42"/>
      <c r="AH414" s="42"/>
      <c r="AI414" s="42"/>
      <c r="AJ414" s="42"/>
      <c r="AK414" s="42"/>
    </row>
    <row r="415">
      <c r="A415" s="20"/>
      <c r="B415" s="20"/>
      <c r="C415" s="20"/>
      <c r="D415" s="20"/>
      <c r="E415" s="20"/>
      <c r="F415" s="21"/>
      <c r="G415" s="20"/>
      <c r="H415" s="20"/>
      <c r="I415" s="20"/>
      <c r="J415" s="20"/>
      <c r="K415" s="20"/>
      <c r="L415" s="21"/>
      <c r="M415" s="33" t="str">
        <f>IFERROR(__xludf.DUMMYFUNCTION("IFS(W415=""Achat"",IFERROR(VALUE(X415),VALUE(REGEXREPLACE(T(X415),""[^0-9]"",""""))),W415=""Vente"",-IFERROR(VALUE(X415),VALUE(REGEXREPLACE(T(X415),""[^0-9]"",""""))),Y415=""Change"",0,Y415&lt;&gt;""Change"","""")"),"")</f>
        <v/>
      </c>
      <c r="N415" s="34" t="str">
        <f>IFERROR(__xludf.DUMMYFUNCTION("IF(Account!$F415&lt;&gt;"""", VALUE(REGEXREPLACE($I415, ""\,"", ""."")), """")"),"")</f>
        <v/>
      </c>
      <c r="O415" s="35" t="str">
        <f>IF(Account!$F415&lt;&gt;"", DATEVALUE(MID($A415,4,3) &amp; LEFT($A415,3) &amp; RIGHT($A415,4)) + TIMEVALUE($B415), "")</f>
        <v/>
      </c>
      <c r="P415" s="36" t="str">
        <f>IF(Account!$F415&lt;&gt;"", DATEVALUE(MID($C415,4,3) &amp; LEFT($C415,3) &amp; RIGHT($C415,4)), "")</f>
        <v/>
      </c>
      <c r="Q415" s="37" t="str">
        <f t="array" ref="Q415">IF($R415&lt;&gt;"",IFERROR(INDEX(ISIN!$B:$B,MATCH($R415,ISIN!$C:$C,0))),)</f>
        <v/>
      </c>
      <c r="R415" s="38" t="str">
        <f t="array" ref="R415">IF($E415&lt;&gt;"",IFERROR(INDEX(ISIN!$C:$C,MATCH($E415,ISIN!$A:$A,0)),IFERROR(INDEX($R416:$R1200,MATCH($K415,$K416:$K1200,0)))),IF(AND($Y415="change",$H415="EUR"),IF($O415=$O416,$R416,IF($O415=$O414,$R414)),IFERROR(INDEX($R416:$R1200,MATCH(SUBSTITUTE($I415,"-","",1),$K416:$K1200,0)))))</f>
        <v/>
      </c>
      <c r="S415" s="37" t="str">
        <f t="shared" si="1"/>
        <v/>
      </c>
      <c r="T415" s="39" t="str">
        <f t="shared" si="2"/>
        <v/>
      </c>
      <c r="U415" s="40" t="str">
        <f t="shared" si="3"/>
        <v/>
      </c>
      <c r="V415" s="34" t="str">
        <f t="shared" si="4"/>
        <v/>
      </c>
      <c r="W415" s="41" t="str">
        <f>IFERROR(__xludf.DUMMYFUNCTION(" IF(Account!$F415&lt;&gt;"""", SPLIT(Account!$F415, "" ""), """")"),"")</f>
        <v/>
      </c>
      <c r="X415" s="42"/>
      <c r="Y415" s="42"/>
      <c r="Z415" s="42"/>
      <c r="AA415" s="42"/>
      <c r="AB415" s="42"/>
      <c r="AC415" s="42"/>
      <c r="AD415" s="42"/>
      <c r="AE415" s="42"/>
      <c r="AF415" s="42"/>
      <c r="AG415" s="42"/>
      <c r="AH415" s="42"/>
      <c r="AI415" s="42"/>
      <c r="AJ415" s="42"/>
      <c r="AK415" s="42"/>
    </row>
    <row r="416">
      <c r="A416" s="20"/>
      <c r="B416" s="20"/>
      <c r="C416" s="20"/>
      <c r="D416" s="20"/>
      <c r="E416" s="20"/>
      <c r="F416" s="21"/>
      <c r="G416" s="45"/>
      <c r="H416" s="20"/>
      <c r="I416" s="20"/>
      <c r="J416" s="20"/>
      <c r="K416" s="20"/>
      <c r="L416" s="21"/>
      <c r="M416" s="33" t="str">
        <f>IFERROR(__xludf.DUMMYFUNCTION("IFS(W416=""Achat"",IFERROR(VALUE(X416),VALUE(REGEXREPLACE(T(X416),""[^0-9]"",""""))),W416=""Vente"",-IFERROR(VALUE(X416),VALUE(REGEXREPLACE(T(X416),""[^0-9]"",""""))),Y416=""Change"",0,Y416&lt;&gt;""Change"","""")"),"")</f>
        <v/>
      </c>
      <c r="N416" s="34" t="str">
        <f>IFERROR(__xludf.DUMMYFUNCTION("IF(Account!$F416&lt;&gt;"""", VALUE(REGEXREPLACE($I416, ""\,"", ""."")), """")"),"")</f>
        <v/>
      </c>
      <c r="O416" s="35" t="str">
        <f>IF(Account!$F416&lt;&gt;"", DATEVALUE(MID($A416,4,3) &amp; LEFT($A416,3) &amp; RIGHT($A416,4)) + TIMEVALUE($B416), "")</f>
        <v/>
      </c>
      <c r="P416" s="36" t="str">
        <f>IF(Account!$F416&lt;&gt;"", DATEVALUE(MID($C416,4,3) &amp; LEFT($C416,3) &amp; RIGHT($C416,4)), "")</f>
        <v/>
      </c>
      <c r="Q416" s="37" t="str">
        <f t="array" ref="Q416">IF($R416&lt;&gt;"",IFERROR(INDEX(ISIN!$B:$B,MATCH($R416,ISIN!$C:$C,0))),)</f>
        <v/>
      </c>
      <c r="R416" s="38" t="str">
        <f t="array" ref="R416">IF($E416&lt;&gt;"",IFERROR(INDEX(ISIN!$C:$C,MATCH($E416,ISIN!$A:$A,0)),IFERROR(INDEX($R417:$R1200,MATCH($K416,$K417:$K1200,0)))),IF(AND($Y416="change",$H416="EUR"),IF($O416=$O417,$R417,IF($O416=$O415,$R415)),IFERROR(INDEX($R417:$R1200,MATCH(SUBSTITUTE($I416,"-","",1),$K417:$K1200,0)))))</f>
        <v/>
      </c>
      <c r="S416" s="37" t="str">
        <f t="shared" si="1"/>
        <v/>
      </c>
      <c r="T416" s="39" t="str">
        <f t="shared" si="2"/>
        <v/>
      </c>
      <c r="U416" s="40" t="str">
        <f t="shared" si="3"/>
        <v/>
      </c>
      <c r="V416" s="34" t="str">
        <f t="shared" si="4"/>
        <v/>
      </c>
      <c r="W416" s="41" t="str">
        <f>IFERROR(__xludf.DUMMYFUNCTION(" IF(Account!$F416&lt;&gt;"""", SPLIT(Account!$F416, "" ""), """")"),"")</f>
        <v/>
      </c>
      <c r="X416" s="42"/>
      <c r="Y416" s="42"/>
      <c r="Z416" s="42"/>
      <c r="AA416" s="42"/>
      <c r="AB416" s="42"/>
      <c r="AC416" s="42"/>
      <c r="AD416" s="42"/>
      <c r="AE416" s="42"/>
      <c r="AF416" s="42"/>
      <c r="AG416" s="42"/>
      <c r="AH416" s="42"/>
      <c r="AI416" s="42"/>
      <c r="AJ416" s="42"/>
      <c r="AK416" s="42"/>
    </row>
    <row r="417">
      <c r="A417" s="20"/>
      <c r="B417" s="20"/>
      <c r="C417" s="20"/>
      <c r="D417" s="20"/>
      <c r="E417" s="20"/>
      <c r="F417" s="21"/>
      <c r="G417" s="45"/>
      <c r="H417" s="20"/>
      <c r="I417" s="20"/>
      <c r="J417" s="20"/>
      <c r="K417" s="20"/>
      <c r="L417" s="21"/>
      <c r="M417" s="33" t="str">
        <f>IFERROR(__xludf.DUMMYFUNCTION("IFS(W417=""Achat"",IFERROR(VALUE(X417),VALUE(REGEXREPLACE(T(X417),""[^0-9]"",""""))),W417=""Vente"",-IFERROR(VALUE(X417),VALUE(REGEXREPLACE(T(X417),""[^0-9]"",""""))),Y417=""Change"",0,Y417&lt;&gt;""Change"","""")"),"")</f>
        <v/>
      </c>
      <c r="N417" s="34" t="str">
        <f>IFERROR(__xludf.DUMMYFUNCTION("IF(Account!$F417&lt;&gt;"""", VALUE(REGEXREPLACE($I417, ""\,"", ""."")), """")"),"")</f>
        <v/>
      </c>
      <c r="O417" s="35" t="str">
        <f>IF(Account!$F417&lt;&gt;"", DATEVALUE(MID($A417,4,3) &amp; LEFT($A417,3) &amp; RIGHT($A417,4)) + TIMEVALUE($B417), "")</f>
        <v/>
      </c>
      <c r="P417" s="36" t="str">
        <f>IF(Account!$F417&lt;&gt;"", DATEVALUE(MID($C417,4,3) &amp; LEFT($C417,3) &amp; RIGHT($C417,4)), "")</f>
        <v/>
      </c>
      <c r="Q417" s="37" t="str">
        <f t="array" ref="Q417">IF($R417&lt;&gt;"",IFERROR(INDEX(ISIN!$B:$B,MATCH($R417,ISIN!$C:$C,0))),)</f>
        <v/>
      </c>
      <c r="R417" s="38" t="str">
        <f t="array" ref="R417">IF($E417&lt;&gt;"",IFERROR(INDEX(ISIN!$C:$C,MATCH($E417,ISIN!$A:$A,0)),IFERROR(INDEX($R418:$R1200,MATCH($K417,$K418:$K1200,0)))),IF(AND($Y417="change",$H417="EUR"),IF($O417=$O418,$R418,IF($O417=$O416,$R416)),IFERROR(INDEX($R418:$R1200,MATCH(SUBSTITUTE($I417,"-","",1),$K418:$K1200,0)))))</f>
        <v/>
      </c>
      <c r="S417" s="37" t="str">
        <f t="shared" si="1"/>
        <v/>
      </c>
      <c r="T417" s="39" t="str">
        <f t="shared" si="2"/>
        <v/>
      </c>
      <c r="U417" s="40" t="str">
        <f t="shared" si="3"/>
        <v/>
      </c>
      <c r="V417" s="34" t="str">
        <f t="shared" si="4"/>
        <v/>
      </c>
      <c r="W417" s="41" t="str">
        <f>IFERROR(__xludf.DUMMYFUNCTION(" IF(Account!$F417&lt;&gt;"""", SPLIT(Account!$F417, "" ""), """")"),"")</f>
        <v/>
      </c>
      <c r="X417" s="42"/>
      <c r="Y417" s="42"/>
      <c r="Z417" s="42"/>
      <c r="AA417" s="42"/>
      <c r="AB417" s="42"/>
      <c r="AC417" s="42"/>
      <c r="AD417" s="42"/>
      <c r="AE417" s="42"/>
      <c r="AF417" s="42"/>
      <c r="AG417" s="42"/>
      <c r="AH417" s="42"/>
      <c r="AI417" s="42"/>
      <c r="AJ417" s="42"/>
      <c r="AK417" s="42"/>
    </row>
    <row r="418">
      <c r="A418" s="20"/>
      <c r="B418" s="20"/>
      <c r="C418" s="20"/>
      <c r="D418" s="20"/>
      <c r="E418" s="20"/>
      <c r="F418" s="21"/>
      <c r="G418" s="45"/>
      <c r="H418" s="20"/>
      <c r="I418" s="20"/>
      <c r="J418" s="20"/>
      <c r="K418" s="20"/>
      <c r="L418" s="21"/>
      <c r="M418" s="33" t="str">
        <f>IFERROR(__xludf.DUMMYFUNCTION("IFS(W418=""Achat"",IFERROR(VALUE(X418),VALUE(REGEXREPLACE(T(X418),""[^0-9]"",""""))),W418=""Vente"",-IFERROR(VALUE(X418),VALUE(REGEXREPLACE(T(X418),""[^0-9]"",""""))),Y418=""Change"",0,Y418&lt;&gt;""Change"","""")"),"")</f>
        <v/>
      </c>
      <c r="N418" s="34" t="str">
        <f>IFERROR(__xludf.DUMMYFUNCTION("IF(Account!$F418&lt;&gt;"""", VALUE(REGEXREPLACE($I418, ""\,"", ""."")), """")"),"")</f>
        <v/>
      </c>
      <c r="O418" s="35" t="str">
        <f>IF(Account!$F418&lt;&gt;"", DATEVALUE(MID($A418,4,3) &amp; LEFT($A418,3) &amp; RIGHT($A418,4)) + TIMEVALUE($B418), "")</f>
        <v/>
      </c>
      <c r="P418" s="36" t="str">
        <f>IF(Account!$F418&lt;&gt;"", DATEVALUE(MID($C418,4,3) &amp; LEFT($C418,3) &amp; RIGHT($C418,4)), "")</f>
        <v/>
      </c>
      <c r="Q418" s="37" t="str">
        <f t="array" ref="Q418">IF($R418&lt;&gt;"",IFERROR(INDEX(ISIN!$B:$B,MATCH($R418,ISIN!$C:$C,0))),)</f>
        <v/>
      </c>
      <c r="R418" s="38" t="str">
        <f t="array" ref="R418">IF($E418&lt;&gt;"",IFERROR(INDEX(ISIN!$C:$C,MATCH($E418,ISIN!$A:$A,0)),IFERROR(INDEX($R419:$R1200,MATCH($K418,$K419:$K1200,0)))),IF(AND($Y418="change",$H418="EUR"),IF($O418=$O419,$R419,IF($O418=$O417,$R417)),IFERROR(INDEX($R419:$R1200,MATCH(SUBSTITUTE($I418,"-","",1),$K419:$K1200,0)))))</f>
        <v/>
      </c>
      <c r="S418" s="37" t="str">
        <f t="shared" si="1"/>
        <v/>
      </c>
      <c r="T418" s="39" t="str">
        <f t="shared" si="2"/>
        <v/>
      </c>
      <c r="U418" s="40" t="str">
        <f t="shared" si="3"/>
        <v/>
      </c>
      <c r="V418" s="34" t="str">
        <f t="shared" si="4"/>
        <v/>
      </c>
      <c r="W418" s="41" t="str">
        <f>IFERROR(__xludf.DUMMYFUNCTION(" IF(Account!$F418&lt;&gt;"""", SPLIT(Account!$F418, "" ""), """")"),"")</f>
        <v/>
      </c>
      <c r="X418" s="42"/>
      <c r="Y418" s="42"/>
      <c r="Z418" s="42"/>
      <c r="AA418" s="42"/>
      <c r="AB418" s="42"/>
      <c r="AC418" s="42"/>
      <c r="AD418" s="42"/>
      <c r="AE418" s="42"/>
      <c r="AF418" s="42"/>
      <c r="AG418" s="42"/>
      <c r="AH418" s="42"/>
      <c r="AI418" s="42"/>
      <c r="AJ418" s="42"/>
      <c r="AK418" s="42"/>
    </row>
    <row r="419">
      <c r="A419" s="20"/>
      <c r="B419" s="20"/>
      <c r="C419" s="20"/>
      <c r="D419" s="20"/>
      <c r="E419" s="20"/>
      <c r="F419" s="21"/>
      <c r="G419" s="45"/>
      <c r="H419" s="20"/>
      <c r="I419" s="20"/>
      <c r="J419" s="20"/>
      <c r="K419" s="20"/>
      <c r="L419" s="21"/>
      <c r="M419" s="33" t="str">
        <f>IFERROR(__xludf.DUMMYFUNCTION("IFS(W419=""Achat"",IFERROR(VALUE(X419),VALUE(REGEXREPLACE(T(X419),""[^0-9]"",""""))),W419=""Vente"",-IFERROR(VALUE(X419),VALUE(REGEXREPLACE(T(X419),""[^0-9]"",""""))),Y419=""Change"",0,Y419&lt;&gt;""Change"","""")"),"")</f>
        <v/>
      </c>
      <c r="N419" s="34" t="str">
        <f>IFERROR(__xludf.DUMMYFUNCTION("IF(Account!$F419&lt;&gt;"""", VALUE(REGEXREPLACE($I419, ""\,"", ""."")), """")"),"")</f>
        <v/>
      </c>
      <c r="O419" s="35" t="str">
        <f>IF(Account!$F419&lt;&gt;"", DATEVALUE(MID($A419,4,3) &amp; LEFT($A419,3) &amp; RIGHT($A419,4)) + TIMEVALUE($B419), "")</f>
        <v/>
      </c>
      <c r="P419" s="36" t="str">
        <f>IF(Account!$F419&lt;&gt;"", DATEVALUE(MID($C419,4,3) &amp; LEFT($C419,3) &amp; RIGHT($C419,4)), "")</f>
        <v/>
      </c>
      <c r="Q419" s="37" t="str">
        <f t="array" ref="Q419">IF($R419&lt;&gt;"",IFERROR(INDEX(ISIN!$B:$B,MATCH($R419,ISIN!$C:$C,0))),)</f>
        <v/>
      </c>
      <c r="R419" s="38" t="str">
        <f t="array" ref="R419">IF($E419&lt;&gt;"",IFERROR(INDEX(ISIN!$C:$C,MATCH($E419,ISIN!$A:$A,0)),IFERROR(INDEX($R420:$R1200,MATCH($K419,$K420:$K1200,0)))),IF(AND($Y419="change",$H419="EUR"),IF($O419=$O420,$R420,IF($O419=$O418,$R418)),IFERROR(INDEX($R420:$R1200,MATCH(SUBSTITUTE($I419,"-","",1),$K420:$K1200,0)))))</f>
        <v/>
      </c>
      <c r="S419" s="37" t="str">
        <f t="shared" si="1"/>
        <v/>
      </c>
      <c r="T419" s="39" t="str">
        <f t="shared" si="2"/>
        <v/>
      </c>
      <c r="U419" s="40" t="str">
        <f t="shared" si="3"/>
        <v/>
      </c>
      <c r="V419" s="34" t="str">
        <f t="shared" si="4"/>
        <v/>
      </c>
      <c r="W419" s="41" t="str">
        <f>IFERROR(__xludf.DUMMYFUNCTION(" IF(Account!$F419&lt;&gt;"""", SPLIT(Account!$F419, "" ""), """")"),"")</f>
        <v/>
      </c>
      <c r="X419" s="42"/>
      <c r="Y419" s="42"/>
      <c r="Z419" s="42"/>
      <c r="AA419" s="42"/>
      <c r="AB419" s="42"/>
      <c r="AC419" s="42"/>
      <c r="AD419" s="42"/>
      <c r="AE419" s="42"/>
      <c r="AF419" s="42"/>
      <c r="AG419" s="42"/>
      <c r="AH419" s="42"/>
      <c r="AI419" s="42"/>
      <c r="AJ419" s="42"/>
      <c r="AK419" s="42"/>
    </row>
    <row r="420">
      <c r="A420" s="20"/>
      <c r="B420" s="20"/>
      <c r="C420" s="20"/>
      <c r="D420" s="20"/>
      <c r="E420" s="20"/>
      <c r="F420" s="21"/>
      <c r="G420" s="20"/>
      <c r="H420" s="20"/>
      <c r="I420" s="20"/>
      <c r="J420" s="20"/>
      <c r="K420" s="20"/>
      <c r="L420" s="21"/>
      <c r="M420" s="33" t="str">
        <f>IFERROR(__xludf.DUMMYFUNCTION("IFS(W420=""Achat"",IFERROR(VALUE(X420),VALUE(REGEXREPLACE(T(X420),""[^0-9]"",""""))),W420=""Vente"",-IFERROR(VALUE(X420),VALUE(REGEXREPLACE(T(X420),""[^0-9]"",""""))),Y420=""Change"",0,Y420&lt;&gt;""Change"","""")"),"")</f>
        <v/>
      </c>
      <c r="N420" s="34" t="str">
        <f>IFERROR(__xludf.DUMMYFUNCTION("IF(Account!$F420&lt;&gt;"""", VALUE(REGEXREPLACE($I420, ""\,"", ""."")), """")"),"")</f>
        <v/>
      </c>
      <c r="O420" s="35" t="str">
        <f>IF(Account!$F420&lt;&gt;"", DATEVALUE(MID($A420,4,3) &amp; LEFT($A420,3) &amp; RIGHT($A420,4)) + TIMEVALUE($B420), "")</f>
        <v/>
      </c>
      <c r="P420" s="36" t="str">
        <f>IF(Account!$F420&lt;&gt;"", DATEVALUE(MID($C420,4,3) &amp; LEFT($C420,3) &amp; RIGHT($C420,4)), "")</f>
        <v/>
      </c>
      <c r="Q420" s="37" t="str">
        <f t="array" ref="Q420">IF($R420&lt;&gt;"",IFERROR(INDEX(ISIN!$B:$B,MATCH($R420,ISIN!$C:$C,0))),)</f>
        <v/>
      </c>
      <c r="R420" s="38" t="str">
        <f t="array" ref="R420">IF($E420&lt;&gt;"",IFERROR(INDEX(ISIN!$C:$C,MATCH($E420,ISIN!$A:$A,0)),IFERROR(INDEX($R421:$R1200,MATCH($K420,$K421:$K1200,0)))),IF(AND($Y420="change",$H420="EUR"),IF($O420=$O421,$R421,IF($O420=$O419,$R419)),IFERROR(INDEX($R421:$R1200,MATCH(SUBSTITUTE($I420,"-","",1),$K421:$K1200,0)))))</f>
        <v/>
      </c>
      <c r="S420" s="37" t="str">
        <f t="shared" si="1"/>
        <v/>
      </c>
      <c r="T420" s="39" t="str">
        <f t="shared" si="2"/>
        <v/>
      </c>
      <c r="U420" s="40" t="str">
        <f t="shared" si="3"/>
        <v/>
      </c>
      <c r="V420" s="34" t="str">
        <f t="shared" si="4"/>
        <v/>
      </c>
      <c r="W420" s="41" t="str">
        <f>IFERROR(__xludf.DUMMYFUNCTION(" IF(Account!$F420&lt;&gt;"""", SPLIT(Account!$F420, "" ""), """")"),"")</f>
        <v/>
      </c>
      <c r="X420" s="42"/>
      <c r="Y420" s="42"/>
      <c r="Z420" s="42"/>
      <c r="AA420" s="42"/>
      <c r="AB420" s="42"/>
      <c r="AC420" s="42"/>
      <c r="AD420" s="42"/>
      <c r="AE420" s="42"/>
      <c r="AF420" s="42"/>
      <c r="AG420" s="42"/>
      <c r="AH420" s="42"/>
      <c r="AI420" s="42"/>
      <c r="AJ420" s="42"/>
      <c r="AK420" s="42"/>
    </row>
    <row r="421">
      <c r="A421" s="20"/>
      <c r="B421" s="20"/>
      <c r="C421" s="20"/>
      <c r="D421" s="20"/>
      <c r="E421" s="20"/>
      <c r="F421" s="21"/>
      <c r="G421" s="45"/>
      <c r="H421" s="20"/>
      <c r="I421" s="20"/>
      <c r="J421" s="20"/>
      <c r="K421" s="20"/>
      <c r="L421" s="21"/>
      <c r="M421" s="33" t="str">
        <f>IFERROR(__xludf.DUMMYFUNCTION("IFS(W421=""Achat"",IFERROR(VALUE(X421),VALUE(REGEXREPLACE(T(X421),""[^0-9]"",""""))),W421=""Vente"",-IFERROR(VALUE(X421),VALUE(REGEXREPLACE(T(X421),""[^0-9]"",""""))),Y421=""Change"",0,Y421&lt;&gt;""Change"","""")"),"")</f>
        <v/>
      </c>
      <c r="N421" s="34" t="str">
        <f>IFERROR(__xludf.DUMMYFUNCTION("IF(Account!$F421&lt;&gt;"""", VALUE(REGEXREPLACE($I421, ""\,"", ""."")), """")"),"")</f>
        <v/>
      </c>
      <c r="O421" s="35" t="str">
        <f>IF(Account!$F421&lt;&gt;"", DATEVALUE(MID($A421,4,3) &amp; LEFT($A421,3) &amp; RIGHT($A421,4)) + TIMEVALUE($B421), "")</f>
        <v/>
      </c>
      <c r="P421" s="36" t="str">
        <f>IF(Account!$F421&lt;&gt;"", DATEVALUE(MID($C421,4,3) &amp; LEFT($C421,3) &amp; RIGHT($C421,4)), "")</f>
        <v/>
      </c>
      <c r="Q421" s="37" t="str">
        <f t="array" ref="Q421">IF($R421&lt;&gt;"",IFERROR(INDEX(ISIN!$B:$B,MATCH($R421,ISIN!$C:$C,0))),)</f>
        <v/>
      </c>
      <c r="R421" s="38" t="str">
        <f t="array" ref="R421">IF($E421&lt;&gt;"",IFERROR(INDEX(ISIN!$C:$C,MATCH($E421,ISIN!$A:$A,0)),IFERROR(INDEX($R422:$R1200,MATCH($K421,$K422:$K1200,0)))),IF(AND($Y421="change",$H421="EUR"),IF($O421=$O422,$R422,IF($O421=$O420,$R420)),IFERROR(INDEX($R422:$R1200,MATCH(SUBSTITUTE($I421,"-","",1),$K422:$K1200,0)))))</f>
        <v/>
      </c>
      <c r="S421" s="37" t="str">
        <f t="shared" si="1"/>
        <v/>
      </c>
      <c r="T421" s="39" t="str">
        <f t="shared" si="2"/>
        <v/>
      </c>
      <c r="U421" s="40" t="str">
        <f t="shared" si="3"/>
        <v/>
      </c>
      <c r="V421" s="34" t="str">
        <f t="shared" si="4"/>
        <v/>
      </c>
      <c r="W421" s="41" t="str">
        <f>IFERROR(__xludf.DUMMYFUNCTION(" IF(Account!$F421&lt;&gt;"""", SPLIT(Account!$F421, "" ""), """")"),"")</f>
        <v/>
      </c>
      <c r="X421" s="42"/>
      <c r="Y421" s="42"/>
      <c r="Z421" s="42"/>
      <c r="AA421" s="42"/>
      <c r="AB421" s="42"/>
      <c r="AC421" s="42"/>
      <c r="AD421" s="42"/>
      <c r="AE421" s="42"/>
      <c r="AF421" s="42"/>
      <c r="AG421" s="42"/>
      <c r="AH421" s="42"/>
      <c r="AI421" s="42"/>
      <c r="AJ421" s="42"/>
      <c r="AK421" s="42"/>
    </row>
    <row r="422">
      <c r="A422" s="20"/>
      <c r="B422" s="20"/>
      <c r="C422" s="20"/>
      <c r="D422" s="20"/>
      <c r="E422" s="20"/>
      <c r="F422" s="21"/>
      <c r="G422" s="20"/>
      <c r="H422" s="20"/>
      <c r="I422" s="20"/>
      <c r="J422" s="20"/>
      <c r="K422" s="20"/>
      <c r="L422" s="21"/>
      <c r="M422" s="33" t="str">
        <f>IFERROR(__xludf.DUMMYFUNCTION("IFS(W422=""Achat"",IFERROR(VALUE(X422),VALUE(REGEXREPLACE(T(X422),""[^0-9]"",""""))),W422=""Vente"",-IFERROR(VALUE(X422),VALUE(REGEXREPLACE(T(X422),""[^0-9]"",""""))),Y422=""Change"",0,Y422&lt;&gt;""Change"","""")"),"")</f>
        <v/>
      </c>
      <c r="N422" s="34" t="str">
        <f>IFERROR(__xludf.DUMMYFUNCTION("IF(Account!$F422&lt;&gt;"""", VALUE(REGEXREPLACE($I422, ""\,"", ""."")), """")"),"")</f>
        <v/>
      </c>
      <c r="O422" s="35" t="str">
        <f>IF(Account!$F422&lt;&gt;"", DATEVALUE(MID($A422,4,3) &amp; LEFT($A422,3) &amp; RIGHT($A422,4)) + TIMEVALUE($B422), "")</f>
        <v/>
      </c>
      <c r="P422" s="36" t="str">
        <f>IF(Account!$F422&lt;&gt;"", DATEVALUE(MID($C422,4,3) &amp; LEFT($C422,3) &amp; RIGHT($C422,4)), "")</f>
        <v/>
      </c>
      <c r="Q422" s="37" t="str">
        <f t="array" ref="Q422">IF($R422&lt;&gt;"",IFERROR(INDEX(ISIN!$B:$B,MATCH($R422,ISIN!$C:$C,0))),)</f>
        <v/>
      </c>
      <c r="R422" s="38" t="str">
        <f t="array" ref="R422">IF($E422&lt;&gt;"",IFERROR(INDEX(ISIN!$C:$C,MATCH($E422,ISIN!$A:$A,0)),IFERROR(INDEX($R423:$R1200,MATCH($K422,$K423:$K1200,0)))),IF(AND($Y422="change",$H422="EUR"),IF($O422=$O423,$R423,IF($O422=$O421,$R421)),IFERROR(INDEX($R423:$R1200,MATCH(SUBSTITUTE($I422,"-","",1),$K423:$K1200,0)))))</f>
        <v/>
      </c>
      <c r="S422" s="37" t="str">
        <f t="shared" si="1"/>
        <v/>
      </c>
      <c r="T422" s="39" t="str">
        <f t="shared" si="2"/>
        <v/>
      </c>
      <c r="U422" s="40" t="str">
        <f t="shared" si="3"/>
        <v/>
      </c>
      <c r="V422" s="34" t="str">
        <f t="shared" si="4"/>
        <v/>
      </c>
      <c r="W422" s="41" t="str">
        <f>IFERROR(__xludf.DUMMYFUNCTION(" IF(Account!$F422&lt;&gt;"""", SPLIT(Account!$F422, "" ""), """")"),"")</f>
        <v/>
      </c>
      <c r="X422" s="42"/>
      <c r="Y422" s="42"/>
      <c r="Z422" s="42"/>
      <c r="AA422" s="42"/>
      <c r="AB422" s="42"/>
      <c r="AC422" s="42"/>
      <c r="AD422" s="42"/>
      <c r="AE422" s="42"/>
      <c r="AF422" s="42"/>
      <c r="AG422" s="42"/>
      <c r="AH422" s="42"/>
      <c r="AI422" s="42"/>
      <c r="AJ422" s="42"/>
      <c r="AK422" s="42"/>
    </row>
    <row r="423">
      <c r="A423" s="20"/>
      <c r="B423" s="20"/>
      <c r="C423" s="20"/>
      <c r="D423" s="20"/>
      <c r="E423" s="20"/>
      <c r="F423" s="21"/>
      <c r="G423" s="45"/>
      <c r="H423" s="20"/>
      <c r="I423" s="20"/>
      <c r="J423" s="20"/>
      <c r="K423" s="20"/>
      <c r="L423" s="21"/>
      <c r="M423" s="33" t="str">
        <f>IFERROR(__xludf.DUMMYFUNCTION("IFS(W423=""Achat"",IFERROR(VALUE(X423),VALUE(REGEXREPLACE(T(X423),""[^0-9]"",""""))),W423=""Vente"",-IFERROR(VALUE(X423),VALUE(REGEXREPLACE(T(X423),""[^0-9]"",""""))),Y423=""Change"",0,Y423&lt;&gt;""Change"","""")"),"")</f>
        <v/>
      </c>
      <c r="N423" s="34" t="str">
        <f>IFERROR(__xludf.DUMMYFUNCTION("IF(Account!$F423&lt;&gt;"""", VALUE(REGEXREPLACE($I423, ""\,"", ""."")), """")"),"")</f>
        <v/>
      </c>
      <c r="O423" s="35" t="str">
        <f>IF(Account!$F423&lt;&gt;"", DATEVALUE(MID($A423,4,3) &amp; LEFT($A423,3) &amp; RIGHT($A423,4)) + TIMEVALUE($B423), "")</f>
        <v/>
      </c>
      <c r="P423" s="36" t="str">
        <f>IF(Account!$F423&lt;&gt;"", DATEVALUE(MID($C423,4,3) &amp; LEFT($C423,3) &amp; RIGHT($C423,4)), "")</f>
        <v/>
      </c>
      <c r="Q423" s="37" t="str">
        <f t="array" ref="Q423">IF($R423&lt;&gt;"",IFERROR(INDEX(ISIN!$B:$B,MATCH($R423,ISIN!$C:$C,0))),)</f>
        <v/>
      </c>
      <c r="R423" s="38" t="str">
        <f t="array" ref="R423">IF($E423&lt;&gt;"",IFERROR(INDEX(ISIN!$C:$C,MATCH($E423,ISIN!$A:$A,0)),IFERROR(INDEX($R424:$R1200,MATCH($K423,$K424:$K1200,0)))),IF(AND($Y423="change",$H423="EUR"),IF($O423=$O424,$R424,IF($O423=$O422,$R422)),IFERROR(INDEX($R424:$R1200,MATCH(SUBSTITUTE($I423,"-","",1),$K424:$K1200,0)))))</f>
        <v/>
      </c>
      <c r="S423" s="37" t="str">
        <f t="shared" si="1"/>
        <v/>
      </c>
      <c r="T423" s="39" t="str">
        <f t="shared" si="2"/>
        <v/>
      </c>
      <c r="U423" s="40" t="str">
        <f t="shared" si="3"/>
        <v/>
      </c>
      <c r="V423" s="34" t="str">
        <f t="shared" si="4"/>
        <v/>
      </c>
      <c r="W423" s="41" t="str">
        <f>IFERROR(__xludf.DUMMYFUNCTION(" IF(Account!$F423&lt;&gt;"""", SPLIT(Account!$F423, "" ""), """")"),"")</f>
        <v/>
      </c>
      <c r="X423" s="42"/>
      <c r="Y423" s="42"/>
      <c r="Z423" s="42"/>
      <c r="AA423" s="42"/>
      <c r="AB423" s="42"/>
      <c r="AC423" s="42"/>
      <c r="AD423" s="42"/>
      <c r="AE423" s="42"/>
      <c r="AF423" s="42"/>
      <c r="AG423" s="42"/>
      <c r="AH423" s="42"/>
      <c r="AI423" s="42"/>
      <c r="AJ423" s="42"/>
      <c r="AK423" s="42"/>
    </row>
    <row r="424">
      <c r="A424" s="20"/>
      <c r="B424" s="20"/>
      <c r="C424" s="20"/>
      <c r="D424" s="20"/>
      <c r="E424" s="20"/>
      <c r="F424" s="21"/>
      <c r="G424" s="20"/>
      <c r="H424" s="20"/>
      <c r="I424" s="20"/>
      <c r="J424" s="20"/>
      <c r="K424" s="20"/>
      <c r="L424" s="21"/>
      <c r="M424" s="33" t="str">
        <f>IFERROR(__xludf.DUMMYFUNCTION("IFS(W424=""Achat"",IFERROR(VALUE(X424),VALUE(REGEXREPLACE(T(X424),""[^0-9]"",""""))),W424=""Vente"",-IFERROR(VALUE(X424),VALUE(REGEXREPLACE(T(X424),""[^0-9]"",""""))),Y424=""Change"",0,Y424&lt;&gt;""Change"","""")"),"")</f>
        <v/>
      </c>
      <c r="N424" s="34" t="str">
        <f>IFERROR(__xludf.DUMMYFUNCTION("IF(Account!$F424&lt;&gt;"""", VALUE(REGEXREPLACE($I424, ""\,"", ""."")), """")"),"")</f>
        <v/>
      </c>
      <c r="O424" s="35" t="str">
        <f>IF(Account!$F424&lt;&gt;"", DATEVALUE(MID($A424,4,3) &amp; LEFT($A424,3) &amp; RIGHT($A424,4)) + TIMEVALUE($B424), "")</f>
        <v/>
      </c>
      <c r="P424" s="36" t="str">
        <f>IF(Account!$F424&lt;&gt;"", DATEVALUE(MID($C424,4,3) &amp; LEFT($C424,3) &amp; RIGHT($C424,4)), "")</f>
        <v/>
      </c>
      <c r="Q424" s="37" t="str">
        <f t="array" ref="Q424">IF($R424&lt;&gt;"",IFERROR(INDEX(ISIN!$B:$B,MATCH($R424,ISIN!$C:$C,0))),)</f>
        <v/>
      </c>
      <c r="R424" s="38" t="str">
        <f t="array" ref="R424">IF($E424&lt;&gt;"",IFERROR(INDEX(ISIN!$C:$C,MATCH($E424,ISIN!$A:$A,0)),IFERROR(INDEX($R425:$R1200,MATCH($K424,$K425:$K1200,0)))),IF(AND($Y424="change",$H424="EUR"),IF($O424=$O425,$R425,IF($O424=$O423,$R423)),IFERROR(INDEX($R425:$R1200,MATCH(SUBSTITUTE($I424,"-","",1),$K425:$K1200,0)))))</f>
        <v/>
      </c>
      <c r="S424" s="37" t="str">
        <f t="shared" si="1"/>
        <v/>
      </c>
      <c r="T424" s="39" t="str">
        <f t="shared" si="2"/>
        <v/>
      </c>
      <c r="U424" s="40" t="str">
        <f t="shared" si="3"/>
        <v/>
      </c>
      <c r="V424" s="34" t="str">
        <f t="shared" si="4"/>
        <v/>
      </c>
      <c r="W424" s="41" t="str">
        <f>IFERROR(__xludf.DUMMYFUNCTION(" IF(Account!$F424&lt;&gt;"""", SPLIT(Account!$F424, "" ""), """")"),"")</f>
        <v/>
      </c>
      <c r="X424" s="42"/>
      <c r="Y424" s="42"/>
      <c r="Z424" s="42"/>
      <c r="AA424" s="42"/>
      <c r="AB424" s="42"/>
      <c r="AC424" s="42"/>
      <c r="AD424" s="42"/>
      <c r="AE424" s="42"/>
      <c r="AF424" s="42"/>
      <c r="AG424" s="42"/>
      <c r="AH424" s="42"/>
      <c r="AI424" s="42"/>
      <c r="AJ424" s="42"/>
      <c r="AK424" s="42"/>
    </row>
    <row r="425">
      <c r="A425" s="20"/>
      <c r="B425" s="20"/>
      <c r="C425" s="20"/>
      <c r="D425" s="20"/>
      <c r="E425" s="20"/>
      <c r="F425" s="21"/>
      <c r="G425" s="45"/>
      <c r="H425" s="20"/>
      <c r="I425" s="20"/>
      <c r="J425" s="20"/>
      <c r="K425" s="20"/>
      <c r="L425" s="21"/>
      <c r="M425" s="33" t="str">
        <f>IFERROR(__xludf.DUMMYFUNCTION("IFS(W425=""Achat"",IFERROR(VALUE(X425),VALUE(REGEXREPLACE(T(X425),""[^0-9]"",""""))),W425=""Vente"",-IFERROR(VALUE(X425),VALUE(REGEXREPLACE(T(X425),""[^0-9]"",""""))),Y425=""Change"",0,Y425&lt;&gt;""Change"","""")"),"")</f>
        <v/>
      </c>
      <c r="N425" s="34" t="str">
        <f>IFERROR(__xludf.DUMMYFUNCTION("IF(Account!$F425&lt;&gt;"""", VALUE(REGEXREPLACE($I425, ""\,"", ""."")), """")"),"")</f>
        <v/>
      </c>
      <c r="O425" s="35" t="str">
        <f>IF(Account!$F425&lt;&gt;"", DATEVALUE(MID($A425,4,3) &amp; LEFT($A425,3) &amp; RIGHT($A425,4)) + TIMEVALUE($B425), "")</f>
        <v/>
      </c>
      <c r="P425" s="36" t="str">
        <f>IF(Account!$F425&lt;&gt;"", DATEVALUE(MID($C425,4,3) &amp; LEFT($C425,3) &amp; RIGHT($C425,4)), "")</f>
        <v/>
      </c>
      <c r="Q425" s="37" t="str">
        <f t="array" ref="Q425">IF($R425&lt;&gt;"",IFERROR(INDEX(ISIN!$B:$B,MATCH($R425,ISIN!$C:$C,0))),)</f>
        <v/>
      </c>
      <c r="R425" s="38" t="str">
        <f t="array" ref="R425">IF($E425&lt;&gt;"",IFERROR(INDEX(ISIN!$C:$C,MATCH($E425,ISIN!$A:$A,0)),IFERROR(INDEX($R426:$R1200,MATCH($K425,$K426:$K1200,0)))),IF(AND($Y425="change",$H425="EUR"),IF($O425=$O426,$R426,IF($O425=$O424,$R424)),IFERROR(INDEX($R426:$R1200,MATCH(SUBSTITUTE($I425,"-","",1),$K426:$K1200,0)))))</f>
        <v/>
      </c>
      <c r="S425" s="37" t="str">
        <f t="shared" si="1"/>
        <v/>
      </c>
      <c r="T425" s="39" t="str">
        <f t="shared" si="2"/>
        <v/>
      </c>
      <c r="U425" s="40" t="str">
        <f t="shared" si="3"/>
        <v/>
      </c>
      <c r="V425" s="34" t="str">
        <f t="shared" si="4"/>
        <v/>
      </c>
      <c r="W425" s="41" t="str">
        <f>IFERROR(__xludf.DUMMYFUNCTION(" IF(Account!$F425&lt;&gt;"""", SPLIT(Account!$F425, "" ""), """")"),"")</f>
        <v/>
      </c>
      <c r="X425" s="42"/>
      <c r="Y425" s="42"/>
      <c r="Z425" s="42"/>
      <c r="AA425" s="42"/>
      <c r="AB425" s="42"/>
      <c r="AC425" s="42"/>
      <c r="AD425" s="42"/>
      <c r="AE425" s="42"/>
      <c r="AF425" s="42"/>
      <c r="AG425" s="42"/>
      <c r="AH425" s="42"/>
      <c r="AI425" s="42"/>
      <c r="AJ425" s="42"/>
      <c r="AK425" s="42"/>
    </row>
    <row r="426">
      <c r="A426" s="20"/>
      <c r="B426" s="20"/>
      <c r="C426" s="20"/>
      <c r="D426" s="20"/>
      <c r="E426" s="20"/>
      <c r="F426" s="21"/>
      <c r="G426" s="20"/>
      <c r="H426" s="20"/>
      <c r="I426" s="20"/>
      <c r="J426" s="20"/>
      <c r="K426" s="20"/>
      <c r="L426" s="21"/>
      <c r="M426" s="33" t="str">
        <f>IFERROR(__xludf.DUMMYFUNCTION("IFS(W426=""Achat"",IFERROR(VALUE(X426),VALUE(REGEXREPLACE(T(X426),""[^0-9]"",""""))),W426=""Vente"",-IFERROR(VALUE(X426),VALUE(REGEXREPLACE(T(X426),""[^0-9]"",""""))),Y426=""Change"",0,Y426&lt;&gt;""Change"","""")"),"")</f>
        <v/>
      </c>
      <c r="N426" s="34" t="str">
        <f>IFERROR(__xludf.DUMMYFUNCTION("IF(Account!$F426&lt;&gt;"""", VALUE(REGEXREPLACE($I426, ""\,"", ""."")), """")"),"")</f>
        <v/>
      </c>
      <c r="O426" s="35" t="str">
        <f>IF(Account!$F426&lt;&gt;"", DATEVALUE(MID($A426,4,3) &amp; LEFT($A426,3) &amp; RIGHT($A426,4)) + TIMEVALUE($B426), "")</f>
        <v/>
      </c>
      <c r="P426" s="36" t="str">
        <f>IF(Account!$F426&lt;&gt;"", DATEVALUE(MID($C426,4,3) &amp; LEFT($C426,3) &amp; RIGHT($C426,4)), "")</f>
        <v/>
      </c>
      <c r="Q426" s="37" t="str">
        <f t="array" ref="Q426">IF($R426&lt;&gt;"",IFERROR(INDEX(ISIN!$B:$B,MATCH($R426,ISIN!$C:$C,0))),)</f>
        <v/>
      </c>
      <c r="R426" s="38" t="str">
        <f t="array" ref="R426">IF($E426&lt;&gt;"",IFERROR(INDEX(ISIN!$C:$C,MATCH($E426,ISIN!$A:$A,0)),IFERROR(INDEX($R427:$R1200,MATCH($K426,$K427:$K1200,0)))),IF(AND($Y426="change",$H426="EUR"),IF($O426=$O427,$R427,IF($O426=$O425,$R425)),IFERROR(INDEX($R427:$R1200,MATCH(SUBSTITUTE($I426,"-","",1),$K427:$K1200,0)))))</f>
        <v/>
      </c>
      <c r="S426" s="37" t="str">
        <f t="shared" si="1"/>
        <v/>
      </c>
      <c r="T426" s="39" t="str">
        <f t="shared" si="2"/>
        <v/>
      </c>
      <c r="U426" s="40" t="str">
        <f t="shared" si="3"/>
        <v/>
      </c>
      <c r="V426" s="34" t="str">
        <f t="shared" si="4"/>
        <v/>
      </c>
      <c r="W426" s="41" t="str">
        <f>IFERROR(__xludf.DUMMYFUNCTION(" IF(Account!$F426&lt;&gt;"""", SPLIT(Account!$F426, "" ""), """")"),"")</f>
        <v/>
      </c>
      <c r="X426" s="42"/>
      <c r="Y426" s="42"/>
      <c r="Z426" s="42"/>
      <c r="AA426" s="42"/>
      <c r="AB426" s="42"/>
      <c r="AC426" s="42"/>
      <c r="AD426" s="42"/>
      <c r="AE426" s="42"/>
      <c r="AF426" s="42"/>
      <c r="AG426" s="42"/>
      <c r="AH426" s="42"/>
      <c r="AI426" s="42"/>
      <c r="AJ426" s="42"/>
      <c r="AK426" s="42"/>
    </row>
    <row r="427">
      <c r="A427" s="20"/>
      <c r="B427" s="20"/>
      <c r="C427" s="20"/>
      <c r="D427" s="20"/>
      <c r="E427" s="20"/>
      <c r="F427" s="21"/>
      <c r="G427" s="45"/>
      <c r="H427" s="20"/>
      <c r="I427" s="20"/>
      <c r="J427" s="20"/>
      <c r="K427" s="20"/>
      <c r="L427" s="21"/>
      <c r="M427" s="33" t="str">
        <f>IFERROR(__xludf.DUMMYFUNCTION("IFS(W427=""Achat"",IFERROR(VALUE(X427),VALUE(REGEXREPLACE(T(X427),""[^0-9]"",""""))),W427=""Vente"",-IFERROR(VALUE(X427),VALUE(REGEXREPLACE(T(X427),""[^0-9]"",""""))),Y427=""Change"",0,Y427&lt;&gt;""Change"","""")"),"")</f>
        <v/>
      </c>
      <c r="N427" s="34" t="str">
        <f>IFERROR(__xludf.DUMMYFUNCTION("IF(Account!$F427&lt;&gt;"""", VALUE(REGEXREPLACE($I427, ""\,"", ""."")), """")"),"")</f>
        <v/>
      </c>
      <c r="O427" s="35" t="str">
        <f>IF(Account!$F427&lt;&gt;"", DATEVALUE(MID($A427,4,3) &amp; LEFT($A427,3) &amp; RIGHT($A427,4)) + TIMEVALUE($B427), "")</f>
        <v/>
      </c>
      <c r="P427" s="36" t="str">
        <f>IF(Account!$F427&lt;&gt;"", DATEVALUE(MID($C427,4,3) &amp; LEFT($C427,3) &amp; RIGHT($C427,4)), "")</f>
        <v/>
      </c>
      <c r="Q427" s="37" t="str">
        <f t="array" ref="Q427">IF($R427&lt;&gt;"",IFERROR(INDEX(ISIN!$B:$B,MATCH($R427,ISIN!$C:$C,0))),)</f>
        <v/>
      </c>
      <c r="R427" s="38" t="str">
        <f t="array" ref="R427">IF($E427&lt;&gt;"",IFERROR(INDEX(ISIN!$C:$C,MATCH($E427,ISIN!$A:$A,0)),IFERROR(INDEX($R428:$R1200,MATCH($K427,$K428:$K1200,0)))),IF(AND($Y427="change",$H427="EUR"),IF($O427=$O428,$R428,IF($O427=$O426,$R426)),IFERROR(INDEX($R428:$R1200,MATCH(SUBSTITUTE($I427,"-","",1),$K428:$K1200,0)))))</f>
        <v/>
      </c>
      <c r="S427" s="37" t="str">
        <f t="shared" si="1"/>
        <v/>
      </c>
      <c r="T427" s="39" t="str">
        <f t="shared" si="2"/>
        <v/>
      </c>
      <c r="U427" s="40" t="str">
        <f t="shared" si="3"/>
        <v/>
      </c>
      <c r="V427" s="34" t="str">
        <f t="shared" si="4"/>
        <v/>
      </c>
      <c r="W427" s="41" t="str">
        <f>IFERROR(__xludf.DUMMYFUNCTION(" IF(Account!$F427&lt;&gt;"""", SPLIT(Account!$F427, "" ""), """")"),"")</f>
        <v/>
      </c>
      <c r="X427" s="42"/>
      <c r="Y427" s="42"/>
      <c r="Z427" s="42"/>
      <c r="AA427" s="42"/>
      <c r="AB427" s="42"/>
      <c r="AC427" s="42"/>
      <c r="AD427" s="42"/>
      <c r="AE427" s="42"/>
      <c r="AF427" s="42"/>
      <c r="AG427" s="42"/>
      <c r="AH427" s="42"/>
      <c r="AI427" s="42"/>
      <c r="AJ427" s="42"/>
      <c r="AK427" s="42"/>
    </row>
    <row r="428">
      <c r="A428" s="20"/>
      <c r="B428" s="20"/>
      <c r="C428" s="20"/>
      <c r="D428" s="20"/>
      <c r="E428" s="20"/>
      <c r="F428" s="21"/>
      <c r="G428" s="20"/>
      <c r="H428" s="20"/>
      <c r="I428" s="20"/>
      <c r="J428" s="20"/>
      <c r="K428" s="20"/>
      <c r="L428" s="21"/>
      <c r="M428" s="33" t="str">
        <f>IFERROR(__xludf.DUMMYFUNCTION("IFS(W428=""Achat"",IFERROR(VALUE(X428),VALUE(REGEXREPLACE(T(X428),""[^0-9]"",""""))),W428=""Vente"",-IFERROR(VALUE(X428),VALUE(REGEXREPLACE(T(X428),""[^0-9]"",""""))),Y428=""Change"",0,Y428&lt;&gt;""Change"","""")"),"")</f>
        <v/>
      </c>
      <c r="N428" s="34" t="str">
        <f>IFERROR(__xludf.DUMMYFUNCTION("IF(Account!$F428&lt;&gt;"""", VALUE(REGEXREPLACE($I428, ""\,"", ""."")), """")"),"")</f>
        <v/>
      </c>
      <c r="O428" s="35" t="str">
        <f>IF(Account!$F428&lt;&gt;"", DATEVALUE(MID($A428,4,3) &amp; LEFT($A428,3) &amp; RIGHT($A428,4)) + TIMEVALUE($B428), "")</f>
        <v/>
      </c>
      <c r="P428" s="36" t="str">
        <f>IF(Account!$F428&lt;&gt;"", DATEVALUE(MID($C428,4,3) &amp; LEFT($C428,3) &amp; RIGHT($C428,4)), "")</f>
        <v/>
      </c>
      <c r="Q428" s="37" t="str">
        <f t="array" ref="Q428">IF($R428&lt;&gt;"",IFERROR(INDEX(ISIN!$B:$B,MATCH($R428,ISIN!$C:$C,0))),)</f>
        <v/>
      </c>
      <c r="R428" s="38" t="str">
        <f t="array" ref="R428">IF($E428&lt;&gt;"",IFERROR(INDEX(ISIN!$C:$C,MATCH($E428,ISIN!$A:$A,0)),IFERROR(INDEX($R429:$R1200,MATCH($K428,$K429:$K1200,0)))),IF(AND($Y428="change",$H428="EUR"),IF($O428=$O429,$R429,IF($O428=$O427,$R427)),IFERROR(INDEX($R429:$R1200,MATCH(SUBSTITUTE($I428,"-","",1),$K429:$K1200,0)))))</f>
        <v/>
      </c>
      <c r="S428" s="37" t="str">
        <f t="shared" si="1"/>
        <v/>
      </c>
      <c r="T428" s="39" t="str">
        <f t="shared" si="2"/>
        <v/>
      </c>
      <c r="U428" s="40" t="str">
        <f t="shared" si="3"/>
        <v/>
      </c>
      <c r="V428" s="34" t="str">
        <f t="shared" si="4"/>
        <v/>
      </c>
      <c r="W428" s="41" t="str">
        <f>IFERROR(__xludf.DUMMYFUNCTION(" IF(Account!$F428&lt;&gt;"""", SPLIT(Account!$F428, "" ""), """")"),"")</f>
        <v/>
      </c>
      <c r="X428" s="42"/>
      <c r="Y428" s="42"/>
      <c r="Z428" s="42"/>
      <c r="AA428" s="42"/>
      <c r="AB428" s="42"/>
      <c r="AC428" s="42"/>
      <c r="AD428" s="42"/>
      <c r="AE428" s="42"/>
      <c r="AF428" s="42"/>
      <c r="AG428" s="42"/>
      <c r="AH428" s="42"/>
      <c r="AI428" s="42"/>
      <c r="AJ428" s="42"/>
      <c r="AK428" s="42"/>
    </row>
    <row r="429">
      <c r="A429" s="20"/>
      <c r="B429" s="20"/>
      <c r="C429" s="20"/>
      <c r="D429" s="20"/>
      <c r="E429" s="20"/>
      <c r="F429" s="21"/>
      <c r="G429" s="45"/>
      <c r="H429" s="20"/>
      <c r="I429" s="20"/>
      <c r="J429" s="20"/>
      <c r="K429" s="20"/>
      <c r="L429" s="21"/>
      <c r="M429" s="33" t="str">
        <f>IFERROR(__xludf.DUMMYFUNCTION("IFS(W429=""Achat"",IFERROR(VALUE(X429),VALUE(REGEXREPLACE(T(X429),""[^0-9]"",""""))),W429=""Vente"",-IFERROR(VALUE(X429),VALUE(REGEXREPLACE(T(X429),""[^0-9]"",""""))),Y429=""Change"",0,Y429&lt;&gt;""Change"","""")"),"")</f>
        <v/>
      </c>
      <c r="N429" s="34" t="str">
        <f>IFERROR(__xludf.DUMMYFUNCTION("IF(Account!$F429&lt;&gt;"""", VALUE(REGEXREPLACE($I429, ""\,"", ""."")), """")"),"")</f>
        <v/>
      </c>
      <c r="O429" s="35" t="str">
        <f>IF(Account!$F429&lt;&gt;"", DATEVALUE(MID($A429,4,3) &amp; LEFT($A429,3) &amp; RIGHT($A429,4)) + TIMEVALUE($B429), "")</f>
        <v/>
      </c>
      <c r="P429" s="36" t="str">
        <f>IF(Account!$F429&lt;&gt;"", DATEVALUE(MID($C429,4,3) &amp; LEFT($C429,3) &amp; RIGHT($C429,4)), "")</f>
        <v/>
      </c>
      <c r="Q429" s="37" t="str">
        <f t="array" ref="Q429">IF($R429&lt;&gt;"",IFERROR(INDEX(ISIN!$B:$B,MATCH($R429,ISIN!$C:$C,0))),)</f>
        <v/>
      </c>
      <c r="R429" s="38" t="str">
        <f t="array" ref="R429">IF($E429&lt;&gt;"",IFERROR(INDEX(ISIN!$C:$C,MATCH($E429,ISIN!$A:$A,0)),IFERROR(INDEX($R430:$R1200,MATCH($K429,$K430:$K1200,0)))),IF(AND($Y429="change",$H429="EUR"),IF($O429=$O430,$R430,IF($O429=$O428,$R428)),IFERROR(INDEX($R430:$R1200,MATCH(SUBSTITUTE($I429,"-","",1),$K430:$K1200,0)))))</f>
        <v/>
      </c>
      <c r="S429" s="37" t="str">
        <f t="shared" si="1"/>
        <v/>
      </c>
      <c r="T429" s="39" t="str">
        <f t="shared" si="2"/>
        <v/>
      </c>
      <c r="U429" s="40" t="str">
        <f t="shared" si="3"/>
        <v/>
      </c>
      <c r="V429" s="34" t="str">
        <f t="shared" si="4"/>
        <v/>
      </c>
      <c r="W429" s="41" t="str">
        <f>IFERROR(__xludf.DUMMYFUNCTION(" IF(Account!$F429&lt;&gt;"""", SPLIT(Account!$F429, "" ""), """")"),"")</f>
        <v/>
      </c>
      <c r="X429" s="42"/>
      <c r="Y429" s="42"/>
      <c r="Z429" s="42"/>
      <c r="AA429" s="42"/>
      <c r="AB429" s="42"/>
      <c r="AC429" s="42"/>
      <c r="AD429" s="42"/>
      <c r="AE429" s="42"/>
      <c r="AF429" s="42"/>
      <c r="AG429" s="42"/>
      <c r="AH429" s="42"/>
      <c r="AI429" s="42"/>
      <c r="AJ429" s="42"/>
      <c r="AK429" s="42"/>
    </row>
    <row r="430">
      <c r="A430" s="20"/>
      <c r="B430" s="20"/>
      <c r="C430" s="20"/>
      <c r="D430" s="20"/>
      <c r="E430" s="20"/>
      <c r="F430" s="21"/>
      <c r="G430" s="20"/>
      <c r="H430" s="20"/>
      <c r="I430" s="20"/>
      <c r="J430" s="20"/>
      <c r="K430" s="20"/>
      <c r="L430" s="21"/>
      <c r="M430" s="33" t="str">
        <f>IFERROR(__xludf.DUMMYFUNCTION("IFS(W430=""Achat"",IFERROR(VALUE(X430),VALUE(REGEXREPLACE(T(X430),""[^0-9]"",""""))),W430=""Vente"",-IFERROR(VALUE(X430),VALUE(REGEXREPLACE(T(X430),""[^0-9]"",""""))),Y430=""Change"",0,Y430&lt;&gt;""Change"","""")"),"")</f>
        <v/>
      </c>
      <c r="N430" s="34" t="str">
        <f>IFERROR(__xludf.DUMMYFUNCTION("IF(Account!$F430&lt;&gt;"""", VALUE(REGEXREPLACE($I430, ""\,"", ""."")), """")"),"")</f>
        <v/>
      </c>
      <c r="O430" s="35" t="str">
        <f>IF(Account!$F430&lt;&gt;"", DATEVALUE(MID($A430,4,3) &amp; LEFT($A430,3) &amp; RIGHT($A430,4)) + TIMEVALUE($B430), "")</f>
        <v/>
      </c>
      <c r="P430" s="36" t="str">
        <f>IF(Account!$F430&lt;&gt;"", DATEVALUE(MID($C430,4,3) &amp; LEFT($C430,3) &amp; RIGHT($C430,4)), "")</f>
        <v/>
      </c>
      <c r="Q430" s="37" t="str">
        <f t="array" ref="Q430">IF($R430&lt;&gt;"",IFERROR(INDEX(ISIN!$B:$B,MATCH($R430,ISIN!$C:$C,0))),)</f>
        <v/>
      </c>
      <c r="R430" s="38" t="str">
        <f t="array" ref="R430">IF($E430&lt;&gt;"",IFERROR(INDEX(ISIN!$C:$C,MATCH($E430,ISIN!$A:$A,0)),IFERROR(INDEX($R431:$R1200,MATCH($K430,$K431:$K1200,0)))),IF(AND($Y430="change",$H430="EUR"),IF($O430=$O431,$R431,IF($O430=$O429,$R429)),IFERROR(INDEX($R431:$R1200,MATCH(SUBSTITUTE($I430,"-","",1),$K431:$K1200,0)))))</f>
        <v/>
      </c>
      <c r="S430" s="37" t="str">
        <f t="shared" si="1"/>
        <v/>
      </c>
      <c r="T430" s="39" t="str">
        <f t="shared" si="2"/>
        <v/>
      </c>
      <c r="U430" s="40" t="str">
        <f t="shared" si="3"/>
        <v/>
      </c>
      <c r="V430" s="34" t="str">
        <f t="shared" si="4"/>
        <v/>
      </c>
      <c r="W430" s="41" t="str">
        <f>IFERROR(__xludf.DUMMYFUNCTION(" IF(Account!$F430&lt;&gt;"""", SPLIT(Account!$F430, "" ""), """")"),"")</f>
        <v/>
      </c>
      <c r="X430" s="42"/>
      <c r="Y430" s="42"/>
      <c r="Z430" s="42"/>
      <c r="AA430" s="42"/>
      <c r="AB430" s="42"/>
      <c r="AC430" s="42"/>
      <c r="AD430" s="42"/>
      <c r="AE430" s="42"/>
      <c r="AF430" s="42"/>
      <c r="AG430" s="42"/>
      <c r="AH430" s="42"/>
      <c r="AI430" s="42"/>
      <c r="AJ430" s="42"/>
      <c r="AK430" s="42"/>
    </row>
    <row r="431">
      <c r="A431" s="20"/>
      <c r="B431" s="20"/>
      <c r="C431" s="20"/>
      <c r="D431" s="20"/>
      <c r="E431" s="20"/>
      <c r="F431" s="21"/>
      <c r="G431" s="45"/>
      <c r="H431" s="20"/>
      <c r="I431" s="20"/>
      <c r="J431" s="20"/>
      <c r="K431" s="20"/>
      <c r="L431" s="21"/>
      <c r="M431" s="33" t="str">
        <f>IFERROR(__xludf.DUMMYFUNCTION("IFS(W431=""Achat"",IFERROR(VALUE(X431),VALUE(REGEXREPLACE(T(X431),""[^0-9]"",""""))),W431=""Vente"",-IFERROR(VALUE(X431),VALUE(REGEXREPLACE(T(X431),""[^0-9]"",""""))),Y431=""Change"",0,Y431&lt;&gt;""Change"","""")"),"")</f>
        <v/>
      </c>
      <c r="N431" s="34" t="str">
        <f>IFERROR(__xludf.DUMMYFUNCTION("IF(Account!$F431&lt;&gt;"""", VALUE(REGEXREPLACE($I431, ""\,"", ""."")), """")"),"")</f>
        <v/>
      </c>
      <c r="O431" s="35" t="str">
        <f>IF(Account!$F431&lt;&gt;"", DATEVALUE(MID($A431,4,3) &amp; LEFT($A431,3) &amp; RIGHT($A431,4)) + TIMEVALUE($B431), "")</f>
        <v/>
      </c>
      <c r="P431" s="36" t="str">
        <f>IF(Account!$F431&lt;&gt;"", DATEVALUE(MID($C431,4,3) &amp; LEFT($C431,3) &amp; RIGHT($C431,4)), "")</f>
        <v/>
      </c>
      <c r="Q431" s="37" t="str">
        <f t="array" ref="Q431">IF($R431&lt;&gt;"",IFERROR(INDEX(ISIN!$B:$B,MATCH($R431,ISIN!$C:$C,0))),)</f>
        <v/>
      </c>
      <c r="R431" s="38" t="str">
        <f t="array" ref="R431">IF($E431&lt;&gt;"",IFERROR(INDEX(ISIN!$C:$C,MATCH($E431,ISIN!$A:$A,0)),IFERROR(INDEX($R432:$R1200,MATCH($K431,$K432:$K1200,0)))),IF(AND($Y431="change",$H431="EUR"),IF($O431=$O432,$R432,IF($O431=$O430,$R430)),IFERROR(INDEX($R432:$R1200,MATCH(SUBSTITUTE($I431,"-","",1),$K432:$K1200,0)))))</f>
        <v/>
      </c>
      <c r="S431" s="37" t="str">
        <f t="shared" si="1"/>
        <v/>
      </c>
      <c r="T431" s="39" t="str">
        <f t="shared" si="2"/>
        <v/>
      </c>
      <c r="U431" s="40" t="str">
        <f t="shared" si="3"/>
        <v/>
      </c>
      <c r="V431" s="34" t="str">
        <f t="shared" si="4"/>
        <v/>
      </c>
      <c r="W431" s="41" t="str">
        <f>IFERROR(__xludf.DUMMYFUNCTION(" IF(Account!$F431&lt;&gt;"""", SPLIT(Account!$F431, "" ""), """")"),"")</f>
        <v/>
      </c>
      <c r="X431" s="42"/>
      <c r="Y431" s="42"/>
      <c r="Z431" s="42"/>
      <c r="AA431" s="42"/>
      <c r="AB431" s="42"/>
      <c r="AC431" s="42"/>
      <c r="AD431" s="42"/>
      <c r="AE431" s="42"/>
      <c r="AF431" s="42"/>
      <c r="AG431" s="42"/>
      <c r="AH431" s="42"/>
      <c r="AI431" s="42"/>
      <c r="AJ431" s="42"/>
      <c r="AK431" s="42"/>
    </row>
    <row r="432">
      <c r="A432" s="20"/>
      <c r="B432" s="20"/>
      <c r="C432" s="20"/>
      <c r="D432" s="20"/>
      <c r="E432" s="20"/>
      <c r="F432" s="21"/>
      <c r="G432" s="45"/>
      <c r="H432" s="20"/>
      <c r="I432" s="20"/>
      <c r="J432" s="20"/>
      <c r="K432" s="20"/>
      <c r="L432" s="21"/>
      <c r="M432" s="33" t="str">
        <f>IFERROR(__xludf.DUMMYFUNCTION("IFS(W432=""Achat"",IFERROR(VALUE(X432),VALUE(REGEXREPLACE(T(X432),""[^0-9]"",""""))),W432=""Vente"",-IFERROR(VALUE(X432),VALUE(REGEXREPLACE(T(X432),""[^0-9]"",""""))),Y432=""Change"",0,Y432&lt;&gt;""Change"","""")"),"")</f>
        <v/>
      </c>
      <c r="N432" s="34" t="str">
        <f>IFERROR(__xludf.DUMMYFUNCTION("IF(Account!$F432&lt;&gt;"""", VALUE(REGEXREPLACE($I432, ""\,"", ""."")), """")"),"")</f>
        <v/>
      </c>
      <c r="O432" s="35" t="str">
        <f>IF(Account!$F432&lt;&gt;"", DATEVALUE(MID($A432,4,3) &amp; LEFT($A432,3) &amp; RIGHT($A432,4)) + TIMEVALUE($B432), "")</f>
        <v/>
      </c>
      <c r="P432" s="36" t="str">
        <f>IF(Account!$F432&lt;&gt;"", DATEVALUE(MID($C432,4,3) &amp; LEFT($C432,3) &amp; RIGHT($C432,4)), "")</f>
        <v/>
      </c>
      <c r="Q432" s="37" t="str">
        <f t="array" ref="Q432">IF($R432&lt;&gt;"",IFERROR(INDEX(ISIN!$B:$B,MATCH($R432,ISIN!$C:$C,0))),)</f>
        <v/>
      </c>
      <c r="R432" s="38" t="str">
        <f t="array" ref="R432">IF($E432&lt;&gt;"",IFERROR(INDEX(ISIN!$C:$C,MATCH($E432,ISIN!$A:$A,0)),IFERROR(INDEX($R433:$R1200,MATCH($K432,$K433:$K1200,0)))),IF(AND($Y432="change",$H432="EUR"),IF($O432=$O433,$R433,IF($O432=$O431,$R431)),IFERROR(INDEX($R433:$R1200,MATCH(SUBSTITUTE($I432,"-","",1),$K433:$K1200,0)))))</f>
        <v/>
      </c>
      <c r="S432" s="37" t="str">
        <f t="shared" si="1"/>
        <v/>
      </c>
      <c r="T432" s="39" t="str">
        <f t="shared" si="2"/>
        <v/>
      </c>
      <c r="U432" s="40" t="str">
        <f t="shared" si="3"/>
        <v/>
      </c>
      <c r="V432" s="34" t="str">
        <f t="shared" si="4"/>
        <v/>
      </c>
      <c r="W432" s="41" t="str">
        <f>IFERROR(__xludf.DUMMYFUNCTION(" IF(Account!$F432&lt;&gt;"""", SPLIT(Account!$F432, "" ""), """")"),"")</f>
        <v/>
      </c>
      <c r="X432" s="42"/>
      <c r="Y432" s="42"/>
      <c r="Z432" s="42"/>
      <c r="AA432" s="42"/>
      <c r="AB432" s="42"/>
      <c r="AC432" s="42"/>
      <c r="AD432" s="42"/>
      <c r="AE432" s="42"/>
      <c r="AF432" s="42"/>
      <c r="AG432" s="42"/>
      <c r="AH432" s="42"/>
      <c r="AI432" s="42"/>
      <c r="AJ432" s="42"/>
      <c r="AK432" s="42"/>
    </row>
    <row r="433">
      <c r="A433" s="20"/>
      <c r="B433" s="20"/>
      <c r="C433" s="20"/>
      <c r="D433" s="20"/>
      <c r="E433" s="20"/>
      <c r="F433" s="21"/>
      <c r="G433" s="45"/>
      <c r="H433" s="20"/>
      <c r="I433" s="20"/>
      <c r="J433" s="20"/>
      <c r="K433" s="20"/>
      <c r="L433" s="21"/>
      <c r="M433" s="33" t="str">
        <f>IFERROR(__xludf.DUMMYFUNCTION("IFS(W433=""Achat"",IFERROR(VALUE(X433),VALUE(REGEXREPLACE(T(X433),""[^0-9]"",""""))),W433=""Vente"",-IFERROR(VALUE(X433),VALUE(REGEXREPLACE(T(X433),""[^0-9]"",""""))),Y433=""Change"",0,Y433&lt;&gt;""Change"","""")"),"")</f>
        <v/>
      </c>
      <c r="N433" s="34" t="str">
        <f>IFERROR(__xludf.DUMMYFUNCTION("IF(Account!$F433&lt;&gt;"""", VALUE(REGEXREPLACE($I433, ""\,"", ""."")), """")"),"")</f>
        <v/>
      </c>
      <c r="O433" s="35" t="str">
        <f>IF(Account!$F433&lt;&gt;"", DATEVALUE(MID($A433,4,3) &amp; LEFT($A433,3) &amp; RIGHT($A433,4)) + TIMEVALUE($B433), "")</f>
        <v/>
      </c>
      <c r="P433" s="36" t="str">
        <f>IF(Account!$F433&lt;&gt;"", DATEVALUE(MID($C433,4,3) &amp; LEFT($C433,3) &amp; RIGHT($C433,4)), "")</f>
        <v/>
      </c>
      <c r="Q433" s="37" t="str">
        <f t="array" ref="Q433">IF($R433&lt;&gt;"",IFERROR(INDEX(ISIN!$B:$B,MATCH($R433,ISIN!$C:$C,0))),)</f>
        <v/>
      </c>
      <c r="R433" s="38" t="str">
        <f t="array" ref="R433">IF($E433&lt;&gt;"",IFERROR(INDEX(ISIN!$C:$C,MATCH($E433,ISIN!$A:$A,0)),IFERROR(INDEX($R434:$R1200,MATCH($K433,$K434:$K1200,0)))),IF(AND($Y433="change",$H433="EUR"),IF($O433=$O434,$R434,IF($O433=$O432,$R432)),IFERROR(INDEX($R434:$R1200,MATCH(SUBSTITUTE($I433,"-","",1),$K434:$K1200,0)))))</f>
        <v/>
      </c>
      <c r="S433" s="37" t="str">
        <f t="shared" si="1"/>
        <v/>
      </c>
      <c r="T433" s="39" t="str">
        <f t="shared" si="2"/>
        <v/>
      </c>
      <c r="U433" s="40" t="str">
        <f t="shared" si="3"/>
        <v/>
      </c>
      <c r="V433" s="34" t="str">
        <f t="shared" si="4"/>
        <v/>
      </c>
      <c r="W433" s="41" t="str">
        <f>IFERROR(__xludf.DUMMYFUNCTION(" IF(Account!$F433&lt;&gt;"""", SPLIT(Account!$F433, "" ""), """")"),"")</f>
        <v/>
      </c>
      <c r="X433" s="42"/>
      <c r="Y433" s="42"/>
      <c r="Z433" s="42"/>
      <c r="AA433" s="42"/>
      <c r="AB433" s="42"/>
      <c r="AC433" s="42"/>
      <c r="AD433" s="42"/>
      <c r="AE433" s="42"/>
      <c r="AF433" s="42"/>
      <c r="AG433" s="42"/>
      <c r="AH433" s="42"/>
      <c r="AI433" s="42"/>
      <c r="AJ433" s="42"/>
      <c r="AK433" s="42"/>
    </row>
    <row r="434">
      <c r="A434" s="20"/>
      <c r="B434" s="20"/>
      <c r="C434" s="20"/>
      <c r="D434" s="20"/>
      <c r="E434" s="20"/>
      <c r="F434" s="21"/>
      <c r="G434" s="45"/>
      <c r="H434" s="20"/>
      <c r="I434" s="20"/>
      <c r="J434" s="20"/>
      <c r="K434" s="20"/>
      <c r="L434" s="21"/>
      <c r="M434" s="33" t="str">
        <f>IFERROR(__xludf.DUMMYFUNCTION("IFS(W434=""Achat"",IFERROR(VALUE(X434),VALUE(REGEXREPLACE(T(X434),""[^0-9]"",""""))),W434=""Vente"",-IFERROR(VALUE(X434),VALUE(REGEXREPLACE(T(X434),""[^0-9]"",""""))),Y434=""Change"",0,Y434&lt;&gt;""Change"","""")"),"")</f>
        <v/>
      </c>
      <c r="N434" s="34" t="str">
        <f>IFERROR(__xludf.DUMMYFUNCTION("IF(Account!$F434&lt;&gt;"""", VALUE(REGEXREPLACE($I434, ""\,"", ""."")), """")"),"")</f>
        <v/>
      </c>
      <c r="O434" s="35" t="str">
        <f>IF(Account!$F434&lt;&gt;"", DATEVALUE(MID($A434,4,3) &amp; LEFT($A434,3) &amp; RIGHT($A434,4)) + TIMEVALUE($B434), "")</f>
        <v/>
      </c>
      <c r="P434" s="36" t="str">
        <f>IF(Account!$F434&lt;&gt;"", DATEVALUE(MID($C434,4,3) &amp; LEFT($C434,3) &amp; RIGHT($C434,4)), "")</f>
        <v/>
      </c>
      <c r="Q434" s="37" t="str">
        <f t="array" ref="Q434">IF($R434&lt;&gt;"",IFERROR(INDEX(ISIN!$B:$B,MATCH($R434,ISIN!$C:$C,0))),)</f>
        <v/>
      </c>
      <c r="R434" s="38" t="str">
        <f t="array" ref="R434">IF($E434&lt;&gt;"",IFERROR(INDEX(ISIN!$C:$C,MATCH($E434,ISIN!$A:$A,0)),IFERROR(INDEX($R435:$R1200,MATCH($K434,$K435:$K1200,0)))),IF(AND($Y434="change",$H434="EUR"),IF($O434=$O435,$R435,IF($O434=$O433,$R433)),IFERROR(INDEX($R435:$R1200,MATCH(SUBSTITUTE($I434,"-","",1),$K435:$K1200,0)))))</f>
        <v/>
      </c>
      <c r="S434" s="37" t="str">
        <f t="shared" si="1"/>
        <v/>
      </c>
      <c r="T434" s="39" t="str">
        <f t="shared" si="2"/>
        <v/>
      </c>
      <c r="U434" s="40" t="str">
        <f t="shared" si="3"/>
        <v/>
      </c>
      <c r="V434" s="34" t="str">
        <f t="shared" si="4"/>
        <v/>
      </c>
      <c r="W434" s="41" t="str">
        <f>IFERROR(__xludf.DUMMYFUNCTION(" IF(Account!$F434&lt;&gt;"""", SPLIT(Account!$F434, "" ""), """")"),"")</f>
        <v/>
      </c>
      <c r="X434" s="42"/>
      <c r="Y434" s="42"/>
      <c r="Z434" s="42"/>
      <c r="AA434" s="42"/>
      <c r="AB434" s="42"/>
      <c r="AC434" s="42"/>
      <c r="AD434" s="42"/>
      <c r="AE434" s="42"/>
      <c r="AF434" s="42"/>
      <c r="AG434" s="42"/>
      <c r="AH434" s="42"/>
      <c r="AI434" s="42"/>
      <c r="AJ434" s="42"/>
      <c r="AK434" s="42"/>
    </row>
    <row r="435">
      <c r="A435" s="20"/>
      <c r="B435" s="20"/>
      <c r="C435" s="20"/>
      <c r="D435" s="20"/>
      <c r="E435" s="20"/>
      <c r="F435" s="21"/>
      <c r="G435" s="20"/>
      <c r="H435" s="20"/>
      <c r="I435" s="20"/>
      <c r="J435" s="20"/>
      <c r="K435" s="20"/>
      <c r="L435" s="21"/>
      <c r="M435" s="33" t="str">
        <f>IFERROR(__xludf.DUMMYFUNCTION("IFS(W435=""Achat"",IFERROR(VALUE(X435),VALUE(REGEXREPLACE(T(X435),""[^0-9]"",""""))),W435=""Vente"",-IFERROR(VALUE(X435),VALUE(REGEXREPLACE(T(X435),""[^0-9]"",""""))),Y435=""Change"",0,Y435&lt;&gt;""Change"","""")"),"")</f>
        <v/>
      </c>
      <c r="N435" s="34" t="str">
        <f>IFERROR(__xludf.DUMMYFUNCTION("IF(Account!$F435&lt;&gt;"""", VALUE(REGEXREPLACE($I435, ""\,"", ""."")), """")"),"")</f>
        <v/>
      </c>
      <c r="O435" s="35" t="str">
        <f>IF(Account!$F435&lt;&gt;"", DATEVALUE(MID($A435,4,3) &amp; LEFT($A435,3) &amp; RIGHT($A435,4)) + TIMEVALUE($B435), "")</f>
        <v/>
      </c>
      <c r="P435" s="36" t="str">
        <f>IF(Account!$F435&lt;&gt;"", DATEVALUE(MID($C435,4,3) &amp; LEFT($C435,3) &amp; RIGHT($C435,4)), "")</f>
        <v/>
      </c>
      <c r="Q435" s="37" t="str">
        <f t="array" ref="Q435">IF($R435&lt;&gt;"",IFERROR(INDEX(ISIN!$B:$B,MATCH($R435,ISIN!$C:$C,0))),)</f>
        <v/>
      </c>
      <c r="R435" s="38" t="str">
        <f t="array" ref="R435">IF($E435&lt;&gt;"",IFERROR(INDEX(ISIN!$C:$C,MATCH($E435,ISIN!$A:$A,0)),IFERROR(INDEX($R436:$R1200,MATCH($K435,$K436:$K1200,0)))),IF(AND($Y435="change",$H435="EUR"),IF($O435=$O436,$R436,IF($O435=$O434,$R434)),IFERROR(INDEX($R436:$R1200,MATCH(SUBSTITUTE($I435,"-","",1),$K436:$K1200,0)))))</f>
        <v/>
      </c>
      <c r="S435" s="37" t="str">
        <f t="shared" si="1"/>
        <v/>
      </c>
      <c r="T435" s="39" t="str">
        <f t="shared" si="2"/>
        <v/>
      </c>
      <c r="U435" s="40" t="str">
        <f t="shared" si="3"/>
        <v/>
      </c>
      <c r="V435" s="34" t="str">
        <f t="shared" si="4"/>
        <v/>
      </c>
      <c r="W435" s="41" t="str">
        <f>IFERROR(__xludf.DUMMYFUNCTION(" IF(Account!$F435&lt;&gt;"""", SPLIT(Account!$F435, "" ""), """")"),"")</f>
        <v/>
      </c>
      <c r="X435" s="42"/>
      <c r="Y435" s="42"/>
      <c r="Z435" s="42"/>
      <c r="AA435" s="42"/>
      <c r="AB435" s="42"/>
      <c r="AC435" s="42"/>
      <c r="AD435" s="42"/>
      <c r="AE435" s="42"/>
      <c r="AF435" s="42"/>
      <c r="AG435" s="42"/>
      <c r="AH435" s="42"/>
      <c r="AI435" s="42"/>
      <c r="AJ435" s="42"/>
      <c r="AK435" s="42"/>
    </row>
    <row r="436">
      <c r="A436" s="20"/>
      <c r="B436" s="20"/>
      <c r="C436" s="20"/>
      <c r="D436" s="20"/>
      <c r="E436" s="20"/>
      <c r="F436" s="21"/>
      <c r="G436" s="45"/>
      <c r="H436" s="20"/>
      <c r="I436" s="20"/>
      <c r="J436" s="20"/>
      <c r="K436" s="20"/>
      <c r="L436" s="21"/>
      <c r="M436" s="33" t="str">
        <f>IFERROR(__xludf.DUMMYFUNCTION("IFS(W436=""Achat"",IFERROR(VALUE(X436),VALUE(REGEXREPLACE(T(X436),""[^0-9]"",""""))),W436=""Vente"",-IFERROR(VALUE(X436),VALUE(REGEXREPLACE(T(X436),""[^0-9]"",""""))),Y436=""Change"",0,Y436&lt;&gt;""Change"","""")"),"")</f>
        <v/>
      </c>
      <c r="N436" s="34" t="str">
        <f>IFERROR(__xludf.DUMMYFUNCTION("IF(Account!$F436&lt;&gt;"""", VALUE(REGEXREPLACE($I436, ""\,"", ""."")), """")"),"")</f>
        <v/>
      </c>
      <c r="O436" s="35" t="str">
        <f>IF(Account!$F436&lt;&gt;"", DATEVALUE(MID($A436,4,3) &amp; LEFT($A436,3) &amp; RIGHT($A436,4)) + TIMEVALUE($B436), "")</f>
        <v/>
      </c>
      <c r="P436" s="36" t="str">
        <f>IF(Account!$F436&lt;&gt;"", DATEVALUE(MID($C436,4,3) &amp; LEFT($C436,3) &amp; RIGHT($C436,4)), "")</f>
        <v/>
      </c>
      <c r="Q436" s="37" t="str">
        <f t="array" ref="Q436">IF($R436&lt;&gt;"",IFERROR(INDEX(ISIN!$B:$B,MATCH($R436,ISIN!$C:$C,0))),)</f>
        <v/>
      </c>
      <c r="R436" s="38" t="str">
        <f t="array" ref="R436">IF($E436&lt;&gt;"",IFERROR(INDEX(ISIN!$C:$C,MATCH($E436,ISIN!$A:$A,0)),IFERROR(INDEX($R437:$R1200,MATCH($K436,$K437:$K1200,0)))),IF(AND($Y436="change",$H436="EUR"),IF($O436=$O437,$R437,IF($O436=$O435,$R435)),IFERROR(INDEX($R437:$R1200,MATCH(SUBSTITUTE($I436,"-","",1),$K437:$K1200,0)))))</f>
        <v/>
      </c>
      <c r="S436" s="37" t="str">
        <f t="shared" si="1"/>
        <v/>
      </c>
      <c r="T436" s="39" t="str">
        <f t="shared" si="2"/>
        <v/>
      </c>
      <c r="U436" s="40" t="str">
        <f t="shared" si="3"/>
        <v/>
      </c>
      <c r="V436" s="34" t="str">
        <f t="shared" si="4"/>
        <v/>
      </c>
      <c r="W436" s="41" t="str">
        <f>IFERROR(__xludf.DUMMYFUNCTION(" IF(Account!$F436&lt;&gt;"""", SPLIT(Account!$F436, "" ""), """")"),"")</f>
        <v/>
      </c>
      <c r="X436" s="42"/>
      <c r="Y436" s="42"/>
      <c r="Z436" s="42"/>
      <c r="AA436" s="42"/>
      <c r="AB436" s="42"/>
      <c r="AC436" s="42"/>
      <c r="AD436" s="42"/>
      <c r="AE436" s="42"/>
      <c r="AF436" s="42"/>
      <c r="AG436" s="42"/>
      <c r="AH436" s="42"/>
      <c r="AI436" s="42"/>
      <c r="AJ436" s="42"/>
      <c r="AK436" s="42"/>
    </row>
    <row r="437">
      <c r="A437" s="20"/>
      <c r="B437" s="20"/>
      <c r="C437" s="20"/>
      <c r="D437" s="20"/>
      <c r="E437" s="20"/>
      <c r="F437" s="21"/>
      <c r="G437" s="45"/>
      <c r="H437" s="20"/>
      <c r="I437" s="20"/>
      <c r="J437" s="20"/>
      <c r="K437" s="20"/>
      <c r="L437" s="21"/>
      <c r="M437" s="33" t="str">
        <f>IFERROR(__xludf.DUMMYFUNCTION("IFS(W437=""Achat"",IFERROR(VALUE(X437),VALUE(REGEXREPLACE(T(X437),""[^0-9]"",""""))),W437=""Vente"",-IFERROR(VALUE(X437),VALUE(REGEXREPLACE(T(X437),""[^0-9]"",""""))),Y437=""Change"",0,Y437&lt;&gt;""Change"","""")"),"")</f>
        <v/>
      </c>
      <c r="N437" s="34" t="str">
        <f>IFERROR(__xludf.DUMMYFUNCTION("IF(Account!$F437&lt;&gt;"""", VALUE(REGEXREPLACE($I437, ""\,"", ""."")), """")"),"")</f>
        <v/>
      </c>
      <c r="O437" s="35" t="str">
        <f>IF(Account!$F437&lt;&gt;"", DATEVALUE(MID($A437,4,3) &amp; LEFT($A437,3) &amp; RIGHT($A437,4)) + TIMEVALUE($B437), "")</f>
        <v/>
      </c>
      <c r="P437" s="36" t="str">
        <f>IF(Account!$F437&lt;&gt;"", DATEVALUE(MID($C437,4,3) &amp; LEFT($C437,3) &amp; RIGHT($C437,4)), "")</f>
        <v/>
      </c>
      <c r="Q437" s="37" t="str">
        <f t="array" ref="Q437">IF($R437&lt;&gt;"",IFERROR(INDEX(ISIN!$B:$B,MATCH($R437,ISIN!$C:$C,0))),)</f>
        <v/>
      </c>
      <c r="R437" s="38" t="str">
        <f t="array" ref="R437">IF($E437&lt;&gt;"",IFERROR(INDEX(ISIN!$C:$C,MATCH($E437,ISIN!$A:$A,0)),IFERROR(INDEX($R438:$R1200,MATCH($K437,$K438:$K1200,0)))),IF(AND($Y437="change",$H437="EUR"),IF($O437=$O438,$R438,IF($O437=$O436,$R436)),IFERROR(INDEX($R438:$R1200,MATCH(SUBSTITUTE($I437,"-","",1),$K438:$K1200,0)))))</f>
        <v/>
      </c>
      <c r="S437" s="37" t="str">
        <f t="shared" si="1"/>
        <v/>
      </c>
      <c r="T437" s="39" t="str">
        <f t="shared" si="2"/>
        <v/>
      </c>
      <c r="U437" s="40" t="str">
        <f t="shared" si="3"/>
        <v/>
      </c>
      <c r="V437" s="34" t="str">
        <f t="shared" si="4"/>
        <v/>
      </c>
      <c r="W437" s="41" t="str">
        <f>IFERROR(__xludf.DUMMYFUNCTION(" IF(Account!$F437&lt;&gt;"""", SPLIT(Account!$F437, "" ""), """")"),"")</f>
        <v/>
      </c>
      <c r="X437" s="42"/>
      <c r="Y437" s="42"/>
      <c r="Z437" s="42"/>
      <c r="AA437" s="42"/>
      <c r="AB437" s="42"/>
      <c r="AC437" s="42"/>
      <c r="AD437" s="42"/>
      <c r="AE437" s="42"/>
      <c r="AF437" s="42"/>
      <c r="AG437" s="42"/>
      <c r="AH437" s="42"/>
      <c r="AI437" s="42"/>
      <c r="AJ437" s="42"/>
      <c r="AK437" s="42"/>
    </row>
    <row r="438">
      <c r="A438" s="20"/>
      <c r="B438" s="20"/>
      <c r="C438" s="20"/>
      <c r="D438" s="20"/>
      <c r="E438" s="20"/>
      <c r="F438" s="21"/>
      <c r="G438" s="45"/>
      <c r="H438" s="20"/>
      <c r="I438" s="20"/>
      <c r="J438" s="20"/>
      <c r="K438" s="20"/>
      <c r="L438" s="21"/>
      <c r="M438" s="33" t="str">
        <f>IFERROR(__xludf.DUMMYFUNCTION("IFS(W438=""Achat"",IFERROR(VALUE(X438),VALUE(REGEXREPLACE(T(X438),""[^0-9]"",""""))),W438=""Vente"",-IFERROR(VALUE(X438),VALUE(REGEXREPLACE(T(X438),""[^0-9]"",""""))),Y438=""Change"",0,Y438&lt;&gt;""Change"","""")"),"")</f>
        <v/>
      </c>
      <c r="N438" s="34" t="str">
        <f>IFERROR(__xludf.DUMMYFUNCTION("IF(Account!$F438&lt;&gt;"""", VALUE(REGEXREPLACE($I438, ""\,"", ""."")), """")"),"")</f>
        <v/>
      </c>
      <c r="O438" s="35" t="str">
        <f>IF(Account!$F438&lt;&gt;"", DATEVALUE(MID($A438,4,3) &amp; LEFT($A438,3) &amp; RIGHT($A438,4)) + TIMEVALUE($B438), "")</f>
        <v/>
      </c>
      <c r="P438" s="36" t="str">
        <f>IF(Account!$F438&lt;&gt;"", DATEVALUE(MID($C438,4,3) &amp; LEFT($C438,3) &amp; RIGHT($C438,4)), "")</f>
        <v/>
      </c>
      <c r="Q438" s="37" t="str">
        <f t="array" ref="Q438">IF($R438&lt;&gt;"",IFERROR(INDEX(ISIN!$B:$B,MATCH($R438,ISIN!$C:$C,0))),)</f>
        <v/>
      </c>
      <c r="R438" s="38" t="str">
        <f t="array" ref="R438">IF($E438&lt;&gt;"",IFERROR(INDEX(ISIN!$C:$C,MATCH($E438,ISIN!$A:$A,0)),IFERROR(INDEX($R439:$R1200,MATCH($K438,$K439:$K1200,0)))),IF(AND($Y438="change",$H438="EUR"),IF($O438=$O439,$R439,IF($O438=$O437,$R437)),IFERROR(INDEX($R439:$R1200,MATCH(SUBSTITUTE($I438,"-","",1),$K439:$K1200,0)))))</f>
        <v/>
      </c>
      <c r="S438" s="37" t="str">
        <f t="shared" si="1"/>
        <v/>
      </c>
      <c r="T438" s="39" t="str">
        <f t="shared" si="2"/>
        <v/>
      </c>
      <c r="U438" s="40" t="str">
        <f t="shared" si="3"/>
        <v/>
      </c>
      <c r="V438" s="34" t="str">
        <f t="shared" si="4"/>
        <v/>
      </c>
      <c r="W438" s="41" t="str">
        <f>IFERROR(__xludf.DUMMYFUNCTION(" IF(Account!$F438&lt;&gt;"""", SPLIT(Account!$F438, "" ""), """")"),"")</f>
        <v/>
      </c>
      <c r="X438" s="42"/>
      <c r="Y438" s="42"/>
      <c r="Z438" s="42"/>
      <c r="AA438" s="42"/>
      <c r="AB438" s="42"/>
      <c r="AC438" s="42"/>
      <c r="AD438" s="42"/>
      <c r="AE438" s="42"/>
      <c r="AF438" s="42"/>
      <c r="AG438" s="42"/>
      <c r="AH438" s="42"/>
      <c r="AI438" s="42"/>
      <c r="AJ438" s="42"/>
      <c r="AK438" s="42"/>
    </row>
    <row r="439">
      <c r="A439" s="20"/>
      <c r="B439" s="20"/>
      <c r="C439" s="20"/>
      <c r="D439" s="20"/>
      <c r="E439" s="20"/>
      <c r="F439" s="21"/>
      <c r="G439" s="45"/>
      <c r="H439" s="20"/>
      <c r="I439" s="20"/>
      <c r="J439" s="20"/>
      <c r="K439" s="20"/>
      <c r="L439" s="21"/>
      <c r="M439" s="33" t="str">
        <f>IFERROR(__xludf.DUMMYFUNCTION("IFS(W439=""Achat"",IFERROR(VALUE(X439),VALUE(REGEXREPLACE(T(X439),""[^0-9]"",""""))),W439=""Vente"",-IFERROR(VALUE(X439),VALUE(REGEXREPLACE(T(X439),""[^0-9]"",""""))),Y439=""Change"",0,Y439&lt;&gt;""Change"","""")"),"")</f>
        <v/>
      </c>
      <c r="N439" s="34" t="str">
        <f>IFERROR(__xludf.DUMMYFUNCTION("IF(Account!$F439&lt;&gt;"""", VALUE(REGEXREPLACE($I439, ""\,"", ""."")), """")"),"")</f>
        <v/>
      </c>
      <c r="O439" s="35" t="str">
        <f>IF(Account!$F439&lt;&gt;"", DATEVALUE(MID($A439,4,3) &amp; LEFT($A439,3) &amp; RIGHT($A439,4)) + TIMEVALUE($B439), "")</f>
        <v/>
      </c>
      <c r="P439" s="36" t="str">
        <f>IF(Account!$F439&lt;&gt;"", DATEVALUE(MID($C439,4,3) &amp; LEFT($C439,3) &amp; RIGHT($C439,4)), "")</f>
        <v/>
      </c>
      <c r="Q439" s="37" t="str">
        <f t="array" ref="Q439">IF($R439&lt;&gt;"",IFERROR(INDEX(ISIN!$B:$B,MATCH($R439,ISIN!$C:$C,0))),)</f>
        <v/>
      </c>
      <c r="R439" s="38" t="str">
        <f t="array" ref="R439">IF($E439&lt;&gt;"",IFERROR(INDEX(ISIN!$C:$C,MATCH($E439,ISIN!$A:$A,0)),IFERROR(INDEX($R440:$R1200,MATCH($K439,$K440:$K1200,0)))),IF(AND($Y439="change",$H439="EUR"),IF($O439=$O440,$R440,IF($O439=$O438,$R438)),IFERROR(INDEX($R440:$R1200,MATCH(SUBSTITUTE($I439,"-","",1),$K440:$K1200,0)))))</f>
        <v/>
      </c>
      <c r="S439" s="37" t="str">
        <f t="shared" si="1"/>
        <v/>
      </c>
      <c r="T439" s="39" t="str">
        <f t="shared" si="2"/>
        <v/>
      </c>
      <c r="U439" s="40" t="str">
        <f t="shared" si="3"/>
        <v/>
      </c>
      <c r="V439" s="34" t="str">
        <f t="shared" si="4"/>
        <v/>
      </c>
      <c r="W439" s="41" t="str">
        <f>IFERROR(__xludf.DUMMYFUNCTION(" IF(Account!$F439&lt;&gt;"""", SPLIT(Account!$F439, "" ""), """")"),"")</f>
        <v/>
      </c>
      <c r="X439" s="42"/>
      <c r="Y439" s="42"/>
      <c r="Z439" s="42"/>
      <c r="AA439" s="42"/>
      <c r="AB439" s="42"/>
      <c r="AC439" s="42"/>
      <c r="AD439" s="42"/>
      <c r="AE439" s="42"/>
      <c r="AF439" s="42"/>
      <c r="AG439" s="42"/>
      <c r="AH439" s="42"/>
      <c r="AI439" s="42"/>
      <c r="AJ439" s="42"/>
      <c r="AK439" s="42"/>
    </row>
    <row r="440">
      <c r="A440" s="20"/>
      <c r="B440" s="20"/>
      <c r="C440" s="20"/>
      <c r="D440" s="20"/>
      <c r="E440" s="20"/>
      <c r="F440" s="21"/>
      <c r="G440" s="20"/>
      <c r="H440" s="20"/>
      <c r="I440" s="20"/>
      <c r="J440" s="20"/>
      <c r="K440" s="20"/>
      <c r="L440" s="21"/>
      <c r="M440" s="33" t="str">
        <f>IFERROR(__xludf.DUMMYFUNCTION("IFS(W440=""Achat"",IFERROR(VALUE(X440),VALUE(REGEXREPLACE(T(X440),""[^0-9]"",""""))),W440=""Vente"",-IFERROR(VALUE(X440),VALUE(REGEXREPLACE(T(X440),""[^0-9]"",""""))),Y440=""Change"",0,Y440&lt;&gt;""Change"","""")"),"")</f>
        <v/>
      </c>
      <c r="N440" s="34" t="str">
        <f>IFERROR(__xludf.DUMMYFUNCTION("IF(Account!$F440&lt;&gt;"""", VALUE(REGEXREPLACE($I440, ""\,"", ""."")), """")"),"")</f>
        <v/>
      </c>
      <c r="O440" s="35" t="str">
        <f>IF(Account!$F440&lt;&gt;"", DATEVALUE(MID($A440,4,3) &amp; LEFT($A440,3) &amp; RIGHT($A440,4)) + TIMEVALUE($B440), "")</f>
        <v/>
      </c>
      <c r="P440" s="36" t="str">
        <f>IF(Account!$F440&lt;&gt;"", DATEVALUE(MID($C440,4,3) &amp; LEFT($C440,3) &amp; RIGHT($C440,4)), "")</f>
        <v/>
      </c>
      <c r="Q440" s="37" t="str">
        <f t="array" ref="Q440">IF($R440&lt;&gt;"",IFERROR(INDEX(ISIN!$B:$B,MATCH($R440,ISIN!$C:$C,0))),)</f>
        <v/>
      </c>
      <c r="R440" s="38" t="str">
        <f t="array" ref="R440">IF($E440&lt;&gt;"",IFERROR(INDEX(ISIN!$C:$C,MATCH($E440,ISIN!$A:$A,0)),IFERROR(INDEX($R441:$R1200,MATCH($K440,$K441:$K1200,0)))),IF(AND($Y440="change",$H440="EUR"),IF($O440=$O441,$R441,IF($O440=$O439,$R439)),IFERROR(INDEX($R441:$R1200,MATCH(SUBSTITUTE($I440,"-","",1),$K441:$K1200,0)))))</f>
        <v/>
      </c>
      <c r="S440" s="37" t="str">
        <f t="shared" si="1"/>
        <v/>
      </c>
      <c r="T440" s="39" t="str">
        <f t="shared" si="2"/>
        <v/>
      </c>
      <c r="U440" s="40" t="str">
        <f t="shared" si="3"/>
        <v/>
      </c>
      <c r="V440" s="34" t="str">
        <f t="shared" si="4"/>
        <v/>
      </c>
      <c r="W440" s="41" t="str">
        <f>IFERROR(__xludf.DUMMYFUNCTION(" IF(Account!$F440&lt;&gt;"""", SPLIT(Account!$F440, "" ""), """")"),"")</f>
        <v/>
      </c>
      <c r="X440" s="42"/>
      <c r="Y440" s="42"/>
      <c r="Z440" s="42"/>
      <c r="AA440" s="42"/>
      <c r="AB440" s="42"/>
      <c r="AC440" s="42"/>
      <c r="AD440" s="42"/>
      <c r="AE440" s="42"/>
      <c r="AF440" s="42"/>
      <c r="AG440" s="42"/>
      <c r="AH440" s="42"/>
      <c r="AI440" s="42"/>
      <c r="AJ440" s="42"/>
      <c r="AK440" s="42"/>
    </row>
    <row r="441">
      <c r="A441" s="20"/>
      <c r="B441" s="20"/>
      <c r="C441" s="20"/>
      <c r="D441" s="20"/>
      <c r="E441" s="20"/>
      <c r="F441" s="21"/>
      <c r="G441" s="45"/>
      <c r="H441" s="20"/>
      <c r="I441" s="20"/>
      <c r="J441" s="20"/>
      <c r="K441" s="20"/>
      <c r="L441" s="21"/>
      <c r="M441" s="33" t="str">
        <f>IFERROR(__xludf.DUMMYFUNCTION("IFS(W441=""Achat"",IFERROR(VALUE(X441),VALUE(REGEXREPLACE(T(X441),""[^0-9]"",""""))),W441=""Vente"",-IFERROR(VALUE(X441),VALUE(REGEXREPLACE(T(X441),""[^0-9]"",""""))),Y441=""Change"",0,Y441&lt;&gt;""Change"","""")"),"")</f>
        <v/>
      </c>
      <c r="N441" s="34" t="str">
        <f>IFERROR(__xludf.DUMMYFUNCTION("IF(Account!$F441&lt;&gt;"""", VALUE(REGEXREPLACE($I441, ""\,"", ""."")), """")"),"")</f>
        <v/>
      </c>
      <c r="O441" s="35" t="str">
        <f>IF(Account!$F441&lt;&gt;"", DATEVALUE(MID($A441,4,3) &amp; LEFT($A441,3) &amp; RIGHT($A441,4)) + TIMEVALUE($B441), "")</f>
        <v/>
      </c>
      <c r="P441" s="36" t="str">
        <f>IF(Account!$F441&lt;&gt;"", DATEVALUE(MID($C441,4,3) &amp; LEFT($C441,3) &amp; RIGHT($C441,4)), "")</f>
        <v/>
      </c>
      <c r="Q441" s="37" t="str">
        <f t="array" ref="Q441">IF($R441&lt;&gt;"",IFERROR(INDEX(ISIN!$B:$B,MATCH($R441,ISIN!$C:$C,0))),)</f>
        <v/>
      </c>
      <c r="R441" s="38" t="str">
        <f t="array" ref="R441">IF($E441&lt;&gt;"",IFERROR(INDEX(ISIN!$C:$C,MATCH($E441,ISIN!$A:$A,0)),IFERROR(INDEX($R442:$R1200,MATCH($K441,$K442:$K1200,0)))),IF(AND($Y441="change",$H441="EUR"),IF($O441=$O442,$R442,IF($O441=$O440,$R440)),IFERROR(INDEX($R442:$R1200,MATCH(SUBSTITUTE($I441,"-","",1),$K442:$K1200,0)))))</f>
        <v/>
      </c>
      <c r="S441" s="37" t="str">
        <f t="shared" si="1"/>
        <v/>
      </c>
      <c r="T441" s="39" t="str">
        <f t="shared" si="2"/>
        <v/>
      </c>
      <c r="U441" s="40" t="str">
        <f t="shared" si="3"/>
        <v/>
      </c>
      <c r="V441" s="34" t="str">
        <f t="shared" si="4"/>
        <v/>
      </c>
      <c r="W441" s="41" t="str">
        <f>IFERROR(__xludf.DUMMYFUNCTION(" IF(Account!$F441&lt;&gt;"""", SPLIT(Account!$F441, "" ""), """")"),"")</f>
        <v/>
      </c>
      <c r="X441" s="42"/>
      <c r="Y441" s="42"/>
      <c r="Z441" s="42"/>
      <c r="AA441" s="42"/>
      <c r="AB441" s="42"/>
      <c r="AC441" s="42"/>
      <c r="AD441" s="42"/>
      <c r="AE441" s="42"/>
      <c r="AF441" s="42"/>
      <c r="AG441" s="42"/>
      <c r="AH441" s="42"/>
      <c r="AI441" s="42"/>
      <c r="AJ441" s="42"/>
      <c r="AK441" s="42"/>
    </row>
    <row r="442">
      <c r="A442" s="20"/>
      <c r="B442" s="20"/>
      <c r="C442" s="20"/>
      <c r="D442" s="20"/>
      <c r="E442" s="20"/>
      <c r="F442" s="21"/>
      <c r="G442" s="45"/>
      <c r="H442" s="20"/>
      <c r="I442" s="20"/>
      <c r="J442" s="20"/>
      <c r="K442" s="20"/>
      <c r="L442" s="21"/>
      <c r="M442" s="33" t="str">
        <f>IFERROR(__xludf.DUMMYFUNCTION("IFS(W442=""Achat"",IFERROR(VALUE(X442),VALUE(REGEXREPLACE(T(X442),""[^0-9]"",""""))),W442=""Vente"",-IFERROR(VALUE(X442),VALUE(REGEXREPLACE(T(X442),""[^0-9]"",""""))),Y442=""Change"",0,Y442&lt;&gt;""Change"","""")"),"")</f>
        <v/>
      </c>
      <c r="N442" s="34" t="str">
        <f>IFERROR(__xludf.DUMMYFUNCTION("IF(Account!$F442&lt;&gt;"""", VALUE(REGEXREPLACE($I442, ""\,"", ""."")), """")"),"")</f>
        <v/>
      </c>
      <c r="O442" s="35" t="str">
        <f>IF(Account!$F442&lt;&gt;"", DATEVALUE(MID($A442,4,3) &amp; LEFT($A442,3) &amp; RIGHT($A442,4)) + TIMEVALUE($B442), "")</f>
        <v/>
      </c>
      <c r="P442" s="36" t="str">
        <f>IF(Account!$F442&lt;&gt;"", DATEVALUE(MID($C442,4,3) &amp; LEFT($C442,3) &amp; RIGHT($C442,4)), "")</f>
        <v/>
      </c>
      <c r="Q442" s="37" t="str">
        <f t="array" ref="Q442">IF($R442&lt;&gt;"",IFERROR(INDEX(ISIN!$B:$B,MATCH($R442,ISIN!$C:$C,0))),)</f>
        <v/>
      </c>
      <c r="R442" s="38" t="str">
        <f t="array" ref="R442">IF($E442&lt;&gt;"",IFERROR(INDEX(ISIN!$C:$C,MATCH($E442,ISIN!$A:$A,0)),IFERROR(INDEX($R443:$R1200,MATCH($K442,$K443:$K1200,0)))),IF(AND($Y442="change",$H442="EUR"),IF($O442=$O443,$R443,IF($O442=$O441,$R441)),IFERROR(INDEX($R443:$R1200,MATCH(SUBSTITUTE($I442,"-","",1),$K443:$K1200,0)))))</f>
        <v/>
      </c>
      <c r="S442" s="37" t="str">
        <f t="shared" si="1"/>
        <v/>
      </c>
      <c r="T442" s="39" t="str">
        <f t="shared" si="2"/>
        <v/>
      </c>
      <c r="U442" s="40" t="str">
        <f t="shared" si="3"/>
        <v/>
      </c>
      <c r="V442" s="34" t="str">
        <f t="shared" si="4"/>
        <v/>
      </c>
      <c r="W442" s="41" t="str">
        <f>IFERROR(__xludf.DUMMYFUNCTION(" IF(Account!$F442&lt;&gt;"""", SPLIT(Account!$F442, "" ""), """")"),"")</f>
        <v/>
      </c>
      <c r="X442" s="42"/>
      <c r="Y442" s="42"/>
      <c r="Z442" s="42"/>
      <c r="AA442" s="42"/>
      <c r="AB442" s="42"/>
      <c r="AC442" s="42"/>
      <c r="AD442" s="42"/>
      <c r="AE442" s="42"/>
      <c r="AF442" s="42"/>
      <c r="AG442" s="42"/>
      <c r="AH442" s="42"/>
      <c r="AI442" s="42"/>
      <c r="AJ442" s="42"/>
      <c r="AK442" s="42"/>
    </row>
    <row r="443">
      <c r="A443" s="20"/>
      <c r="B443" s="20"/>
      <c r="C443" s="20"/>
      <c r="D443" s="20"/>
      <c r="E443" s="20"/>
      <c r="F443" s="21"/>
      <c r="G443" s="20"/>
      <c r="H443" s="20"/>
      <c r="I443" s="20"/>
      <c r="J443" s="20"/>
      <c r="K443" s="20"/>
      <c r="L443" s="21"/>
      <c r="M443" s="33" t="str">
        <f>IFERROR(__xludf.DUMMYFUNCTION("IFS(W443=""Achat"",IFERROR(VALUE(X443),VALUE(REGEXREPLACE(T(X443),""[^0-9]"",""""))),W443=""Vente"",-IFERROR(VALUE(X443),VALUE(REGEXREPLACE(T(X443),""[^0-9]"",""""))),Y443=""Change"",0,Y443&lt;&gt;""Change"","""")"),"")</f>
        <v/>
      </c>
      <c r="N443" s="34" t="str">
        <f>IFERROR(__xludf.DUMMYFUNCTION("IF(Account!$F443&lt;&gt;"""", VALUE(REGEXREPLACE($I443, ""\,"", ""."")), """")"),"")</f>
        <v/>
      </c>
      <c r="O443" s="35" t="str">
        <f>IF(Account!$F443&lt;&gt;"", DATEVALUE(MID($A443,4,3) &amp; LEFT($A443,3) &amp; RIGHT($A443,4)) + TIMEVALUE($B443), "")</f>
        <v/>
      </c>
      <c r="P443" s="36" t="str">
        <f>IF(Account!$F443&lt;&gt;"", DATEVALUE(MID($C443,4,3) &amp; LEFT($C443,3) &amp; RIGHT($C443,4)), "")</f>
        <v/>
      </c>
      <c r="Q443" s="37" t="str">
        <f t="array" ref="Q443">IF($R443&lt;&gt;"",IFERROR(INDEX(ISIN!$B:$B,MATCH($R443,ISIN!$C:$C,0))),)</f>
        <v/>
      </c>
      <c r="R443" s="38" t="str">
        <f t="array" ref="R443">IF($E443&lt;&gt;"",IFERROR(INDEX(ISIN!$C:$C,MATCH($E443,ISIN!$A:$A,0)),IFERROR(INDEX($R444:$R1200,MATCH($K443,$K444:$K1200,0)))),IF(AND($Y443="change",$H443="EUR"),IF($O443=$O444,$R444,IF($O443=$O442,$R442)),IFERROR(INDEX($R444:$R1200,MATCH(SUBSTITUTE($I443,"-","",1),$K444:$K1200,0)))))</f>
        <v/>
      </c>
      <c r="S443" s="37" t="str">
        <f t="shared" si="1"/>
        <v/>
      </c>
      <c r="T443" s="39" t="str">
        <f t="shared" si="2"/>
        <v/>
      </c>
      <c r="U443" s="40" t="str">
        <f t="shared" si="3"/>
        <v/>
      </c>
      <c r="V443" s="34" t="str">
        <f t="shared" si="4"/>
        <v/>
      </c>
      <c r="W443" s="41" t="str">
        <f>IFERROR(__xludf.DUMMYFUNCTION(" IF(Account!$F443&lt;&gt;"""", SPLIT(Account!$F443, "" ""), """")"),"")</f>
        <v/>
      </c>
      <c r="X443" s="42"/>
      <c r="Y443" s="42"/>
      <c r="Z443" s="42"/>
      <c r="AA443" s="42"/>
      <c r="AB443" s="42"/>
      <c r="AC443" s="42"/>
      <c r="AD443" s="42"/>
      <c r="AE443" s="42"/>
      <c r="AF443" s="42"/>
      <c r="AG443" s="42"/>
      <c r="AH443" s="42"/>
      <c r="AI443" s="42"/>
      <c r="AJ443" s="42"/>
      <c r="AK443" s="42"/>
    </row>
    <row r="444">
      <c r="A444" s="20"/>
      <c r="B444" s="20"/>
      <c r="C444" s="20"/>
      <c r="D444" s="20"/>
      <c r="E444" s="20"/>
      <c r="F444" s="21"/>
      <c r="G444" s="45"/>
      <c r="H444" s="20"/>
      <c r="I444" s="20"/>
      <c r="J444" s="20"/>
      <c r="K444" s="20"/>
      <c r="L444" s="21"/>
      <c r="M444" s="33" t="str">
        <f>IFERROR(__xludf.DUMMYFUNCTION("IFS(W444=""Achat"",IFERROR(VALUE(X444),VALUE(REGEXREPLACE(T(X444),""[^0-9]"",""""))),W444=""Vente"",-IFERROR(VALUE(X444),VALUE(REGEXREPLACE(T(X444),""[^0-9]"",""""))),Y444=""Change"",0,Y444&lt;&gt;""Change"","""")"),"")</f>
        <v/>
      </c>
      <c r="N444" s="34" t="str">
        <f>IFERROR(__xludf.DUMMYFUNCTION("IF(Account!$F444&lt;&gt;"""", VALUE(REGEXREPLACE($I444, ""\,"", ""."")), """")"),"")</f>
        <v/>
      </c>
      <c r="O444" s="35" t="str">
        <f>IF(Account!$F444&lt;&gt;"", DATEVALUE(MID($A444,4,3) &amp; LEFT($A444,3) &amp; RIGHT($A444,4)) + TIMEVALUE($B444), "")</f>
        <v/>
      </c>
      <c r="P444" s="36" t="str">
        <f>IF(Account!$F444&lt;&gt;"", DATEVALUE(MID($C444,4,3) &amp; LEFT($C444,3) &amp; RIGHT($C444,4)), "")</f>
        <v/>
      </c>
      <c r="Q444" s="37" t="str">
        <f t="array" ref="Q444">IF($R444&lt;&gt;"",IFERROR(INDEX(ISIN!$B:$B,MATCH($R444,ISIN!$C:$C,0))),)</f>
        <v/>
      </c>
      <c r="R444" s="38" t="str">
        <f t="array" ref="R444">IF($E444&lt;&gt;"",IFERROR(INDEX(ISIN!$C:$C,MATCH($E444,ISIN!$A:$A,0)),IFERROR(INDEX($R445:$R1200,MATCH($K444,$K445:$K1200,0)))),IF(AND($Y444="change",$H444="EUR"),IF($O444=$O445,$R445,IF($O444=$O443,$R443)),IFERROR(INDEX($R445:$R1200,MATCH(SUBSTITUTE($I444,"-","",1),$K445:$K1200,0)))))</f>
        <v/>
      </c>
      <c r="S444" s="37" t="str">
        <f t="shared" si="1"/>
        <v/>
      </c>
      <c r="T444" s="39" t="str">
        <f t="shared" si="2"/>
        <v/>
      </c>
      <c r="U444" s="40" t="str">
        <f t="shared" si="3"/>
        <v/>
      </c>
      <c r="V444" s="34" t="str">
        <f t="shared" si="4"/>
        <v/>
      </c>
      <c r="W444" s="41" t="str">
        <f>IFERROR(__xludf.DUMMYFUNCTION(" IF(Account!$F444&lt;&gt;"""", SPLIT(Account!$F444, "" ""), """")"),"")</f>
        <v/>
      </c>
      <c r="X444" s="42"/>
      <c r="Y444" s="42"/>
      <c r="Z444" s="42"/>
      <c r="AA444" s="42"/>
      <c r="AB444" s="42"/>
      <c r="AC444" s="42"/>
      <c r="AD444" s="42"/>
      <c r="AE444" s="42"/>
      <c r="AF444" s="42"/>
      <c r="AG444" s="42"/>
      <c r="AH444" s="42"/>
      <c r="AI444" s="42"/>
      <c r="AJ444" s="42"/>
      <c r="AK444" s="42"/>
    </row>
    <row r="445">
      <c r="A445" s="20"/>
      <c r="B445" s="20"/>
      <c r="C445" s="20"/>
      <c r="D445" s="20"/>
      <c r="E445" s="20"/>
      <c r="F445" s="21"/>
      <c r="G445" s="45"/>
      <c r="H445" s="20"/>
      <c r="I445" s="20"/>
      <c r="J445" s="20"/>
      <c r="K445" s="20"/>
      <c r="L445" s="21"/>
      <c r="M445" s="33" t="str">
        <f>IFERROR(__xludf.DUMMYFUNCTION("IFS(W445=""Achat"",IFERROR(VALUE(X445),VALUE(REGEXREPLACE(T(X445),""[^0-9]"",""""))),W445=""Vente"",-IFERROR(VALUE(X445),VALUE(REGEXREPLACE(T(X445),""[^0-9]"",""""))),Y445=""Change"",0,Y445&lt;&gt;""Change"","""")"),"")</f>
        <v/>
      </c>
      <c r="N445" s="34" t="str">
        <f>IFERROR(__xludf.DUMMYFUNCTION("IF(Account!$F445&lt;&gt;"""", VALUE(REGEXREPLACE($I445, ""\,"", ""."")), """")"),"")</f>
        <v/>
      </c>
      <c r="O445" s="35" t="str">
        <f>IF(Account!$F445&lt;&gt;"", DATEVALUE(MID($A445,4,3) &amp; LEFT($A445,3) &amp; RIGHT($A445,4)) + TIMEVALUE($B445), "")</f>
        <v/>
      </c>
      <c r="P445" s="36" t="str">
        <f>IF(Account!$F445&lt;&gt;"", DATEVALUE(MID($C445,4,3) &amp; LEFT($C445,3) &amp; RIGHT($C445,4)), "")</f>
        <v/>
      </c>
      <c r="Q445" s="37" t="str">
        <f t="array" ref="Q445">IF($R445&lt;&gt;"",IFERROR(INDEX(ISIN!$B:$B,MATCH($R445,ISIN!$C:$C,0))),)</f>
        <v/>
      </c>
      <c r="R445" s="38" t="str">
        <f t="array" ref="R445">IF($E445&lt;&gt;"",IFERROR(INDEX(ISIN!$C:$C,MATCH($E445,ISIN!$A:$A,0)),IFERROR(INDEX($R446:$R1200,MATCH($K445,$K446:$K1200,0)))),IF(AND($Y445="change",$H445="EUR"),IF($O445=$O446,$R446,IF($O445=$O444,$R444)),IFERROR(INDEX($R446:$R1200,MATCH(SUBSTITUTE($I445,"-","",1),$K446:$K1200,0)))))</f>
        <v/>
      </c>
      <c r="S445" s="37" t="str">
        <f t="shared" si="1"/>
        <v/>
      </c>
      <c r="T445" s="39" t="str">
        <f t="shared" si="2"/>
        <v/>
      </c>
      <c r="U445" s="40" t="str">
        <f t="shared" si="3"/>
        <v/>
      </c>
      <c r="V445" s="34" t="str">
        <f t="shared" si="4"/>
        <v/>
      </c>
      <c r="W445" s="41" t="str">
        <f>IFERROR(__xludf.DUMMYFUNCTION(" IF(Account!$F445&lt;&gt;"""", SPLIT(Account!$F445, "" ""), """")"),"")</f>
        <v/>
      </c>
      <c r="X445" s="42"/>
      <c r="Y445" s="42"/>
      <c r="Z445" s="42"/>
      <c r="AA445" s="42"/>
      <c r="AB445" s="42"/>
      <c r="AC445" s="42"/>
      <c r="AD445" s="42"/>
      <c r="AE445" s="42"/>
      <c r="AF445" s="42"/>
      <c r="AG445" s="42"/>
      <c r="AH445" s="42"/>
      <c r="AI445" s="42"/>
      <c r="AJ445" s="42"/>
      <c r="AK445" s="42"/>
    </row>
    <row r="446">
      <c r="A446" s="20"/>
      <c r="B446" s="20"/>
      <c r="C446" s="20"/>
      <c r="D446" s="20"/>
      <c r="E446" s="20"/>
      <c r="F446" s="21"/>
      <c r="G446" s="45"/>
      <c r="H446" s="20"/>
      <c r="I446" s="20"/>
      <c r="J446" s="20"/>
      <c r="K446" s="20"/>
      <c r="L446" s="21"/>
      <c r="M446" s="33" t="str">
        <f>IFERROR(__xludf.DUMMYFUNCTION("IFS(W446=""Achat"",IFERROR(VALUE(X446),VALUE(REGEXREPLACE(T(X446),""[^0-9]"",""""))),W446=""Vente"",-IFERROR(VALUE(X446),VALUE(REGEXREPLACE(T(X446),""[^0-9]"",""""))),Y446=""Change"",0,Y446&lt;&gt;""Change"","""")"),"")</f>
        <v/>
      </c>
      <c r="N446" s="34" t="str">
        <f>IFERROR(__xludf.DUMMYFUNCTION("IF(Account!$F446&lt;&gt;"""", VALUE(REGEXREPLACE($I446, ""\,"", ""."")), """")"),"")</f>
        <v/>
      </c>
      <c r="O446" s="35" t="str">
        <f>IF(Account!$F446&lt;&gt;"", DATEVALUE(MID($A446,4,3) &amp; LEFT($A446,3) &amp; RIGHT($A446,4)) + TIMEVALUE($B446), "")</f>
        <v/>
      </c>
      <c r="P446" s="36" t="str">
        <f>IF(Account!$F446&lt;&gt;"", DATEVALUE(MID($C446,4,3) &amp; LEFT($C446,3) &amp; RIGHT($C446,4)), "")</f>
        <v/>
      </c>
      <c r="Q446" s="37" t="str">
        <f t="array" ref="Q446">IF($R446&lt;&gt;"",IFERROR(INDEX(ISIN!$B:$B,MATCH($R446,ISIN!$C:$C,0))),)</f>
        <v/>
      </c>
      <c r="R446" s="38" t="str">
        <f t="array" ref="R446">IF($E446&lt;&gt;"",IFERROR(INDEX(ISIN!$C:$C,MATCH($E446,ISIN!$A:$A,0)),IFERROR(INDEX($R447:$R1200,MATCH($K446,$K447:$K1200,0)))),IF(AND($Y446="change",$H446="EUR"),IF($O446=$O447,$R447,IF($O446=$O445,$R445)),IFERROR(INDEX($R447:$R1200,MATCH(SUBSTITUTE($I446,"-","",1),$K447:$K1200,0)))))</f>
        <v/>
      </c>
      <c r="S446" s="37" t="str">
        <f t="shared" si="1"/>
        <v/>
      </c>
      <c r="T446" s="39" t="str">
        <f t="shared" si="2"/>
        <v/>
      </c>
      <c r="U446" s="40" t="str">
        <f t="shared" si="3"/>
        <v/>
      </c>
      <c r="V446" s="34" t="str">
        <f t="shared" si="4"/>
        <v/>
      </c>
      <c r="W446" s="41" t="str">
        <f>IFERROR(__xludf.DUMMYFUNCTION(" IF(Account!$F446&lt;&gt;"""", SPLIT(Account!$F446, "" ""), """")"),"")</f>
        <v/>
      </c>
      <c r="X446" s="42"/>
      <c r="Y446" s="42"/>
      <c r="Z446" s="42"/>
      <c r="AA446" s="42"/>
      <c r="AB446" s="42"/>
      <c r="AC446" s="42"/>
      <c r="AD446" s="42"/>
      <c r="AE446" s="42"/>
      <c r="AF446" s="42"/>
      <c r="AG446" s="42"/>
      <c r="AH446" s="42"/>
      <c r="AI446" s="42"/>
      <c r="AJ446" s="42"/>
      <c r="AK446" s="42"/>
    </row>
    <row r="447">
      <c r="A447" s="20"/>
      <c r="B447" s="20"/>
      <c r="C447" s="20"/>
      <c r="D447" s="20"/>
      <c r="E447" s="20"/>
      <c r="F447" s="21"/>
      <c r="G447" s="45"/>
      <c r="H447" s="20"/>
      <c r="I447" s="20"/>
      <c r="J447" s="20"/>
      <c r="K447" s="20"/>
      <c r="L447" s="21"/>
      <c r="M447" s="33" t="str">
        <f>IFERROR(__xludf.DUMMYFUNCTION("IFS(W447=""Achat"",IFERROR(VALUE(X447),VALUE(REGEXREPLACE(T(X447),""[^0-9]"",""""))),W447=""Vente"",-IFERROR(VALUE(X447),VALUE(REGEXREPLACE(T(X447),""[^0-9]"",""""))),Y447=""Change"",0,Y447&lt;&gt;""Change"","""")"),"")</f>
        <v/>
      </c>
      <c r="N447" s="34" t="str">
        <f>IFERROR(__xludf.DUMMYFUNCTION("IF(Account!$F447&lt;&gt;"""", VALUE(REGEXREPLACE($I447, ""\,"", ""."")), """")"),"")</f>
        <v/>
      </c>
      <c r="O447" s="35" t="str">
        <f>IF(Account!$F447&lt;&gt;"", DATEVALUE(MID($A447,4,3) &amp; LEFT($A447,3) &amp; RIGHT($A447,4)) + TIMEVALUE($B447), "")</f>
        <v/>
      </c>
      <c r="P447" s="36" t="str">
        <f>IF(Account!$F447&lt;&gt;"", DATEVALUE(MID($C447,4,3) &amp; LEFT($C447,3) &amp; RIGHT($C447,4)), "")</f>
        <v/>
      </c>
      <c r="Q447" s="37" t="str">
        <f t="array" ref="Q447">IF($R447&lt;&gt;"",IFERROR(INDEX(ISIN!$B:$B,MATCH($R447,ISIN!$C:$C,0))),)</f>
        <v/>
      </c>
      <c r="R447" s="38" t="str">
        <f t="array" ref="R447">IF($E447&lt;&gt;"",IFERROR(INDEX(ISIN!$C:$C,MATCH($E447,ISIN!$A:$A,0)),IFERROR(INDEX($R448:$R1200,MATCH($K447,$K448:$K1200,0)))),IF(AND($Y447="change",$H447="EUR"),IF($O447=$O448,$R448,IF($O447=$O446,$R446)),IFERROR(INDEX($R448:$R1200,MATCH(SUBSTITUTE($I447,"-","",1),$K448:$K1200,0)))))</f>
        <v/>
      </c>
      <c r="S447" s="37" t="str">
        <f t="shared" si="1"/>
        <v/>
      </c>
      <c r="T447" s="39" t="str">
        <f t="shared" si="2"/>
        <v/>
      </c>
      <c r="U447" s="40" t="str">
        <f t="shared" si="3"/>
        <v/>
      </c>
      <c r="V447" s="34" t="str">
        <f t="shared" si="4"/>
        <v/>
      </c>
      <c r="W447" s="41" t="str">
        <f>IFERROR(__xludf.DUMMYFUNCTION(" IF(Account!$F447&lt;&gt;"""", SPLIT(Account!$F447, "" ""), """")"),"")</f>
        <v/>
      </c>
      <c r="X447" s="42"/>
      <c r="Y447" s="42"/>
      <c r="Z447" s="42"/>
      <c r="AA447" s="42"/>
      <c r="AB447" s="42"/>
      <c r="AC447" s="42"/>
      <c r="AD447" s="42"/>
      <c r="AE447" s="42"/>
      <c r="AF447" s="42"/>
      <c r="AG447" s="42"/>
      <c r="AH447" s="42"/>
      <c r="AI447" s="42"/>
      <c r="AJ447" s="42"/>
      <c r="AK447" s="42"/>
    </row>
    <row r="448">
      <c r="A448" s="20"/>
      <c r="B448" s="20"/>
      <c r="C448" s="20"/>
      <c r="D448" s="20"/>
      <c r="E448" s="20"/>
      <c r="F448" s="21"/>
      <c r="G448" s="20"/>
      <c r="H448" s="20"/>
      <c r="I448" s="20"/>
      <c r="J448" s="20"/>
      <c r="K448" s="20"/>
      <c r="L448" s="21"/>
      <c r="M448" s="33" t="str">
        <f>IFERROR(__xludf.DUMMYFUNCTION("IFS(W448=""Achat"",IFERROR(VALUE(X448),VALUE(REGEXREPLACE(T(X448),""[^0-9]"",""""))),W448=""Vente"",-IFERROR(VALUE(X448),VALUE(REGEXREPLACE(T(X448),""[^0-9]"",""""))),Y448=""Change"",0,Y448&lt;&gt;""Change"","""")"),"")</f>
        <v/>
      </c>
      <c r="N448" s="34" t="str">
        <f>IFERROR(__xludf.DUMMYFUNCTION("IF(Account!$F448&lt;&gt;"""", VALUE(REGEXREPLACE($I448, ""\,"", ""."")), """")"),"")</f>
        <v/>
      </c>
      <c r="O448" s="35" t="str">
        <f>IF(Account!$F448&lt;&gt;"", DATEVALUE(MID($A448,4,3) &amp; LEFT($A448,3) &amp; RIGHT($A448,4)) + TIMEVALUE($B448), "")</f>
        <v/>
      </c>
      <c r="P448" s="36" t="str">
        <f>IF(Account!$F448&lt;&gt;"", DATEVALUE(MID($C448,4,3) &amp; LEFT($C448,3) &amp; RIGHT($C448,4)), "")</f>
        <v/>
      </c>
      <c r="Q448" s="37" t="str">
        <f t="array" ref="Q448">IF($R448&lt;&gt;"",IFERROR(INDEX(ISIN!$B:$B,MATCH($R448,ISIN!$C:$C,0))),)</f>
        <v/>
      </c>
      <c r="R448" s="38" t="str">
        <f t="array" ref="R448">IF($E448&lt;&gt;"",IFERROR(INDEX(ISIN!$C:$C,MATCH($E448,ISIN!$A:$A,0)),IFERROR(INDEX($R449:$R1200,MATCH($K448,$K449:$K1200,0)))),IF(AND($Y448="change",$H448="EUR"),IF($O448=$O449,$R449,IF($O448=$O447,$R447)),IFERROR(INDEX($R449:$R1200,MATCH(SUBSTITUTE($I448,"-","",1),$K449:$K1200,0)))))</f>
        <v/>
      </c>
      <c r="S448" s="37" t="str">
        <f t="shared" si="1"/>
        <v/>
      </c>
      <c r="T448" s="39" t="str">
        <f t="shared" si="2"/>
        <v/>
      </c>
      <c r="U448" s="40" t="str">
        <f t="shared" si="3"/>
        <v/>
      </c>
      <c r="V448" s="34" t="str">
        <f t="shared" si="4"/>
        <v/>
      </c>
      <c r="W448" s="41" t="str">
        <f>IFERROR(__xludf.DUMMYFUNCTION(" IF(Account!$F448&lt;&gt;"""", SPLIT(Account!$F448, "" ""), """")"),"")</f>
        <v/>
      </c>
      <c r="X448" s="42"/>
      <c r="Y448" s="42"/>
      <c r="Z448" s="42"/>
      <c r="AA448" s="42"/>
      <c r="AB448" s="42"/>
      <c r="AC448" s="42"/>
      <c r="AD448" s="42"/>
      <c r="AE448" s="42"/>
      <c r="AF448" s="42"/>
      <c r="AG448" s="42"/>
      <c r="AH448" s="42"/>
      <c r="AI448" s="42"/>
      <c r="AJ448" s="42"/>
      <c r="AK448" s="42"/>
    </row>
    <row r="449">
      <c r="A449" s="20"/>
      <c r="B449" s="20"/>
      <c r="C449" s="20"/>
      <c r="D449" s="20"/>
      <c r="E449" s="20"/>
      <c r="F449" s="21"/>
      <c r="G449" s="45"/>
      <c r="H449" s="20"/>
      <c r="I449" s="20"/>
      <c r="J449" s="20"/>
      <c r="K449" s="20"/>
      <c r="L449" s="21"/>
      <c r="M449" s="33" t="str">
        <f>IFERROR(__xludf.DUMMYFUNCTION("IFS(W449=""Achat"",IFERROR(VALUE(X449),VALUE(REGEXREPLACE(T(X449),""[^0-9]"",""""))),W449=""Vente"",-IFERROR(VALUE(X449),VALUE(REGEXREPLACE(T(X449),""[^0-9]"",""""))),Y449=""Change"",0,Y449&lt;&gt;""Change"","""")"),"")</f>
        <v/>
      </c>
      <c r="N449" s="34" t="str">
        <f>IFERROR(__xludf.DUMMYFUNCTION("IF(Account!$F449&lt;&gt;"""", VALUE(REGEXREPLACE($I449, ""\,"", ""."")), """")"),"")</f>
        <v/>
      </c>
      <c r="O449" s="35" t="str">
        <f>IF(Account!$F449&lt;&gt;"", DATEVALUE(MID($A449,4,3) &amp; LEFT($A449,3) &amp; RIGHT($A449,4)) + TIMEVALUE($B449), "")</f>
        <v/>
      </c>
      <c r="P449" s="36" t="str">
        <f>IF(Account!$F449&lt;&gt;"", DATEVALUE(MID($C449,4,3) &amp; LEFT($C449,3) &amp; RIGHT($C449,4)), "")</f>
        <v/>
      </c>
      <c r="Q449" s="37" t="str">
        <f t="array" ref="Q449">IF($R449&lt;&gt;"",IFERROR(INDEX(ISIN!$B:$B,MATCH($R449,ISIN!$C:$C,0))),)</f>
        <v/>
      </c>
      <c r="R449" s="38" t="str">
        <f t="array" ref="R449">IF($E449&lt;&gt;"",IFERROR(INDEX(ISIN!$C:$C,MATCH($E449,ISIN!$A:$A,0)),IFERROR(INDEX($R450:$R1200,MATCH($K449,$K450:$K1200,0)))),IF(AND($Y449="change",$H449="EUR"),IF($O449=$O450,$R450,IF($O449=$O448,$R448)),IFERROR(INDEX($R450:$R1200,MATCH(SUBSTITUTE($I449,"-","",1),$K450:$K1200,0)))))</f>
        <v/>
      </c>
      <c r="S449" s="37" t="str">
        <f t="shared" si="1"/>
        <v/>
      </c>
      <c r="T449" s="39" t="str">
        <f t="shared" si="2"/>
        <v/>
      </c>
      <c r="U449" s="40" t="str">
        <f t="shared" si="3"/>
        <v/>
      </c>
      <c r="V449" s="34" t="str">
        <f t="shared" si="4"/>
        <v/>
      </c>
      <c r="W449" s="41" t="str">
        <f>IFERROR(__xludf.DUMMYFUNCTION(" IF(Account!$F449&lt;&gt;"""", SPLIT(Account!$F449, "" ""), """")"),"")</f>
        <v/>
      </c>
      <c r="X449" s="42"/>
      <c r="Y449" s="42"/>
      <c r="Z449" s="42"/>
      <c r="AA449" s="42"/>
      <c r="AB449" s="42"/>
      <c r="AC449" s="42"/>
      <c r="AD449" s="42"/>
      <c r="AE449" s="42"/>
      <c r="AF449" s="42"/>
      <c r="AG449" s="42"/>
      <c r="AH449" s="42"/>
      <c r="AI449" s="42"/>
      <c r="AJ449" s="42"/>
      <c r="AK449" s="42"/>
    </row>
    <row r="450">
      <c r="A450" s="20"/>
      <c r="B450" s="20"/>
      <c r="C450" s="20"/>
      <c r="D450" s="20"/>
      <c r="E450" s="20"/>
      <c r="F450" s="21"/>
      <c r="G450" s="20"/>
      <c r="H450" s="20"/>
      <c r="I450" s="20"/>
      <c r="J450" s="20"/>
      <c r="K450" s="20"/>
      <c r="L450" s="21"/>
      <c r="M450" s="33" t="str">
        <f>IFERROR(__xludf.DUMMYFUNCTION("IFS(W450=""Achat"",IFERROR(VALUE(X450),VALUE(REGEXREPLACE(T(X450),""[^0-9]"",""""))),W450=""Vente"",-IFERROR(VALUE(X450),VALUE(REGEXREPLACE(T(X450),""[^0-9]"",""""))),Y450=""Change"",0,Y450&lt;&gt;""Change"","""")"),"")</f>
        <v/>
      </c>
      <c r="N450" s="34" t="str">
        <f>IFERROR(__xludf.DUMMYFUNCTION("IF(Account!$F450&lt;&gt;"""", VALUE(REGEXREPLACE($I450, ""\,"", ""."")), """")"),"")</f>
        <v/>
      </c>
      <c r="O450" s="35" t="str">
        <f>IF(Account!$F450&lt;&gt;"", DATEVALUE(MID($A450,4,3) &amp; LEFT($A450,3) &amp; RIGHT($A450,4)) + TIMEVALUE($B450), "")</f>
        <v/>
      </c>
      <c r="P450" s="36" t="str">
        <f>IF(Account!$F450&lt;&gt;"", DATEVALUE(MID($C450,4,3) &amp; LEFT($C450,3) &amp; RIGHT($C450,4)), "")</f>
        <v/>
      </c>
      <c r="Q450" s="37" t="str">
        <f t="array" ref="Q450">IF($R450&lt;&gt;"",IFERROR(INDEX(ISIN!$B:$B,MATCH($R450,ISIN!$C:$C,0))),)</f>
        <v/>
      </c>
      <c r="R450" s="38" t="str">
        <f t="array" ref="R450">IF($E450&lt;&gt;"",IFERROR(INDEX(ISIN!$C:$C,MATCH($E450,ISIN!$A:$A,0)),IFERROR(INDEX($R451:$R1200,MATCH($K450,$K451:$K1200,0)))),IF(AND($Y450="change",$H450="EUR"),IF($O450=$O451,$R451,IF($O450=$O449,$R449)),IFERROR(INDEX($R451:$R1200,MATCH(SUBSTITUTE($I450,"-","",1),$K451:$K1200,0)))))</f>
        <v/>
      </c>
      <c r="S450" s="37" t="str">
        <f t="shared" si="1"/>
        <v/>
      </c>
      <c r="T450" s="39" t="str">
        <f t="shared" si="2"/>
        <v/>
      </c>
      <c r="U450" s="40" t="str">
        <f t="shared" si="3"/>
        <v/>
      </c>
      <c r="V450" s="34" t="str">
        <f t="shared" si="4"/>
        <v/>
      </c>
      <c r="W450" s="41" t="str">
        <f>IFERROR(__xludf.DUMMYFUNCTION(" IF(Account!$F450&lt;&gt;"""", SPLIT(Account!$F450, "" ""), """")"),"")</f>
        <v/>
      </c>
      <c r="X450" s="42"/>
      <c r="Y450" s="42"/>
      <c r="Z450" s="42"/>
      <c r="AA450" s="42"/>
      <c r="AB450" s="42"/>
      <c r="AC450" s="42"/>
      <c r="AD450" s="42"/>
      <c r="AE450" s="42"/>
      <c r="AF450" s="42"/>
      <c r="AG450" s="42"/>
      <c r="AH450" s="42"/>
      <c r="AI450" s="42"/>
      <c r="AJ450" s="42"/>
      <c r="AK450" s="42"/>
    </row>
    <row r="451">
      <c r="A451" s="20"/>
      <c r="B451" s="20"/>
      <c r="C451" s="20"/>
      <c r="D451" s="20"/>
      <c r="E451" s="20"/>
      <c r="F451" s="21"/>
      <c r="G451" s="45"/>
      <c r="H451" s="20"/>
      <c r="I451" s="20"/>
      <c r="J451" s="20"/>
      <c r="K451" s="20"/>
      <c r="L451" s="21"/>
      <c r="M451" s="33" t="str">
        <f>IFERROR(__xludf.DUMMYFUNCTION("IFS(W451=""Achat"",IFERROR(VALUE(X451),VALUE(REGEXREPLACE(T(X451),""[^0-9]"",""""))),W451=""Vente"",-IFERROR(VALUE(X451),VALUE(REGEXREPLACE(T(X451),""[^0-9]"",""""))),Y451=""Change"",0,Y451&lt;&gt;""Change"","""")"),"")</f>
        <v/>
      </c>
      <c r="N451" s="34" t="str">
        <f>IFERROR(__xludf.DUMMYFUNCTION("IF(Account!$F451&lt;&gt;"""", VALUE(REGEXREPLACE($I451, ""\,"", ""."")), """")"),"")</f>
        <v/>
      </c>
      <c r="O451" s="35" t="str">
        <f>IF(Account!$F451&lt;&gt;"", DATEVALUE(MID($A451,4,3) &amp; LEFT($A451,3) &amp; RIGHT($A451,4)) + TIMEVALUE($B451), "")</f>
        <v/>
      </c>
      <c r="P451" s="36" t="str">
        <f>IF(Account!$F451&lt;&gt;"", DATEVALUE(MID($C451,4,3) &amp; LEFT($C451,3) &amp; RIGHT($C451,4)), "")</f>
        <v/>
      </c>
      <c r="Q451" s="37" t="str">
        <f t="array" ref="Q451">IF($R451&lt;&gt;"",IFERROR(INDEX(ISIN!$B:$B,MATCH($R451,ISIN!$C:$C,0))),)</f>
        <v/>
      </c>
      <c r="R451" s="38" t="str">
        <f t="array" ref="R451">IF($E451&lt;&gt;"",IFERROR(INDEX(ISIN!$C:$C,MATCH($E451,ISIN!$A:$A,0)),IFERROR(INDEX($R452:$R1200,MATCH($K451,$K452:$K1200,0)))),IF(AND($Y451="change",$H451="EUR"),IF($O451=$O452,$R452,IF($O451=$O450,$R450)),IFERROR(INDEX($R452:$R1200,MATCH(SUBSTITUTE($I451,"-","",1),$K452:$K1200,0)))))</f>
        <v/>
      </c>
      <c r="S451" s="37" t="str">
        <f t="shared" si="1"/>
        <v/>
      </c>
      <c r="T451" s="39" t="str">
        <f t="shared" si="2"/>
        <v/>
      </c>
      <c r="U451" s="40" t="str">
        <f t="shared" si="3"/>
        <v/>
      </c>
      <c r="V451" s="34" t="str">
        <f t="shared" si="4"/>
        <v/>
      </c>
      <c r="W451" s="41" t="str">
        <f>IFERROR(__xludf.DUMMYFUNCTION(" IF(Account!$F451&lt;&gt;"""", SPLIT(Account!$F451, "" ""), """")"),"")</f>
        <v/>
      </c>
      <c r="X451" s="42"/>
      <c r="Y451" s="42"/>
      <c r="Z451" s="42"/>
      <c r="AA451" s="42"/>
      <c r="AB451" s="42"/>
      <c r="AC451" s="42"/>
      <c r="AD451" s="42"/>
      <c r="AE451" s="42"/>
      <c r="AF451" s="42"/>
      <c r="AG451" s="42"/>
      <c r="AH451" s="42"/>
      <c r="AI451" s="42"/>
      <c r="AJ451" s="42"/>
      <c r="AK451" s="42"/>
    </row>
    <row r="452">
      <c r="A452" s="20"/>
      <c r="B452" s="20"/>
      <c r="C452" s="20"/>
      <c r="D452" s="20"/>
      <c r="E452" s="20"/>
      <c r="F452" s="21"/>
      <c r="G452" s="20"/>
      <c r="H452" s="20"/>
      <c r="I452" s="20"/>
      <c r="J452" s="20"/>
      <c r="K452" s="20"/>
      <c r="L452" s="21"/>
      <c r="M452" s="33" t="str">
        <f>IFERROR(__xludf.DUMMYFUNCTION("IFS(W452=""Achat"",IFERROR(VALUE(X452),VALUE(REGEXREPLACE(T(X452),""[^0-9]"",""""))),W452=""Vente"",-IFERROR(VALUE(X452),VALUE(REGEXREPLACE(T(X452),""[^0-9]"",""""))),Y452=""Change"",0,Y452&lt;&gt;""Change"","""")"),"")</f>
        <v/>
      </c>
      <c r="N452" s="34" t="str">
        <f>IFERROR(__xludf.DUMMYFUNCTION("IF(Account!$F452&lt;&gt;"""", VALUE(REGEXREPLACE($I452, ""\,"", ""."")), """")"),"")</f>
        <v/>
      </c>
      <c r="O452" s="35" t="str">
        <f>IF(Account!$F452&lt;&gt;"", DATEVALUE(MID($A452,4,3) &amp; LEFT($A452,3) &amp; RIGHT($A452,4)) + TIMEVALUE($B452), "")</f>
        <v/>
      </c>
      <c r="P452" s="36" t="str">
        <f>IF(Account!$F452&lt;&gt;"", DATEVALUE(MID($C452,4,3) &amp; LEFT($C452,3) &amp; RIGHT($C452,4)), "")</f>
        <v/>
      </c>
      <c r="Q452" s="37" t="str">
        <f t="array" ref="Q452">IF($R452&lt;&gt;"",IFERROR(INDEX(ISIN!$B:$B,MATCH($R452,ISIN!$C:$C,0))),)</f>
        <v/>
      </c>
      <c r="R452" s="38" t="str">
        <f t="array" ref="R452">IF($E452&lt;&gt;"",IFERROR(INDEX(ISIN!$C:$C,MATCH($E452,ISIN!$A:$A,0)),IFERROR(INDEX($R453:$R1200,MATCH($K452,$K453:$K1200,0)))),IF(AND($Y452="change",$H452="EUR"),IF($O452=$O453,$R453,IF($O452=$O451,$R451)),IFERROR(INDEX($R453:$R1200,MATCH(SUBSTITUTE($I452,"-","",1),$K453:$K1200,0)))))</f>
        <v/>
      </c>
      <c r="S452" s="37" t="str">
        <f t="shared" si="1"/>
        <v/>
      </c>
      <c r="T452" s="39" t="str">
        <f t="shared" si="2"/>
        <v/>
      </c>
      <c r="U452" s="40" t="str">
        <f t="shared" si="3"/>
        <v/>
      </c>
      <c r="V452" s="34" t="str">
        <f t="shared" si="4"/>
        <v/>
      </c>
      <c r="W452" s="41" t="str">
        <f>IFERROR(__xludf.DUMMYFUNCTION(" IF(Account!$F452&lt;&gt;"""", SPLIT(Account!$F452, "" ""), """")"),"")</f>
        <v/>
      </c>
      <c r="X452" s="42"/>
      <c r="Y452" s="42"/>
      <c r="Z452" s="42"/>
      <c r="AA452" s="42"/>
      <c r="AB452" s="42"/>
      <c r="AC452" s="42"/>
      <c r="AD452" s="42"/>
      <c r="AE452" s="42"/>
      <c r="AF452" s="42"/>
      <c r="AG452" s="42"/>
      <c r="AH452" s="42"/>
      <c r="AI452" s="42"/>
      <c r="AJ452" s="42"/>
      <c r="AK452" s="42"/>
    </row>
    <row r="453">
      <c r="A453" s="20"/>
      <c r="B453" s="20"/>
      <c r="C453" s="20"/>
      <c r="D453" s="20"/>
      <c r="E453" s="20"/>
      <c r="F453" s="21"/>
      <c r="G453" s="45"/>
      <c r="H453" s="20"/>
      <c r="I453" s="20"/>
      <c r="J453" s="20"/>
      <c r="K453" s="20"/>
      <c r="L453" s="21"/>
      <c r="M453" s="33" t="str">
        <f>IFERROR(__xludf.DUMMYFUNCTION("IFS(W453=""Achat"",IFERROR(VALUE(X453),VALUE(REGEXREPLACE(T(X453),""[^0-9]"",""""))),W453=""Vente"",-IFERROR(VALUE(X453),VALUE(REGEXREPLACE(T(X453),""[^0-9]"",""""))),Y453=""Change"",0,Y453&lt;&gt;""Change"","""")"),"")</f>
        <v/>
      </c>
      <c r="N453" s="34" t="str">
        <f>IFERROR(__xludf.DUMMYFUNCTION("IF(Account!$F453&lt;&gt;"""", VALUE(REGEXREPLACE($I453, ""\,"", ""."")), """")"),"")</f>
        <v/>
      </c>
      <c r="O453" s="35" t="str">
        <f>IF(Account!$F453&lt;&gt;"", DATEVALUE(MID($A453,4,3) &amp; LEFT($A453,3) &amp; RIGHT($A453,4)) + TIMEVALUE($B453), "")</f>
        <v/>
      </c>
      <c r="P453" s="36" t="str">
        <f>IF(Account!$F453&lt;&gt;"", DATEVALUE(MID($C453,4,3) &amp; LEFT($C453,3) &amp; RIGHT($C453,4)), "")</f>
        <v/>
      </c>
      <c r="Q453" s="37" t="str">
        <f t="array" ref="Q453">IF($R453&lt;&gt;"",IFERROR(INDEX(ISIN!$B:$B,MATCH($R453,ISIN!$C:$C,0))),)</f>
        <v/>
      </c>
      <c r="R453" s="38" t="str">
        <f t="array" ref="R453">IF($E453&lt;&gt;"",IFERROR(INDEX(ISIN!$C:$C,MATCH($E453,ISIN!$A:$A,0)),IFERROR(INDEX($R454:$R1200,MATCH($K453,$K454:$K1200,0)))),IF(AND($Y453="change",$H453="EUR"),IF($O453=$O454,$R454,IF($O453=$O452,$R452)),IFERROR(INDEX($R454:$R1200,MATCH(SUBSTITUTE($I453,"-","",1),$K454:$K1200,0)))))</f>
        <v/>
      </c>
      <c r="S453" s="37" t="str">
        <f t="shared" si="1"/>
        <v/>
      </c>
      <c r="T453" s="39" t="str">
        <f t="shared" si="2"/>
        <v/>
      </c>
      <c r="U453" s="40" t="str">
        <f t="shared" si="3"/>
        <v/>
      </c>
      <c r="V453" s="34" t="str">
        <f t="shared" si="4"/>
        <v/>
      </c>
      <c r="W453" s="41" t="str">
        <f>IFERROR(__xludf.DUMMYFUNCTION(" IF(Account!$F453&lt;&gt;"""", SPLIT(Account!$F453, "" ""), """")"),"")</f>
        <v/>
      </c>
      <c r="X453" s="42"/>
      <c r="Y453" s="42"/>
      <c r="Z453" s="42"/>
      <c r="AA453" s="42"/>
      <c r="AB453" s="42"/>
      <c r="AC453" s="42"/>
      <c r="AD453" s="42"/>
      <c r="AE453" s="42"/>
      <c r="AF453" s="42"/>
      <c r="AG453" s="42"/>
      <c r="AH453" s="42"/>
      <c r="AI453" s="42"/>
      <c r="AJ453" s="42"/>
      <c r="AK453" s="42"/>
    </row>
    <row r="454">
      <c r="A454" s="20"/>
      <c r="B454" s="20"/>
      <c r="C454" s="20"/>
      <c r="D454" s="20"/>
      <c r="E454" s="20"/>
      <c r="F454" s="21"/>
      <c r="G454" s="45"/>
      <c r="H454" s="20"/>
      <c r="I454" s="20"/>
      <c r="J454" s="20"/>
      <c r="K454" s="20"/>
      <c r="L454" s="21"/>
      <c r="M454" s="33" t="str">
        <f>IFERROR(__xludf.DUMMYFUNCTION("IFS(W454=""Achat"",IFERROR(VALUE(X454),VALUE(REGEXREPLACE(T(X454),""[^0-9]"",""""))),W454=""Vente"",-IFERROR(VALUE(X454),VALUE(REGEXREPLACE(T(X454),""[^0-9]"",""""))),Y454=""Change"",0,Y454&lt;&gt;""Change"","""")"),"")</f>
        <v/>
      </c>
      <c r="N454" s="34" t="str">
        <f>IFERROR(__xludf.DUMMYFUNCTION("IF(Account!$F454&lt;&gt;"""", VALUE(REGEXREPLACE($I454, ""\,"", ""."")), """")"),"")</f>
        <v/>
      </c>
      <c r="O454" s="35" t="str">
        <f>IF(Account!$F454&lt;&gt;"", DATEVALUE(MID($A454,4,3) &amp; LEFT($A454,3) &amp; RIGHT($A454,4)) + TIMEVALUE($B454), "")</f>
        <v/>
      </c>
      <c r="P454" s="36" t="str">
        <f>IF(Account!$F454&lt;&gt;"", DATEVALUE(MID($C454,4,3) &amp; LEFT($C454,3) &amp; RIGHT($C454,4)), "")</f>
        <v/>
      </c>
      <c r="Q454" s="37" t="str">
        <f t="array" ref="Q454">IF($R454&lt;&gt;"",IFERROR(INDEX(ISIN!$B:$B,MATCH($R454,ISIN!$C:$C,0))),)</f>
        <v/>
      </c>
      <c r="R454" s="38" t="str">
        <f t="array" ref="R454">IF($E454&lt;&gt;"",IFERROR(INDEX(ISIN!$C:$C,MATCH($E454,ISIN!$A:$A,0)),IFERROR(INDEX($R455:$R1200,MATCH($K454,$K455:$K1200,0)))),IF(AND($Y454="change",$H454="EUR"),IF($O454=$O455,$R455,IF($O454=$O453,$R453)),IFERROR(INDEX($R455:$R1200,MATCH(SUBSTITUTE($I454,"-","",1),$K455:$K1200,0)))))</f>
        <v/>
      </c>
      <c r="S454" s="37" t="str">
        <f t="shared" si="1"/>
        <v/>
      </c>
      <c r="T454" s="39" t="str">
        <f t="shared" si="2"/>
        <v/>
      </c>
      <c r="U454" s="40" t="str">
        <f t="shared" si="3"/>
        <v/>
      </c>
      <c r="V454" s="34" t="str">
        <f t="shared" si="4"/>
        <v/>
      </c>
      <c r="W454" s="41" t="str">
        <f>IFERROR(__xludf.DUMMYFUNCTION(" IF(Account!$F454&lt;&gt;"""", SPLIT(Account!$F454, "" ""), """")"),"")</f>
        <v/>
      </c>
      <c r="X454" s="42"/>
      <c r="Y454" s="42"/>
      <c r="Z454" s="42"/>
      <c r="AA454" s="42"/>
      <c r="AB454" s="42"/>
      <c r="AC454" s="42"/>
      <c r="AD454" s="42"/>
      <c r="AE454" s="42"/>
      <c r="AF454" s="42"/>
      <c r="AG454" s="42"/>
      <c r="AH454" s="42"/>
      <c r="AI454" s="42"/>
      <c r="AJ454" s="42"/>
      <c r="AK454" s="42"/>
    </row>
    <row r="455">
      <c r="A455" s="20"/>
      <c r="B455" s="20"/>
      <c r="C455" s="20"/>
      <c r="D455" s="20"/>
      <c r="E455" s="20"/>
      <c r="F455" s="21"/>
      <c r="G455" s="45"/>
      <c r="H455" s="20"/>
      <c r="I455" s="20"/>
      <c r="J455" s="20"/>
      <c r="K455" s="20"/>
      <c r="L455" s="21"/>
      <c r="M455" s="33" t="str">
        <f>IFERROR(__xludf.DUMMYFUNCTION("IFS(W455=""Achat"",IFERROR(VALUE(X455),VALUE(REGEXREPLACE(T(X455),""[^0-9]"",""""))),W455=""Vente"",-IFERROR(VALUE(X455),VALUE(REGEXREPLACE(T(X455),""[^0-9]"",""""))),Y455=""Change"",0,Y455&lt;&gt;""Change"","""")"),"")</f>
        <v/>
      </c>
      <c r="N455" s="34" t="str">
        <f>IFERROR(__xludf.DUMMYFUNCTION("IF(Account!$F455&lt;&gt;"""", VALUE(REGEXREPLACE($I455, ""\,"", ""."")), """")"),"")</f>
        <v/>
      </c>
      <c r="O455" s="35" t="str">
        <f>IF(Account!$F455&lt;&gt;"", DATEVALUE(MID($A455,4,3) &amp; LEFT($A455,3) &amp; RIGHT($A455,4)) + TIMEVALUE($B455), "")</f>
        <v/>
      </c>
      <c r="P455" s="36" t="str">
        <f>IF(Account!$F455&lt;&gt;"", DATEVALUE(MID($C455,4,3) &amp; LEFT($C455,3) &amp; RIGHT($C455,4)), "")</f>
        <v/>
      </c>
      <c r="Q455" s="37" t="str">
        <f t="array" ref="Q455">IF($R455&lt;&gt;"",IFERROR(INDEX(ISIN!$B:$B,MATCH($R455,ISIN!$C:$C,0))),)</f>
        <v/>
      </c>
      <c r="R455" s="38" t="str">
        <f t="array" ref="R455">IF($E455&lt;&gt;"",IFERROR(INDEX(ISIN!$C:$C,MATCH($E455,ISIN!$A:$A,0)),IFERROR(INDEX($R456:$R1200,MATCH($K455,$K456:$K1200,0)))),IF(AND($Y455="change",$H455="EUR"),IF($O455=$O456,$R456,IF($O455=$O454,$R454)),IFERROR(INDEX($R456:$R1200,MATCH(SUBSTITUTE($I455,"-","",1),$K456:$K1200,0)))))</f>
        <v/>
      </c>
      <c r="S455" s="37" t="str">
        <f t="shared" si="1"/>
        <v/>
      </c>
      <c r="T455" s="39" t="str">
        <f t="shared" si="2"/>
        <v/>
      </c>
      <c r="U455" s="40" t="str">
        <f t="shared" si="3"/>
        <v/>
      </c>
      <c r="V455" s="34" t="str">
        <f t="shared" si="4"/>
        <v/>
      </c>
      <c r="W455" s="41" t="str">
        <f>IFERROR(__xludf.DUMMYFUNCTION(" IF(Account!$F455&lt;&gt;"""", SPLIT(Account!$F455, "" ""), """")"),"")</f>
        <v/>
      </c>
      <c r="X455" s="42"/>
      <c r="Y455" s="42"/>
      <c r="Z455" s="42"/>
      <c r="AA455" s="42"/>
      <c r="AB455" s="42"/>
      <c r="AC455" s="42"/>
      <c r="AD455" s="42"/>
      <c r="AE455" s="42"/>
      <c r="AF455" s="42"/>
      <c r="AG455" s="42"/>
      <c r="AH455" s="42"/>
      <c r="AI455" s="42"/>
      <c r="AJ455" s="42"/>
      <c r="AK455" s="42"/>
    </row>
    <row r="456">
      <c r="A456" s="20"/>
      <c r="B456" s="20"/>
      <c r="C456" s="20"/>
      <c r="D456" s="20"/>
      <c r="E456" s="20"/>
      <c r="F456" s="21"/>
      <c r="G456" s="20"/>
      <c r="H456" s="20"/>
      <c r="I456" s="20"/>
      <c r="J456" s="20"/>
      <c r="K456" s="20"/>
      <c r="L456" s="21"/>
      <c r="M456" s="33" t="str">
        <f>IFERROR(__xludf.DUMMYFUNCTION("IFS(W456=""Achat"",IFERROR(VALUE(X456),VALUE(REGEXREPLACE(T(X456),""[^0-9]"",""""))),W456=""Vente"",-IFERROR(VALUE(X456),VALUE(REGEXREPLACE(T(X456),""[^0-9]"",""""))),Y456=""Change"",0,Y456&lt;&gt;""Change"","""")"),"")</f>
        <v/>
      </c>
      <c r="N456" s="34" t="str">
        <f>IFERROR(__xludf.DUMMYFUNCTION("IF(Account!$F456&lt;&gt;"""", VALUE(REGEXREPLACE($I456, ""\,"", ""."")), """")"),"")</f>
        <v/>
      </c>
      <c r="O456" s="35" t="str">
        <f>IF(Account!$F456&lt;&gt;"", DATEVALUE(MID($A456,4,3) &amp; LEFT($A456,3) &amp; RIGHT($A456,4)) + TIMEVALUE($B456), "")</f>
        <v/>
      </c>
      <c r="P456" s="36" t="str">
        <f>IF(Account!$F456&lt;&gt;"", DATEVALUE(MID($C456,4,3) &amp; LEFT($C456,3) &amp; RIGHT($C456,4)), "")</f>
        <v/>
      </c>
      <c r="Q456" s="37" t="str">
        <f t="array" ref="Q456">IF($R456&lt;&gt;"",IFERROR(INDEX(ISIN!$B:$B,MATCH($R456,ISIN!$C:$C,0))),)</f>
        <v/>
      </c>
      <c r="R456" s="38" t="str">
        <f t="array" ref="R456">IF($E456&lt;&gt;"",IFERROR(INDEX(ISIN!$C:$C,MATCH($E456,ISIN!$A:$A,0)),IFERROR(INDEX($R457:$R1200,MATCH($K456,$K457:$K1200,0)))),IF(AND($Y456="change",$H456="EUR"),IF($O456=$O457,$R457,IF($O456=$O455,$R455)),IFERROR(INDEX($R457:$R1200,MATCH(SUBSTITUTE($I456,"-","",1),$K457:$K1200,0)))))</f>
        <v/>
      </c>
      <c r="S456" s="37" t="str">
        <f t="shared" si="1"/>
        <v/>
      </c>
      <c r="T456" s="39" t="str">
        <f t="shared" si="2"/>
        <v/>
      </c>
      <c r="U456" s="40" t="str">
        <f t="shared" si="3"/>
        <v/>
      </c>
      <c r="V456" s="34" t="str">
        <f t="shared" si="4"/>
        <v/>
      </c>
      <c r="W456" s="41" t="str">
        <f>IFERROR(__xludf.DUMMYFUNCTION(" IF(Account!$F456&lt;&gt;"""", SPLIT(Account!$F456, "" ""), """")"),"")</f>
        <v/>
      </c>
      <c r="X456" s="42"/>
      <c r="Y456" s="42"/>
      <c r="Z456" s="42"/>
      <c r="AA456" s="42"/>
      <c r="AB456" s="42"/>
      <c r="AC456" s="42"/>
      <c r="AD456" s="42"/>
      <c r="AE456" s="42"/>
      <c r="AF456" s="42"/>
      <c r="AG456" s="42"/>
      <c r="AH456" s="42"/>
      <c r="AI456" s="42"/>
      <c r="AJ456" s="42"/>
      <c r="AK456" s="42"/>
    </row>
    <row r="457">
      <c r="A457" s="20"/>
      <c r="B457" s="20"/>
      <c r="C457" s="20"/>
      <c r="D457" s="20"/>
      <c r="E457" s="20"/>
      <c r="F457" s="21"/>
      <c r="G457" s="20"/>
      <c r="H457" s="20"/>
      <c r="I457" s="20"/>
      <c r="J457" s="20"/>
      <c r="K457" s="20"/>
      <c r="L457" s="21"/>
      <c r="M457" s="33" t="str">
        <f>IFERROR(__xludf.DUMMYFUNCTION("IFS(W457=""Achat"",IFERROR(VALUE(X457),VALUE(REGEXREPLACE(T(X457),""[^0-9]"",""""))),W457=""Vente"",-IFERROR(VALUE(X457),VALUE(REGEXREPLACE(T(X457),""[^0-9]"",""""))),Y457=""Change"",0,Y457&lt;&gt;""Change"","""")"),"")</f>
        <v/>
      </c>
      <c r="N457" s="34" t="str">
        <f>IFERROR(__xludf.DUMMYFUNCTION("IF(Account!$F457&lt;&gt;"""", VALUE(REGEXREPLACE($I457, ""\,"", ""."")), """")"),"")</f>
        <v/>
      </c>
      <c r="O457" s="35" t="str">
        <f>IF(Account!$F457&lt;&gt;"", DATEVALUE(MID($A457,4,3) &amp; LEFT($A457,3) &amp; RIGHT($A457,4)) + TIMEVALUE($B457), "")</f>
        <v/>
      </c>
      <c r="P457" s="36" t="str">
        <f>IF(Account!$F457&lt;&gt;"", DATEVALUE(MID($C457,4,3) &amp; LEFT($C457,3) &amp; RIGHT($C457,4)), "")</f>
        <v/>
      </c>
      <c r="Q457" s="37" t="str">
        <f t="array" ref="Q457">IF($R457&lt;&gt;"",IFERROR(INDEX(ISIN!$B:$B,MATCH($R457,ISIN!$C:$C,0))),)</f>
        <v/>
      </c>
      <c r="R457" s="38" t="str">
        <f t="array" ref="R457">IF($E457&lt;&gt;"",IFERROR(INDEX(ISIN!$C:$C,MATCH($E457,ISIN!$A:$A,0)),IFERROR(INDEX($R458:$R1200,MATCH($K457,$K458:$K1200,0)))),IF(AND($Y457="change",$H457="EUR"),IF($O457=$O458,$R458,IF($O457=$O456,$R456)),IFERROR(INDEX($R458:$R1200,MATCH(SUBSTITUTE($I457,"-","",1),$K458:$K1200,0)))))</f>
        <v/>
      </c>
      <c r="S457" s="37" t="str">
        <f t="shared" si="1"/>
        <v/>
      </c>
      <c r="T457" s="39" t="str">
        <f t="shared" si="2"/>
        <v/>
      </c>
      <c r="U457" s="40" t="str">
        <f t="shared" si="3"/>
        <v/>
      </c>
      <c r="V457" s="34" t="str">
        <f t="shared" si="4"/>
        <v/>
      </c>
      <c r="W457" s="41" t="str">
        <f>IFERROR(__xludf.DUMMYFUNCTION(" IF(Account!$F457&lt;&gt;"""", SPLIT(Account!$F457, "" ""), """")"),"")</f>
        <v/>
      </c>
      <c r="X457" s="42"/>
      <c r="Y457" s="42"/>
      <c r="Z457" s="42"/>
      <c r="AA457" s="42"/>
      <c r="AB457" s="42"/>
      <c r="AC457" s="42"/>
      <c r="AD457" s="42"/>
      <c r="AE457" s="42"/>
      <c r="AF457" s="42"/>
      <c r="AG457" s="42"/>
      <c r="AH457" s="42"/>
      <c r="AI457" s="42"/>
      <c r="AJ457" s="42"/>
      <c r="AK457" s="42"/>
    </row>
    <row r="458">
      <c r="A458" s="20"/>
      <c r="B458" s="20"/>
      <c r="C458" s="20"/>
      <c r="D458" s="20"/>
      <c r="E458" s="20"/>
      <c r="F458" s="21"/>
      <c r="G458" s="45"/>
      <c r="H458" s="20"/>
      <c r="I458" s="20"/>
      <c r="J458" s="20"/>
      <c r="K458" s="20"/>
      <c r="L458" s="21"/>
      <c r="M458" s="33" t="str">
        <f>IFERROR(__xludf.DUMMYFUNCTION("IFS(W458=""Achat"",IFERROR(VALUE(X458),VALUE(REGEXREPLACE(T(X458),""[^0-9]"",""""))),W458=""Vente"",-IFERROR(VALUE(X458),VALUE(REGEXREPLACE(T(X458),""[^0-9]"",""""))),Y458=""Change"",0,Y458&lt;&gt;""Change"","""")"),"")</f>
        <v/>
      </c>
      <c r="N458" s="34" t="str">
        <f>IFERROR(__xludf.DUMMYFUNCTION("IF(Account!$F458&lt;&gt;"""", VALUE(REGEXREPLACE($I458, ""\,"", ""."")), """")"),"")</f>
        <v/>
      </c>
      <c r="O458" s="35" t="str">
        <f>IF(Account!$F458&lt;&gt;"", DATEVALUE(MID($A458,4,3) &amp; LEFT($A458,3) &amp; RIGHT($A458,4)) + TIMEVALUE($B458), "")</f>
        <v/>
      </c>
      <c r="P458" s="36" t="str">
        <f>IF(Account!$F458&lt;&gt;"", DATEVALUE(MID($C458,4,3) &amp; LEFT($C458,3) &amp; RIGHT($C458,4)), "")</f>
        <v/>
      </c>
      <c r="Q458" s="37" t="str">
        <f t="array" ref="Q458">IF($R458&lt;&gt;"",IFERROR(INDEX(ISIN!$B:$B,MATCH($R458,ISIN!$C:$C,0))),)</f>
        <v/>
      </c>
      <c r="R458" s="38" t="str">
        <f t="array" ref="R458">IF($E458&lt;&gt;"",IFERROR(INDEX(ISIN!$C:$C,MATCH($E458,ISIN!$A:$A,0)),IFERROR(INDEX($R459:$R1200,MATCH($K458,$K459:$K1200,0)))),IF(AND($Y458="change",$H458="EUR"),IF($O458=$O459,$R459,IF($O458=$O457,$R457)),IFERROR(INDEX($R459:$R1200,MATCH(SUBSTITUTE($I458,"-","",1),$K459:$K1200,0)))))</f>
        <v/>
      </c>
      <c r="S458" s="37" t="str">
        <f t="shared" si="1"/>
        <v/>
      </c>
      <c r="T458" s="39" t="str">
        <f t="shared" si="2"/>
        <v/>
      </c>
      <c r="U458" s="40" t="str">
        <f t="shared" si="3"/>
        <v/>
      </c>
      <c r="V458" s="34" t="str">
        <f t="shared" si="4"/>
        <v/>
      </c>
      <c r="W458" s="41" t="str">
        <f>IFERROR(__xludf.DUMMYFUNCTION(" IF(Account!$F458&lt;&gt;"""", SPLIT(Account!$F458, "" ""), """")"),"")</f>
        <v/>
      </c>
      <c r="X458" s="42"/>
      <c r="Y458" s="42"/>
      <c r="Z458" s="42"/>
      <c r="AA458" s="42"/>
      <c r="AB458" s="42"/>
      <c r="AC458" s="42"/>
      <c r="AD458" s="42"/>
      <c r="AE458" s="42"/>
      <c r="AF458" s="42"/>
      <c r="AG458" s="42"/>
      <c r="AH458" s="42"/>
      <c r="AI458" s="42"/>
      <c r="AJ458" s="42"/>
      <c r="AK458" s="42"/>
    </row>
    <row r="459">
      <c r="A459" s="20"/>
      <c r="B459" s="20"/>
      <c r="C459" s="20"/>
      <c r="D459" s="20"/>
      <c r="E459" s="20"/>
      <c r="F459" s="21"/>
      <c r="G459" s="20"/>
      <c r="H459" s="20"/>
      <c r="I459" s="20"/>
      <c r="J459" s="20"/>
      <c r="K459" s="20"/>
      <c r="L459" s="21"/>
      <c r="M459" s="33" t="str">
        <f>IFERROR(__xludf.DUMMYFUNCTION("IFS(W459=""Achat"",IFERROR(VALUE(X459),VALUE(REGEXREPLACE(T(X459),""[^0-9]"",""""))),W459=""Vente"",-IFERROR(VALUE(X459),VALUE(REGEXREPLACE(T(X459),""[^0-9]"",""""))),Y459=""Change"",0,Y459&lt;&gt;""Change"","""")"),"")</f>
        <v/>
      </c>
      <c r="N459" s="34" t="str">
        <f>IFERROR(__xludf.DUMMYFUNCTION("IF(Account!$F459&lt;&gt;"""", VALUE(REGEXREPLACE($I459, ""\,"", ""."")), """")"),"")</f>
        <v/>
      </c>
      <c r="O459" s="35" t="str">
        <f>IF(Account!$F459&lt;&gt;"", DATEVALUE(MID($A459,4,3) &amp; LEFT($A459,3) &amp; RIGHT($A459,4)) + TIMEVALUE($B459), "")</f>
        <v/>
      </c>
      <c r="P459" s="36" t="str">
        <f>IF(Account!$F459&lt;&gt;"", DATEVALUE(MID($C459,4,3) &amp; LEFT($C459,3) &amp; RIGHT($C459,4)), "")</f>
        <v/>
      </c>
      <c r="Q459" s="37" t="str">
        <f t="array" ref="Q459">IF($R459&lt;&gt;"",IFERROR(INDEX(ISIN!$B:$B,MATCH($R459,ISIN!$C:$C,0))),)</f>
        <v/>
      </c>
      <c r="R459" s="38" t="str">
        <f t="array" ref="R459">IF($E459&lt;&gt;"",IFERROR(INDEX(ISIN!$C:$C,MATCH($E459,ISIN!$A:$A,0)),IFERROR(INDEX($R460:$R1200,MATCH($K459,$K460:$K1200,0)))),IF(AND($Y459="change",$H459="EUR"),IF($O459=$O460,$R460,IF($O459=$O458,$R458)),IFERROR(INDEX($R460:$R1200,MATCH(SUBSTITUTE($I459,"-","",1),$K460:$K1200,0)))))</f>
        <v/>
      </c>
      <c r="S459" s="37" t="str">
        <f t="shared" si="1"/>
        <v/>
      </c>
      <c r="T459" s="39" t="str">
        <f t="shared" si="2"/>
        <v/>
      </c>
      <c r="U459" s="40" t="str">
        <f t="shared" si="3"/>
        <v/>
      </c>
      <c r="V459" s="34" t="str">
        <f t="shared" si="4"/>
        <v/>
      </c>
      <c r="W459" s="41" t="str">
        <f>IFERROR(__xludf.DUMMYFUNCTION(" IF(Account!$F459&lt;&gt;"""", SPLIT(Account!$F459, "" ""), """")"),"")</f>
        <v/>
      </c>
      <c r="X459" s="42"/>
      <c r="Y459" s="42"/>
      <c r="Z459" s="42"/>
      <c r="AA459" s="42"/>
      <c r="AB459" s="42"/>
      <c r="AC459" s="42"/>
      <c r="AD459" s="42"/>
      <c r="AE459" s="42"/>
      <c r="AF459" s="42"/>
      <c r="AG459" s="42"/>
      <c r="AH459" s="42"/>
      <c r="AI459" s="42"/>
      <c r="AJ459" s="42"/>
      <c r="AK459" s="42"/>
    </row>
    <row r="460">
      <c r="A460" s="20"/>
      <c r="B460" s="20"/>
      <c r="C460" s="20"/>
      <c r="D460" s="20"/>
      <c r="E460" s="20"/>
      <c r="F460" s="21"/>
      <c r="G460" s="45"/>
      <c r="H460" s="20"/>
      <c r="I460" s="20"/>
      <c r="J460" s="20"/>
      <c r="K460" s="20"/>
      <c r="L460" s="21"/>
      <c r="M460" s="33" t="str">
        <f>IFERROR(__xludf.DUMMYFUNCTION("IFS(W460=""Achat"",IFERROR(VALUE(X460),VALUE(REGEXREPLACE(T(X460),""[^0-9]"",""""))),W460=""Vente"",-IFERROR(VALUE(X460),VALUE(REGEXREPLACE(T(X460),""[^0-9]"",""""))),Y460=""Change"",0,Y460&lt;&gt;""Change"","""")"),"")</f>
        <v/>
      </c>
      <c r="N460" s="34" t="str">
        <f>IFERROR(__xludf.DUMMYFUNCTION("IF(Account!$F460&lt;&gt;"""", VALUE(REGEXREPLACE($I460, ""\,"", ""."")), """")"),"")</f>
        <v/>
      </c>
      <c r="O460" s="35" t="str">
        <f>IF(Account!$F460&lt;&gt;"", DATEVALUE(MID($A460,4,3) &amp; LEFT($A460,3) &amp; RIGHT($A460,4)) + TIMEVALUE($B460), "")</f>
        <v/>
      </c>
      <c r="P460" s="36" t="str">
        <f>IF(Account!$F460&lt;&gt;"", DATEVALUE(MID($C460,4,3) &amp; LEFT($C460,3) &amp; RIGHT($C460,4)), "")</f>
        <v/>
      </c>
      <c r="Q460" s="37" t="str">
        <f t="array" ref="Q460">IF($R460&lt;&gt;"",IFERROR(INDEX(ISIN!$B:$B,MATCH($R460,ISIN!$C:$C,0))),)</f>
        <v/>
      </c>
      <c r="R460" s="38" t="str">
        <f t="array" ref="R460">IF($E460&lt;&gt;"",IFERROR(INDEX(ISIN!$C:$C,MATCH($E460,ISIN!$A:$A,0)),IFERROR(INDEX($R461:$R1200,MATCH($K460,$K461:$K1200,0)))),IF(AND($Y460="change",$H460="EUR"),IF($O460=$O461,$R461,IF($O460=$O459,$R459)),IFERROR(INDEX($R461:$R1200,MATCH(SUBSTITUTE($I460,"-","",1),$K461:$K1200,0)))))</f>
        <v/>
      </c>
      <c r="S460" s="37" t="str">
        <f t="shared" si="1"/>
        <v/>
      </c>
      <c r="T460" s="39" t="str">
        <f t="shared" si="2"/>
        <v/>
      </c>
      <c r="U460" s="40" t="str">
        <f t="shared" si="3"/>
        <v/>
      </c>
      <c r="V460" s="34" t="str">
        <f t="shared" si="4"/>
        <v/>
      </c>
      <c r="W460" s="41" t="str">
        <f>IFERROR(__xludf.DUMMYFUNCTION(" IF(Account!$F460&lt;&gt;"""", SPLIT(Account!$F460, "" ""), """")"),"")</f>
        <v/>
      </c>
      <c r="X460" s="42"/>
      <c r="Y460" s="42"/>
      <c r="Z460" s="42"/>
      <c r="AA460" s="42"/>
      <c r="AB460" s="42"/>
      <c r="AC460" s="42"/>
      <c r="AD460" s="42"/>
      <c r="AE460" s="42"/>
      <c r="AF460" s="42"/>
      <c r="AG460" s="42"/>
      <c r="AH460" s="42"/>
      <c r="AI460" s="42"/>
      <c r="AJ460" s="42"/>
      <c r="AK460" s="42"/>
    </row>
    <row r="461">
      <c r="A461" s="20"/>
      <c r="B461" s="20"/>
      <c r="C461" s="20"/>
      <c r="D461" s="20"/>
      <c r="E461" s="20"/>
      <c r="F461" s="21"/>
      <c r="G461" s="45"/>
      <c r="H461" s="20"/>
      <c r="I461" s="20"/>
      <c r="J461" s="20"/>
      <c r="K461" s="20"/>
      <c r="L461" s="21"/>
      <c r="M461" s="33" t="str">
        <f>IFERROR(__xludf.DUMMYFUNCTION("IFS(W461=""Achat"",IFERROR(VALUE(X461),VALUE(REGEXREPLACE(T(X461),""[^0-9]"",""""))),W461=""Vente"",-IFERROR(VALUE(X461),VALUE(REGEXREPLACE(T(X461),""[^0-9]"",""""))),Y461=""Change"",0,Y461&lt;&gt;""Change"","""")"),"")</f>
        <v/>
      </c>
      <c r="N461" s="34" t="str">
        <f>IFERROR(__xludf.DUMMYFUNCTION("IF(Account!$F461&lt;&gt;"""", VALUE(REGEXREPLACE($I461, ""\,"", ""."")), """")"),"")</f>
        <v/>
      </c>
      <c r="O461" s="35" t="str">
        <f>IF(Account!$F461&lt;&gt;"", DATEVALUE(MID($A461,4,3) &amp; LEFT($A461,3) &amp; RIGHT($A461,4)) + TIMEVALUE($B461), "")</f>
        <v/>
      </c>
      <c r="P461" s="36" t="str">
        <f>IF(Account!$F461&lt;&gt;"", DATEVALUE(MID($C461,4,3) &amp; LEFT($C461,3) &amp; RIGHT($C461,4)), "")</f>
        <v/>
      </c>
      <c r="Q461" s="37" t="str">
        <f t="array" ref="Q461">IF($R461&lt;&gt;"",IFERROR(INDEX(ISIN!$B:$B,MATCH($R461,ISIN!$C:$C,0))),)</f>
        <v/>
      </c>
      <c r="R461" s="38" t="str">
        <f t="array" ref="R461">IF($E461&lt;&gt;"",IFERROR(INDEX(ISIN!$C:$C,MATCH($E461,ISIN!$A:$A,0)),IFERROR(INDEX($R462:$R1200,MATCH($K461,$K462:$K1200,0)))),IF(AND($Y461="change",$H461="EUR"),IF($O461=$O462,$R462,IF($O461=$O460,$R460)),IFERROR(INDEX($R462:$R1200,MATCH(SUBSTITUTE($I461,"-","",1),$K462:$K1200,0)))))</f>
        <v/>
      </c>
      <c r="S461" s="37" t="str">
        <f t="shared" si="1"/>
        <v/>
      </c>
      <c r="T461" s="39" t="str">
        <f t="shared" si="2"/>
        <v/>
      </c>
      <c r="U461" s="40" t="str">
        <f t="shared" si="3"/>
        <v/>
      </c>
      <c r="V461" s="34" t="str">
        <f t="shared" si="4"/>
        <v/>
      </c>
      <c r="W461" s="41" t="str">
        <f>IFERROR(__xludf.DUMMYFUNCTION(" IF(Account!$F461&lt;&gt;"""", SPLIT(Account!$F461, "" ""), """")"),"")</f>
        <v/>
      </c>
      <c r="X461" s="42"/>
      <c r="Y461" s="42"/>
      <c r="Z461" s="42"/>
      <c r="AA461" s="42"/>
      <c r="AB461" s="42"/>
      <c r="AC461" s="42"/>
      <c r="AD461" s="42"/>
      <c r="AE461" s="42"/>
      <c r="AF461" s="42"/>
      <c r="AG461" s="42"/>
      <c r="AH461" s="42"/>
      <c r="AI461" s="42"/>
      <c r="AJ461" s="42"/>
      <c r="AK461" s="42"/>
    </row>
    <row r="462">
      <c r="A462" s="20"/>
      <c r="B462" s="20"/>
      <c r="C462" s="20"/>
      <c r="D462" s="20"/>
      <c r="E462" s="20"/>
      <c r="F462" s="21"/>
      <c r="G462" s="45"/>
      <c r="H462" s="20"/>
      <c r="I462" s="20"/>
      <c r="J462" s="20"/>
      <c r="K462" s="20"/>
      <c r="L462" s="21"/>
      <c r="M462" s="33" t="str">
        <f>IFERROR(__xludf.DUMMYFUNCTION("IFS(W462=""Achat"",IFERROR(VALUE(X462),VALUE(REGEXREPLACE(T(X462),""[^0-9]"",""""))),W462=""Vente"",-IFERROR(VALUE(X462),VALUE(REGEXREPLACE(T(X462),""[^0-9]"",""""))),Y462=""Change"",0,Y462&lt;&gt;""Change"","""")"),"")</f>
        <v/>
      </c>
      <c r="N462" s="34" t="str">
        <f>IFERROR(__xludf.DUMMYFUNCTION("IF(Account!$F462&lt;&gt;"""", VALUE(REGEXREPLACE($I462, ""\,"", ""."")), """")"),"")</f>
        <v/>
      </c>
      <c r="O462" s="35" t="str">
        <f>IF(Account!$F462&lt;&gt;"", DATEVALUE(MID($A462,4,3) &amp; LEFT($A462,3) &amp; RIGHT($A462,4)) + TIMEVALUE($B462), "")</f>
        <v/>
      </c>
      <c r="P462" s="36" t="str">
        <f>IF(Account!$F462&lt;&gt;"", DATEVALUE(MID($C462,4,3) &amp; LEFT($C462,3) &amp; RIGHT($C462,4)), "")</f>
        <v/>
      </c>
      <c r="Q462" s="37" t="str">
        <f t="array" ref="Q462">IF($R462&lt;&gt;"",IFERROR(INDEX(ISIN!$B:$B,MATCH($R462,ISIN!$C:$C,0))),)</f>
        <v/>
      </c>
      <c r="R462" s="38" t="str">
        <f t="array" ref="R462">IF($E462&lt;&gt;"",IFERROR(INDEX(ISIN!$C:$C,MATCH($E462,ISIN!$A:$A,0)),IFERROR(INDEX($R463:$R1200,MATCH($K462,$K463:$K1200,0)))),IF(AND($Y462="change",$H462="EUR"),IF($O462=$O463,$R463,IF($O462=$O461,$R461)),IFERROR(INDEX($R463:$R1200,MATCH(SUBSTITUTE($I462,"-","",1),$K463:$K1200,0)))))</f>
        <v/>
      </c>
      <c r="S462" s="37" t="str">
        <f t="shared" si="1"/>
        <v/>
      </c>
      <c r="T462" s="39" t="str">
        <f t="shared" si="2"/>
        <v/>
      </c>
      <c r="U462" s="40" t="str">
        <f t="shared" si="3"/>
        <v/>
      </c>
      <c r="V462" s="34" t="str">
        <f t="shared" si="4"/>
        <v/>
      </c>
      <c r="W462" s="41" t="str">
        <f>IFERROR(__xludf.DUMMYFUNCTION(" IF(Account!$F462&lt;&gt;"""", SPLIT(Account!$F462, "" ""), """")"),"")</f>
        <v/>
      </c>
      <c r="X462" s="42"/>
      <c r="Y462" s="42"/>
      <c r="Z462" s="42"/>
      <c r="AA462" s="42"/>
      <c r="AB462" s="42"/>
      <c r="AC462" s="42"/>
      <c r="AD462" s="42"/>
      <c r="AE462" s="42"/>
      <c r="AF462" s="42"/>
      <c r="AG462" s="42"/>
      <c r="AH462" s="42"/>
      <c r="AI462" s="42"/>
      <c r="AJ462" s="42"/>
      <c r="AK462" s="42"/>
    </row>
    <row r="463">
      <c r="A463" s="20"/>
      <c r="B463" s="20"/>
      <c r="C463" s="20"/>
      <c r="D463" s="20"/>
      <c r="E463" s="20"/>
      <c r="F463" s="21"/>
      <c r="G463" s="20"/>
      <c r="H463" s="20"/>
      <c r="I463" s="20"/>
      <c r="J463" s="20"/>
      <c r="K463" s="20"/>
      <c r="L463" s="21"/>
      <c r="M463" s="33" t="str">
        <f>IFERROR(__xludf.DUMMYFUNCTION("IFS(W463=""Achat"",IFERROR(VALUE(X463),VALUE(REGEXREPLACE(T(X463),""[^0-9]"",""""))),W463=""Vente"",-IFERROR(VALUE(X463),VALUE(REGEXREPLACE(T(X463),""[^0-9]"",""""))),Y463=""Change"",0,Y463&lt;&gt;""Change"","""")"),"")</f>
        <v/>
      </c>
      <c r="N463" s="34" t="str">
        <f>IFERROR(__xludf.DUMMYFUNCTION("IF(Account!$F463&lt;&gt;"""", VALUE(REGEXREPLACE($I463, ""\,"", ""."")), """")"),"")</f>
        <v/>
      </c>
      <c r="O463" s="35" t="str">
        <f>IF(Account!$F463&lt;&gt;"", DATEVALUE(MID($A463,4,3) &amp; LEFT($A463,3) &amp; RIGHT($A463,4)) + TIMEVALUE($B463), "")</f>
        <v/>
      </c>
      <c r="P463" s="36" t="str">
        <f>IF(Account!$F463&lt;&gt;"", DATEVALUE(MID($C463,4,3) &amp; LEFT($C463,3) &amp; RIGHT($C463,4)), "")</f>
        <v/>
      </c>
      <c r="Q463" s="37" t="str">
        <f t="array" ref="Q463">IF($R463&lt;&gt;"",IFERROR(INDEX(ISIN!$B:$B,MATCH($R463,ISIN!$C:$C,0))),)</f>
        <v/>
      </c>
      <c r="R463" s="38" t="str">
        <f t="array" ref="R463">IF($E463&lt;&gt;"",IFERROR(INDEX(ISIN!$C:$C,MATCH($E463,ISIN!$A:$A,0)),IFERROR(INDEX($R464:$R1200,MATCH($K463,$K464:$K1200,0)))),IF(AND($Y463="change",$H463="EUR"),IF($O463=$O464,$R464,IF($O463=$O462,$R462)),IFERROR(INDEX($R464:$R1200,MATCH(SUBSTITUTE($I463,"-","",1),$K464:$K1200,0)))))</f>
        <v/>
      </c>
      <c r="S463" s="37" t="str">
        <f t="shared" si="1"/>
        <v/>
      </c>
      <c r="T463" s="39" t="str">
        <f t="shared" si="2"/>
        <v/>
      </c>
      <c r="U463" s="40" t="str">
        <f t="shared" si="3"/>
        <v/>
      </c>
      <c r="V463" s="34" t="str">
        <f t="shared" si="4"/>
        <v/>
      </c>
      <c r="W463" s="41" t="str">
        <f>IFERROR(__xludf.DUMMYFUNCTION(" IF(Account!$F463&lt;&gt;"""", SPLIT(Account!$F463, "" ""), """")"),"")</f>
        <v/>
      </c>
      <c r="X463" s="42"/>
      <c r="Y463" s="42"/>
      <c r="Z463" s="42"/>
      <c r="AA463" s="42"/>
      <c r="AB463" s="42"/>
      <c r="AC463" s="42"/>
      <c r="AD463" s="42"/>
      <c r="AE463" s="42"/>
      <c r="AF463" s="42"/>
      <c r="AG463" s="42"/>
      <c r="AH463" s="42"/>
      <c r="AI463" s="42"/>
      <c r="AJ463" s="42"/>
      <c r="AK463" s="42"/>
    </row>
    <row r="464">
      <c r="A464" s="20"/>
      <c r="B464" s="20"/>
      <c r="C464" s="20"/>
      <c r="D464" s="20"/>
      <c r="E464" s="20"/>
      <c r="F464" s="21"/>
      <c r="G464" s="45"/>
      <c r="H464" s="20"/>
      <c r="I464" s="20"/>
      <c r="J464" s="20"/>
      <c r="K464" s="20"/>
      <c r="L464" s="21"/>
      <c r="M464" s="33" t="str">
        <f>IFERROR(__xludf.DUMMYFUNCTION("IFS(W464=""Achat"",IFERROR(VALUE(X464),VALUE(REGEXREPLACE(T(X464),""[^0-9]"",""""))),W464=""Vente"",-IFERROR(VALUE(X464),VALUE(REGEXREPLACE(T(X464),""[^0-9]"",""""))),Y464=""Change"",0,Y464&lt;&gt;""Change"","""")"),"")</f>
        <v/>
      </c>
      <c r="N464" s="34" t="str">
        <f>IFERROR(__xludf.DUMMYFUNCTION("IF(Account!$F464&lt;&gt;"""", VALUE(REGEXREPLACE($I464, ""\,"", ""."")), """")"),"")</f>
        <v/>
      </c>
      <c r="O464" s="35" t="str">
        <f>IF(Account!$F464&lt;&gt;"", DATEVALUE(MID($A464,4,3) &amp; LEFT($A464,3) &amp; RIGHT($A464,4)) + TIMEVALUE($B464), "")</f>
        <v/>
      </c>
      <c r="P464" s="36" t="str">
        <f>IF(Account!$F464&lt;&gt;"", DATEVALUE(MID($C464,4,3) &amp; LEFT($C464,3) &amp; RIGHT($C464,4)), "")</f>
        <v/>
      </c>
      <c r="Q464" s="37" t="str">
        <f t="array" ref="Q464">IF($R464&lt;&gt;"",IFERROR(INDEX(ISIN!$B:$B,MATCH($R464,ISIN!$C:$C,0))),)</f>
        <v/>
      </c>
      <c r="R464" s="38" t="str">
        <f t="array" ref="R464">IF($E464&lt;&gt;"",IFERROR(INDEX(ISIN!$C:$C,MATCH($E464,ISIN!$A:$A,0)),IFERROR(INDEX($R465:$R1200,MATCH($K464,$K465:$K1200,0)))),IF(AND($Y464="change",$H464="EUR"),IF($O464=$O465,$R465,IF($O464=$O463,$R463)),IFERROR(INDEX($R465:$R1200,MATCH(SUBSTITUTE($I464,"-","",1),$K465:$K1200,0)))))</f>
        <v/>
      </c>
      <c r="S464" s="37" t="str">
        <f t="shared" si="1"/>
        <v/>
      </c>
      <c r="T464" s="39" t="str">
        <f t="shared" si="2"/>
        <v/>
      </c>
      <c r="U464" s="40" t="str">
        <f t="shared" si="3"/>
        <v/>
      </c>
      <c r="V464" s="34" t="str">
        <f t="shared" si="4"/>
        <v/>
      </c>
      <c r="W464" s="41" t="str">
        <f>IFERROR(__xludf.DUMMYFUNCTION(" IF(Account!$F464&lt;&gt;"""", SPLIT(Account!$F464, "" ""), """")"),"")</f>
        <v/>
      </c>
      <c r="X464" s="42"/>
      <c r="Y464" s="42"/>
      <c r="Z464" s="42"/>
      <c r="AA464" s="42"/>
      <c r="AB464" s="42"/>
      <c r="AC464" s="42"/>
      <c r="AD464" s="42"/>
      <c r="AE464" s="42"/>
      <c r="AF464" s="42"/>
      <c r="AG464" s="42"/>
      <c r="AH464" s="42"/>
      <c r="AI464" s="42"/>
      <c r="AJ464" s="42"/>
      <c r="AK464" s="42"/>
    </row>
    <row r="465">
      <c r="A465" s="20"/>
      <c r="B465" s="20"/>
      <c r="C465" s="20"/>
      <c r="D465" s="20"/>
      <c r="E465" s="20"/>
      <c r="F465" s="21"/>
      <c r="G465" s="20"/>
      <c r="H465" s="20"/>
      <c r="I465" s="20"/>
      <c r="J465" s="20"/>
      <c r="K465" s="20"/>
      <c r="L465" s="21"/>
      <c r="M465" s="33" t="str">
        <f>IFERROR(__xludf.DUMMYFUNCTION("IFS(W465=""Achat"",IFERROR(VALUE(X465),VALUE(REGEXREPLACE(T(X465),""[^0-9]"",""""))),W465=""Vente"",-IFERROR(VALUE(X465),VALUE(REGEXREPLACE(T(X465),""[^0-9]"",""""))),Y465=""Change"",0,Y465&lt;&gt;""Change"","""")"),"")</f>
        <v/>
      </c>
      <c r="N465" s="34" t="str">
        <f>IFERROR(__xludf.DUMMYFUNCTION("IF(Account!$F465&lt;&gt;"""", VALUE(REGEXREPLACE($I465, ""\,"", ""."")), """")"),"")</f>
        <v/>
      </c>
      <c r="O465" s="35" t="str">
        <f>IF(Account!$F465&lt;&gt;"", DATEVALUE(MID($A465,4,3) &amp; LEFT($A465,3) &amp; RIGHT($A465,4)) + TIMEVALUE($B465), "")</f>
        <v/>
      </c>
      <c r="P465" s="36" t="str">
        <f>IF(Account!$F465&lt;&gt;"", DATEVALUE(MID($C465,4,3) &amp; LEFT($C465,3) &amp; RIGHT($C465,4)), "")</f>
        <v/>
      </c>
      <c r="Q465" s="37" t="str">
        <f t="array" ref="Q465">IF($R465&lt;&gt;"",IFERROR(INDEX(ISIN!$B:$B,MATCH($R465,ISIN!$C:$C,0))),)</f>
        <v/>
      </c>
      <c r="R465" s="38" t="str">
        <f t="array" ref="R465">IF($E465&lt;&gt;"",IFERROR(INDEX(ISIN!$C:$C,MATCH($E465,ISIN!$A:$A,0)),IFERROR(INDEX($R466:$R1200,MATCH($K465,$K466:$K1200,0)))),IF(AND($Y465="change",$H465="EUR"),IF($O465=$O466,$R466,IF($O465=$O464,$R464)),IFERROR(INDEX($R466:$R1200,MATCH(SUBSTITUTE($I465,"-","",1),$K466:$K1200,0)))))</f>
        <v/>
      </c>
      <c r="S465" s="37" t="str">
        <f t="shared" si="1"/>
        <v/>
      </c>
      <c r="T465" s="39" t="str">
        <f t="shared" si="2"/>
        <v/>
      </c>
      <c r="U465" s="40" t="str">
        <f t="shared" si="3"/>
        <v/>
      </c>
      <c r="V465" s="34" t="str">
        <f t="shared" si="4"/>
        <v/>
      </c>
      <c r="W465" s="41" t="str">
        <f>IFERROR(__xludf.DUMMYFUNCTION(" IF(Account!$F465&lt;&gt;"""", SPLIT(Account!$F465, "" ""), """")"),"")</f>
        <v/>
      </c>
      <c r="X465" s="42"/>
      <c r="Y465" s="42"/>
      <c r="Z465" s="42"/>
      <c r="AA465" s="42"/>
      <c r="AB465" s="42"/>
      <c r="AC465" s="42"/>
      <c r="AD465" s="42"/>
      <c r="AE465" s="42"/>
      <c r="AF465" s="42"/>
      <c r="AG465" s="42"/>
      <c r="AH465" s="42"/>
      <c r="AI465" s="42"/>
      <c r="AJ465" s="42"/>
      <c r="AK465" s="42"/>
    </row>
    <row r="466">
      <c r="A466" s="20"/>
      <c r="B466" s="20"/>
      <c r="C466" s="20"/>
      <c r="D466" s="20"/>
      <c r="E466" s="20"/>
      <c r="F466" s="21"/>
      <c r="G466" s="45"/>
      <c r="H466" s="20"/>
      <c r="I466" s="20"/>
      <c r="J466" s="20"/>
      <c r="K466" s="20"/>
      <c r="L466" s="21"/>
      <c r="M466" s="33" t="str">
        <f>IFERROR(__xludf.DUMMYFUNCTION("IFS(W466=""Achat"",IFERROR(VALUE(X466),VALUE(REGEXREPLACE(T(X466),""[^0-9]"",""""))),W466=""Vente"",-IFERROR(VALUE(X466),VALUE(REGEXREPLACE(T(X466),""[^0-9]"",""""))),Y466=""Change"",0,Y466&lt;&gt;""Change"","""")"),"")</f>
        <v/>
      </c>
      <c r="N466" s="34" t="str">
        <f>IFERROR(__xludf.DUMMYFUNCTION("IF(Account!$F466&lt;&gt;"""", VALUE(REGEXREPLACE($I466, ""\,"", ""."")), """")"),"")</f>
        <v/>
      </c>
      <c r="O466" s="35" t="str">
        <f>IF(Account!$F466&lt;&gt;"", DATEVALUE(MID($A466,4,3) &amp; LEFT($A466,3) &amp; RIGHT($A466,4)) + TIMEVALUE($B466), "")</f>
        <v/>
      </c>
      <c r="P466" s="36" t="str">
        <f>IF(Account!$F466&lt;&gt;"", DATEVALUE(MID($C466,4,3) &amp; LEFT($C466,3) &amp; RIGHT($C466,4)), "")</f>
        <v/>
      </c>
      <c r="Q466" s="37" t="str">
        <f t="array" ref="Q466">IF($R466&lt;&gt;"",IFERROR(INDEX(ISIN!$B:$B,MATCH($R466,ISIN!$C:$C,0))),)</f>
        <v/>
      </c>
      <c r="R466" s="38" t="str">
        <f t="array" ref="R466">IF($E466&lt;&gt;"",IFERROR(INDEX(ISIN!$C:$C,MATCH($E466,ISIN!$A:$A,0)),IFERROR(INDEX($R467:$R1200,MATCH($K466,$K467:$K1200,0)))),IF(AND($Y466="change",$H466="EUR"),IF($O466=$O467,$R467,IF($O466=$O465,$R465)),IFERROR(INDEX($R467:$R1200,MATCH(SUBSTITUTE($I466,"-","",1),$K467:$K1200,0)))))</f>
        <v/>
      </c>
      <c r="S466" s="37" t="str">
        <f t="shared" si="1"/>
        <v/>
      </c>
      <c r="T466" s="39" t="str">
        <f t="shared" si="2"/>
        <v/>
      </c>
      <c r="U466" s="40" t="str">
        <f t="shared" si="3"/>
        <v/>
      </c>
      <c r="V466" s="34" t="str">
        <f t="shared" si="4"/>
        <v/>
      </c>
      <c r="W466" s="41" t="str">
        <f>IFERROR(__xludf.DUMMYFUNCTION(" IF(Account!$F466&lt;&gt;"""", SPLIT(Account!$F466, "" ""), """")"),"")</f>
        <v/>
      </c>
      <c r="X466" s="42"/>
      <c r="Y466" s="42"/>
      <c r="Z466" s="42"/>
      <c r="AA466" s="42"/>
      <c r="AB466" s="42"/>
      <c r="AC466" s="42"/>
      <c r="AD466" s="42"/>
      <c r="AE466" s="42"/>
      <c r="AF466" s="42"/>
      <c r="AG466" s="42"/>
      <c r="AH466" s="42"/>
      <c r="AI466" s="42"/>
      <c r="AJ466" s="42"/>
      <c r="AK466" s="42"/>
    </row>
    <row r="467">
      <c r="A467" s="20"/>
      <c r="B467" s="20"/>
      <c r="C467" s="20"/>
      <c r="D467" s="20"/>
      <c r="E467" s="20"/>
      <c r="F467" s="21"/>
      <c r="G467" s="20"/>
      <c r="H467" s="20"/>
      <c r="I467" s="20"/>
      <c r="J467" s="20"/>
      <c r="K467" s="20"/>
      <c r="L467" s="21"/>
      <c r="M467" s="33" t="str">
        <f>IFERROR(__xludf.DUMMYFUNCTION("IFS(W467=""Achat"",IFERROR(VALUE(X467),VALUE(REGEXREPLACE(T(X467),""[^0-9]"",""""))),W467=""Vente"",-IFERROR(VALUE(X467),VALUE(REGEXREPLACE(T(X467),""[^0-9]"",""""))),Y467=""Change"",0,Y467&lt;&gt;""Change"","""")"),"")</f>
        <v/>
      </c>
      <c r="N467" s="34" t="str">
        <f>IFERROR(__xludf.DUMMYFUNCTION("IF(Account!$F467&lt;&gt;"""", VALUE(REGEXREPLACE($I467, ""\,"", ""."")), """")"),"")</f>
        <v/>
      </c>
      <c r="O467" s="35" t="str">
        <f>IF(Account!$F467&lt;&gt;"", DATEVALUE(MID($A467,4,3) &amp; LEFT($A467,3) &amp; RIGHT($A467,4)) + TIMEVALUE($B467), "")</f>
        <v/>
      </c>
      <c r="P467" s="36" t="str">
        <f>IF(Account!$F467&lt;&gt;"", DATEVALUE(MID($C467,4,3) &amp; LEFT($C467,3) &amp; RIGHT($C467,4)), "")</f>
        <v/>
      </c>
      <c r="Q467" s="37" t="str">
        <f t="array" ref="Q467">IF($R467&lt;&gt;"",IFERROR(INDEX(ISIN!$B:$B,MATCH($R467,ISIN!$C:$C,0))),)</f>
        <v/>
      </c>
      <c r="R467" s="38" t="str">
        <f t="array" ref="R467">IF($E467&lt;&gt;"",IFERROR(INDEX(ISIN!$C:$C,MATCH($E467,ISIN!$A:$A,0)),IFERROR(INDEX($R468:$R1200,MATCH($K467,$K468:$K1200,0)))),IF(AND($Y467="change",$H467="EUR"),IF($O467=$O468,$R468,IF($O467=$O466,$R466)),IFERROR(INDEX($R468:$R1200,MATCH(SUBSTITUTE($I467,"-","",1),$K468:$K1200,0)))))</f>
        <v/>
      </c>
      <c r="S467" s="37" t="str">
        <f t="shared" si="1"/>
        <v/>
      </c>
      <c r="T467" s="39" t="str">
        <f t="shared" si="2"/>
        <v/>
      </c>
      <c r="U467" s="40" t="str">
        <f t="shared" si="3"/>
        <v/>
      </c>
      <c r="V467" s="34" t="str">
        <f t="shared" si="4"/>
        <v/>
      </c>
      <c r="W467" s="41" t="str">
        <f>IFERROR(__xludf.DUMMYFUNCTION(" IF(Account!$F467&lt;&gt;"""", SPLIT(Account!$F467, "" ""), """")"),"")</f>
        <v/>
      </c>
      <c r="X467" s="42"/>
      <c r="Y467" s="42"/>
      <c r="Z467" s="42"/>
      <c r="AA467" s="42"/>
      <c r="AB467" s="42"/>
      <c r="AC467" s="42"/>
      <c r="AD467" s="42"/>
      <c r="AE467" s="42"/>
      <c r="AF467" s="42"/>
      <c r="AG467" s="42"/>
      <c r="AH467" s="42"/>
      <c r="AI467" s="42"/>
      <c r="AJ467" s="42"/>
      <c r="AK467" s="42"/>
    </row>
    <row r="468">
      <c r="A468" s="20"/>
      <c r="B468" s="20"/>
      <c r="C468" s="20"/>
      <c r="D468" s="20"/>
      <c r="E468" s="20"/>
      <c r="F468" s="21"/>
      <c r="G468" s="45"/>
      <c r="H468" s="20"/>
      <c r="I468" s="20"/>
      <c r="J468" s="20"/>
      <c r="K468" s="20"/>
      <c r="L468" s="21"/>
      <c r="M468" s="33" t="str">
        <f>IFERROR(__xludf.DUMMYFUNCTION("IFS(W468=""Achat"",IFERROR(VALUE(X468),VALUE(REGEXREPLACE(T(X468),""[^0-9]"",""""))),W468=""Vente"",-IFERROR(VALUE(X468),VALUE(REGEXREPLACE(T(X468),""[^0-9]"",""""))),Y468=""Change"",0,Y468&lt;&gt;""Change"","""")"),"")</f>
        <v/>
      </c>
      <c r="N468" s="34" t="str">
        <f>IFERROR(__xludf.DUMMYFUNCTION("IF(Account!$F468&lt;&gt;"""", VALUE(REGEXREPLACE($I468, ""\,"", ""."")), """")"),"")</f>
        <v/>
      </c>
      <c r="O468" s="35" t="str">
        <f>IF(Account!$F468&lt;&gt;"", DATEVALUE(MID($A468,4,3) &amp; LEFT($A468,3) &amp; RIGHT($A468,4)) + TIMEVALUE($B468), "")</f>
        <v/>
      </c>
      <c r="P468" s="36" t="str">
        <f>IF(Account!$F468&lt;&gt;"", DATEVALUE(MID($C468,4,3) &amp; LEFT($C468,3) &amp; RIGHT($C468,4)), "")</f>
        <v/>
      </c>
      <c r="Q468" s="37" t="str">
        <f t="array" ref="Q468">IF($R468&lt;&gt;"",IFERROR(INDEX(ISIN!$B:$B,MATCH($R468,ISIN!$C:$C,0))),)</f>
        <v/>
      </c>
      <c r="R468" s="38" t="str">
        <f t="array" ref="R468">IF($E468&lt;&gt;"",IFERROR(INDEX(ISIN!$C:$C,MATCH($E468,ISIN!$A:$A,0)),IFERROR(INDEX($R469:$R1200,MATCH($K468,$K469:$K1200,0)))),IF(AND($Y468="change",$H468="EUR"),IF($O468=$O469,$R469,IF($O468=$O467,$R467)),IFERROR(INDEX($R469:$R1200,MATCH(SUBSTITUTE($I468,"-","",1),$K469:$K1200,0)))))</f>
        <v/>
      </c>
      <c r="S468" s="37" t="str">
        <f t="shared" si="1"/>
        <v/>
      </c>
      <c r="T468" s="39" t="str">
        <f t="shared" si="2"/>
        <v/>
      </c>
      <c r="U468" s="40" t="str">
        <f t="shared" si="3"/>
        <v/>
      </c>
      <c r="V468" s="34" t="str">
        <f t="shared" si="4"/>
        <v/>
      </c>
      <c r="W468" s="41" t="str">
        <f>IFERROR(__xludf.DUMMYFUNCTION(" IF(Account!$F468&lt;&gt;"""", SPLIT(Account!$F468, "" ""), """")"),"")</f>
        <v/>
      </c>
      <c r="X468" s="42"/>
      <c r="Y468" s="42"/>
      <c r="Z468" s="42"/>
      <c r="AA468" s="42"/>
      <c r="AB468" s="42"/>
      <c r="AC468" s="42"/>
      <c r="AD468" s="42"/>
      <c r="AE468" s="42"/>
      <c r="AF468" s="42"/>
      <c r="AG468" s="42"/>
      <c r="AH468" s="42"/>
      <c r="AI468" s="42"/>
      <c r="AJ468" s="42"/>
      <c r="AK468" s="42"/>
    </row>
    <row r="469">
      <c r="A469" s="20"/>
      <c r="B469" s="20"/>
      <c r="C469" s="20"/>
      <c r="D469" s="20"/>
      <c r="E469" s="20"/>
      <c r="F469" s="21"/>
      <c r="G469" s="45"/>
      <c r="H469" s="20"/>
      <c r="I469" s="20"/>
      <c r="J469" s="20"/>
      <c r="K469" s="20"/>
      <c r="L469" s="21"/>
      <c r="M469" s="33" t="str">
        <f>IFERROR(__xludf.DUMMYFUNCTION("IFS(W469=""Achat"",IFERROR(VALUE(X469),VALUE(REGEXREPLACE(T(X469),""[^0-9]"",""""))),W469=""Vente"",-IFERROR(VALUE(X469),VALUE(REGEXREPLACE(T(X469),""[^0-9]"",""""))),Y469=""Change"",0,Y469&lt;&gt;""Change"","""")"),"")</f>
        <v/>
      </c>
      <c r="N469" s="34" t="str">
        <f>IFERROR(__xludf.DUMMYFUNCTION("IF(Account!$F469&lt;&gt;"""", VALUE(REGEXREPLACE($I469, ""\,"", ""."")), """")"),"")</f>
        <v/>
      </c>
      <c r="O469" s="35" t="str">
        <f>IF(Account!$F469&lt;&gt;"", DATEVALUE(MID($A469,4,3) &amp; LEFT($A469,3) &amp; RIGHT($A469,4)) + TIMEVALUE($B469), "")</f>
        <v/>
      </c>
      <c r="P469" s="36" t="str">
        <f>IF(Account!$F469&lt;&gt;"", DATEVALUE(MID($C469,4,3) &amp; LEFT($C469,3) &amp; RIGHT($C469,4)), "")</f>
        <v/>
      </c>
      <c r="Q469" s="37" t="str">
        <f t="array" ref="Q469">IF($R469&lt;&gt;"",IFERROR(INDEX(ISIN!$B:$B,MATCH($R469,ISIN!$C:$C,0))),)</f>
        <v/>
      </c>
      <c r="R469" s="38" t="str">
        <f t="array" ref="R469">IF($E469&lt;&gt;"",IFERROR(INDEX(ISIN!$C:$C,MATCH($E469,ISIN!$A:$A,0)),IFERROR(INDEX($R470:$R1200,MATCH($K469,$K470:$K1200,0)))),IF(AND($Y469="change",$H469="EUR"),IF($O469=$O470,$R470,IF($O469=$O468,$R468)),IFERROR(INDEX($R470:$R1200,MATCH(SUBSTITUTE($I469,"-","",1),$K470:$K1200,0)))))</f>
        <v/>
      </c>
      <c r="S469" s="37" t="str">
        <f t="shared" si="1"/>
        <v/>
      </c>
      <c r="T469" s="39" t="str">
        <f t="shared" si="2"/>
        <v/>
      </c>
      <c r="U469" s="40" t="str">
        <f t="shared" si="3"/>
        <v/>
      </c>
      <c r="V469" s="34" t="str">
        <f t="shared" si="4"/>
        <v/>
      </c>
      <c r="W469" s="41" t="str">
        <f>IFERROR(__xludf.DUMMYFUNCTION(" IF(Account!$F469&lt;&gt;"""", SPLIT(Account!$F469, "" ""), """")"),"")</f>
        <v/>
      </c>
      <c r="X469" s="42"/>
      <c r="Y469" s="42"/>
      <c r="Z469" s="42"/>
      <c r="AA469" s="42"/>
      <c r="AB469" s="42"/>
      <c r="AC469" s="42"/>
      <c r="AD469" s="42"/>
      <c r="AE469" s="42"/>
      <c r="AF469" s="42"/>
      <c r="AG469" s="42"/>
      <c r="AH469" s="42"/>
      <c r="AI469" s="42"/>
      <c r="AJ469" s="42"/>
      <c r="AK469" s="42"/>
    </row>
    <row r="470">
      <c r="A470" s="20"/>
      <c r="B470" s="20"/>
      <c r="C470" s="20"/>
      <c r="D470" s="20"/>
      <c r="E470" s="20"/>
      <c r="F470" s="21"/>
      <c r="G470" s="45"/>
      <c r="H470" s="20"/>
      <c r="I470" s="20"/>
      <c r="J470" s="20"/>
      <c r="K470" s="20"/>
      <c r="L470" s="21"/>
      <c r="M470" s="33" t="str">
        <f>IFERROR(__xludf.DUMMYFUNCTION("IFS(W470=""Achat"",IFERROR(VALUE(X470),VALUE(REGEXREPLACE(T(X470),""[^0-9]"",""""))),W470=""Vente"",-IFERROR(VALUE(X470),VALUE(REGEXREPLACE(T(X470),""[^0-9]"",""""))),Y470=""Change"",0,Y470&lt;&gt;""Change"","""")"),"")</f>
        <v/>
      </c>
      <c r="N470" s="34" t="str">
        <f>IFERROR(__xludf.DUMMYFUNCTION("IF(Account!$F470&lt;&gt;"""", VALUE(REGEXREPLACE($I470, ""\,"", ""."")), """")"),"")</f>
        <v/>
      </c>
      <c r="O470" s="35" t="str">
        <f>IF(Account!$F470&lt;&gt;"", DATEVALUE(MID($A470,4,3) &amp; LEFT($A470,3) &amp; RIGHT($A470,4)) + TIMEVALUE($B470), "")</f>
        <v/>
      </c>
      <c r="P470" s="36" t="str">
        <f>IF(Account!$F470&lt;&gt;"", DATEVALUE(MID($C470,4,3) &amp; LEFT($C470,3) &amp; RIGHT($C470,4)), "")</f>
        <v/>
      </c>
      <c r="Q470" s="37" t="str">
        <f t="array" ref="Q470">IF($R470&lt;&gt;"",IFERROR(INDEX(ISIN!$B:$B,MATCH($R470,ISIN!$C:$C,0))),)</f>
        <v/>
      </c>
      <c r="R470" s="38" t="str">
        <f t="array" ref="R470">IF($E470&lt;&gt;"",IFERROR(INDEX(ISIN!$C:$C,MATCH($E470,ISIN!$A:$A,0)),IFERROR(INDEX($R471:$R1200,MATCH($K470,$K471:$K1200,0)))),IF(AND($Y470="change",$H470="EUR"),IF($O470=$O471,$R471,IF($O470=$O469,$R469)),IFERROR(INDEX($R471:$R1200,MATCH(SUBSTITUTE($I470,"-","",1),$K471:$K1200,0)))))</f>
        <v/>
      </c>
      <c r="S470" s="37" t="str">
        <f t="shared" si="1"/>
        <v/>
      </c>
      <c r="T470" s="39" t="str">
        <f t="shared" si="2"/>
        <v/>
      </c>
      <c r="U470" s="40" t="str">
        <f t="shared" si="3"/>
        <v/>
      </c>
      <c r="V470" s="34" t="str">
        <f t="shared" si="4"/>
        <v/>
      </c>
      <c r="W470" s="41" t="str">
        <f>IFERROR(__xludf.DUMMYFUNCTION(" IF(Account!$F470&lt;&gt;"""", SPLIT(Account!$F470, "" ""), """")"),"")</f>
        <v/>
      </c>
      <c r="X470" s="42"/>
      <c r="Y470" s="42"/>
      <c r="Z470" s="42"/>
      <c r="AA470" s="42"/>
      <c r="AB470" s="42"/>
      <c r="AC470" s="42"/>
      <c r="AD470" s="42"/>
      <c r="AE470" s="42"/>
      <c r="AF470" s="42"/>
      <c r="AG470" s="42"/>
      <c r="AH470" s="42"/>
      <c r="AI470" s="42"/>
      <c r="AJ470" s="42"/>
      <c r="AK470" s="42"/>
    </row>
    <row r="471">
      <c r="A471" s="20"/>
      <c r="B471" s="20"/>
      <c r="C471" s="20"/>
      <c r="D471" s="20"/>
      <c r="E471" s="20"/>
      <c r="F471" s="21"/>
      <c r="G471" s="45"/>
      <c r="H471" s="20"/>
      <c r="I471" s="20"/>
      <c r="J471" s="20"/>
      <c r="K471" s="20"/>
      <c r="L471" s="21"/>
      <c r="M471" s="33" t="str">
        <f>IFERROR(__xludf.DUMMYFUNCTION("IFS(W471=""Achat"",IFERROR(VALUE(X471),VALUE(REGEXREPLACE(T(X471),""[^0-9]"",""""))),W471=""Vente"",-IFERROR(VALUE(X471),VALUE(REGEXREPLACE(T(X471),""[^0-9]"",""""))),Y471=""Change"",0,Y471&lt;&gt;""Change"","""")"),"")</f>
        <v/>
      </c>
      <c r="N471" s="34" t="str">
        <f>IFERROR(__xludf.DUMMYFUNCTION("IF(Account!$F471&lt;&gt;"""", VALUE(REGEXREPLACE($I471, ""\,"", ""."")), """")"),"")</f>
        <v/>
      </c>
      <c r="O471" s="35" t="str">
        <f>IF(Account!$F471&lt;&gt;"", DATEVALUE(MID($A471,4,3) &amp; LEFT($A471,3) &amp; RIGHT($A471,4)) + TIMEVALUE($B471), "")</f>
        <v/>
      </c>
      <c r="P471" s="36" t="str">
        <f>IF(Account!$F471&lt;&gt;"", DATEVALUE(MID($C471,4,3) &amp; LEFT($C471,3) &amp; RIGHT($C471,4)), "")</f>
        <v/>
      </c>
      <c r="Q471" s="37" t="str">
        <f t="array" ref="Q471">IF($R471&lt;&gt;"",IFERROR(INDEX(ISIN!$B:$B,MATCH($R471,ISIN!$C:$C,0))),)</f>
        <v/>
      </c>
      <c r="R471" s="38" t="str">
        <f t="array" ref="R471">IF($E471&lt;&gt;"",IFERROR(INDEX(ISIN!$C:$C,MATCH($E471,ISIN!$A:$A,0)),IFERROR(INDEX($R472:$R1200,MATCH($K471,$K472:$K1200,0)))),IF(AND($Y471="change",$H471="EUR"),IF($O471=$O472,$R472,IF($O471=$O470,$R470)),IFERROR(INDEX($R472:$R1200,MATCH(SUBSTITUTE($I471,"-","",1),$K472:$K1200,0)))))</f>
        <v/>
      </c>
      <c r="S471" s="37" t="str">
        <f t="shared" si="1"/>
        <v/>
      </c>
      <c r="T471" s="39" t="str">
        <f t="shared" si="2"/>
        <v/>
      </c>
      <c r="U471" s="40" t="str">
        <f t="shared" si="3"/>
        <v/>
      </c>
      <c r="V471" s="34" t="str">
        <f t="shared" si="4"/>
        <v/>
      </c>
      <c r="W471" s="41" t="str">
        <f>IFERROR(__xludf.DUMMYFUNCTION(" IF(Account!$F471&lt;&gt;"""", SPLIT(Account!$F471, "" ""), """")"),"")</f>
        <v/>
      </c>
      <c r="X471" s="42"/>
      <c r="Y471" s="42"/>
      <c r="Z471" s="42"/>
      <c r="AA471" s="42"/>
      <c r="AB471" s="42"/>
      <c r="AC471" s="42"/>
      <c r="AD471" s="42"/>
      <c r="AE471" s="42"/>
      <c r="AF471" s="42"/>
      <c r="AG471" s="42"/>
      <c r="AH471" s="42"/>
      <c r="AI471" s="42"/>
      <c r="AJ471" s="42"/>
      <c r="AK471" s="42"/>
    </row>
    <row r="472">
      <c r="A472" s="20"/>
      <c r="B472" s="20"/>
      <c r="C472" s="20"/>
      <c r="D472" s="20"/>
      <c r="E472" s="20"/>
      <c r="F472" s="21"/>
      <c r="G472" s="20"/>
      <c r="H472" s="20"/>
      <c r="I472" s="20"/>
      <c r="J472" s="20"/>
      <c r="K472" s="20"/>
      <c r="L472" s="21"/>
      <c r="M472" s="33" t="str">
        <f>IFERROR(__xludf.DUMMYFUNCTION("IFS(W472=""Achat"",IFERROR(VALUE(X472),VALUE(REGEXREPLACE(T(X472),""[^0-9]"",""""))),W472=""Vente"",-IFERROR(VALUE(X472),VALUE(REGEXREPLACE(T(X472),""[^0-9]"",""""))),Y472=""Change"",0,Y472&lt;&gt;""Change"","""")"),"")</f>
        <v/>
      </c>
      <c r="N472" s="34" t="str">
        <f>IFERROR(__xludf.DUMMYFUNCTION("IF(Account!$F472&lt;&gt;"""", VALUE(REGEXREPLACE($I472, ""\,"", ""."")), """")"),"")</f>
        <v/>
      </c>
      <c r="O472" s="35" t="str">
        <f>IF(Account!$F472&lt;&gt;"", DATEVALUE(MID($A472,4,3) &amp; LEFT($A472,3) &amp; RIGHT($A472,4)) + TIMEVALUE($B472), "")</f>
        <v/>
      </c>
      <c r="P472" s="36" t="str">
        <f>IF(Account!$F472&lt;&gt;"", DATEVALUE(MID($C472,4,3) &amp; LEFT($C472,3) &amp; RIGHT($C472,4)), "")</f>
        <v/>
      </c>
      <c r="Q472" s="37" t="str">
        <f t="array" ref="Q472">IF($R472&lt;&gt;"",IFERROR(INDEX(ISIN!$B:$B,MATCH($R472,ISIN!$C:$C,0))),)</f>
        <v/>
      </c>
      <c r="R472" s="38" t="str">
        <f t="array" ref="R472">IF($E472&lt;&gt;"",IFERROR(INDEX(ISIN!$C:$C,MATCH($E472,ISIN!$A:$A,0)),IFERROR(INDEX($R473:$R1200,MATCH($K472,$K473:$K1200,0)))),IF(AND($Y472="change",$H472="EUR"),IF($O472=$O473,$R473,IF($O472=$O471,$R471)),IFERROR(INDEX($R473:$R1200,MATCH(SUBSTITUTE($I472,"-","",1),$K473:$K1200,0)))))</f>
        <v/>
      </c>
      <c r="S472" s="37" t="str">
        <f t="shared" si="1"/>
        <v/>
      </c>
      <c r="T472" s="39" t="str">
        <f t="shared" si="2"/>
        <v/>
      </c>
      <c r="U472" s="40" t="str">
        <f t="shared" si="3"/>
        <v/>
      </c>
      <c r="V472" s="34" t="str">
        <f t="shared" si="4"/>
        <v/>
      </c>
      <c r="W472" s="41" t="str">
        <f>IFERROR(__xludf.DUMMYFUNCTION(" IF(Account!$F472&lt;&gt;"""", SPLIT(Account!$F472, "" ""), """")"),"")</f>
        <v/>
      </c>
      <c r="X472" s="42"/>
      <c r="Y472" s="42"/>
      <c r="Z472" s="42"/>
      <c r="AA472" s="42"/>
      <c r="AB472" s="42"/>
      <c r="AC472" s="42"/>
      <c r="AD472" s="42"/>
      <c r="AE472" s="42"/>
      <c r="AF472" s="42"/>
      <c r="AG472" s="42"/>
      <c r="AH472" s="42"/>
      <c r="AI472" s="42"/>
      <c r="AJ472" s="42"/>
      <c r="AK472" s="42"/>
    </row>
    <row r="473">
      <c r="A473" s="20"/>
      <c r="B473" s="20"/>
      <c r="C473" s="20"/>
      <c r="D473" s="20"/>
      <c r="E473" s="20"/>
      <c r="F473" s="21"/>
      <c r="G473" s="45"/>
      <c r="H473" s="20"/>
      <c r="I473" s="20"/>
      <c r="J473" s="20"/>
      <c r="K473" s="20"/>
      <c r="L473" s="21"/>
      <c r="M473" s="33" t="str">
        <f>IFERROR(__xludf.DUMMYFUNCTION("IFS(W473=""Achat"",IFERROR(VALUE(X473),VALUE(REGEXREPLACE(T(X473),""[^0-9]"",""""))),W473=""Vente"",-IFERROR(VALUE(X473),VALUE(REGEXREPLACE(T(X473),""[^0-9]"",""""))),Y473=""Change"",0,Y473&lt;&gt;""Change"","""")"),"")</f>
        <v/>
      </c>
      <c r="N473" s="34" t="str">
        <f>IFERROR(__xludf.DUMMYFUNCTION("IF(Account!$F473&lt;&gt;"""", VALUE(REGEXREPLACE($I473, ""\,"", ""."")), """")"),"")</f>
        <v/>
      </c>
      <c r="O473" s="35" t="str">
        <f>IF(Account!$F473&lt;&gt;"", DATEVALUE(MID($A473,4,3) &amp; LEFT($A473,3) &amp; RIGHT($A473,4)) + TIMEVALUE($B473), "")</f>
        <v/>
      </c>
      <c r="P473" s="36" t="str">
        <f>IF(Account!$F473&lt;&gt;"", DATEVALUE(MID($C473,4,3) &amp; LEFT($C473,3) &amp; RIGHT($C473,4)), "")</f>
        <v/>
      </c>
      <c r="Q473" s="37" t="str">
        <f t="array" ref="Q473">IF($R473&lt;&gt;"",IFERROR(INDEX(ISIN!$B:$B,MATCH($R473,ISIN!$C:$C,0))),)</f>
        <v/>
      </c>
      <c r="R473" s="38" t="str">
        <f t="array" ref="R473">IF($E473&lt;&gt;"",IFERROR(INDEX(ISIN!$C:$C,MATCH($E473,ISIN!$A:$A,0)),IFERROR(INDEX($R474:$R1200,MATCH($K473,$K474:$K1200,0)))),IF(AND($Y473="change",$H473="EUR"),IF($O473=$O474,$R474,IF($O473=$O472,$R472)),IFERROR(INDEX($R474:$R1200,MATCH(SUBSTITUTE($I473,"-","",1),$K474:$K1200,0)))))</f>
        <v/>
      </c>
      <c r="S473" s="37" t="str">
        <f t="shared" si="1"/>
        <v/>
      </c>
      <c r="T473" s="39" t="str">
        <f t="shared" si="2"/>
        <v/>
      </c>
      <c r="U473" s="40" t="str">
        <f t="shared" si="3"/>
        <v/>
      </c>
      <c r="V473" s="34" t="str">
        <f t="shared" si="4"/>
        <v/>
      </c>
      <c r="W473" s="41" t="str">
        <f>IFERROR(__xludf.DUMMYFUNCTION(" IF(Account!$F473&lt;&gt;"""", SPLIT(Account!$F473, "" ""), """")"),"")</f>
        <v/>
      </c>
      <c r="X473" s="42"/>
      <c r="Y473" s="42"/>
      <c r="Z473" s="42"/>
      <c r="AA473" s="42"/>
      <c r="AB473" s="42"/>
      <c r="AC473" s="42"/>
      <c r="AD473" s="42"/>
      <c r="AE473" s="42"/>
      <c r="AF473" s="42"/>
      <c r="AG473" s="42"/>
      <c r="AH473" s="42"/>
      <c r="AI473" s="42"/>
      <c r="AJ473" s="42"/>
      <c r="AK473" s="42"/>
    </row>
    <row r="474">
      <c r="A474" s="20"/>
      <c r="B474" s="20"/>
      <c r="C474" s="20"/>
      <c r="D474" s="20"/>
      <c r="E474" s="20"/>
      <c r="F474" s="21"/>
      <c r="G474" s="45"/>
      <c r="H474" s="20"/>
      <c r="I474" s="20"/>
      <c r="J474" s="20"/>
      <c r="K474" s="20"/>
      <c r="L474" s="21"/>
      <c r="M474" s="33" t="str">
        <f>IFERROR(__xludf.DUMMYFUNCTION("IFS(W474=""Achat"",IFERROR(VALUE(X474),VALUE(REGEXREPLACE(T(X474),""[^0-9]"",""""))),W474=""Vente"",-IFERROR(VALUE(X474),VALUE(REGEXREPLACE(T(X474),""[^0-9]"",""""))),Y474=""Change"",0,Y474&lt;&gt;""Change"","""")"),"")</f>
        <v/>
      </c>
      <c r="N474" s="34" t="str">
        <f>IFERROR(__xludf.DUMMYFUNCTION("IF(Account!$F474&lt;&gt;"""", VALUE(REGEXREPLACE($I474, ""\,"", ""."")), """")"),"")</f>
        <v/>
      </c>
      <c r="O474" s="35" t="str">
        <f>IF(Account!$F474&lt;&gt;"", DATEVALUE(MID($A474,4,3) &amp; LEFT($A474,3) &amp; RIGHT($A474,4)) + TIMEVALUE($B474), "")</f>
        <v/>
      </c>
      <c r="P474" s="36" t="str">
        <f>IF(Account!$F474&lt;&gt;"", DATEVALUE(MID($C474,4,3) &amp; LEFT($C474,3) &amp; RIGHT($C474,4)), "")</f>
        <v/>
      </c>
      <c r="Q474" s="37" t="str">
        <f t="array" ref="Q474">IF($R474&lt;&gt;"",IFERROR(INDEX(ISIN!$B:$B,MATCH($R474,ISIN!$C:$C,0))),)</f>
        <v/>
      </c>
      <c r="R474" s="38" t="str">
        <f t="array" ref="R474">IF($E474&lt;&gt;"",IFERROR(INDEX(ISIN!$C:$C,MATCH($E474,ISIN!$A:$A,0)),IFERROR(INDEX($R475:$R1200,MATCH($K474,$K475:$K1200,0)))),IF(AND($Y474="change",$H474="EUR"),IF($O474=$O475,$R475,IF($O474=$O473,$R473)),IFERROR(INDEX($R475:$R1200,MATCH(SUBSTITUTE($I474,"-","",1),$K475:$K1200,0)))))</f>
        <v/>
      </c>
      <c r="S474" s="37" t="str">
        <f t="shared" si="1"/>
        <v/>
      </c>
      <c r="T474" s="39" t="str">
        <f t="shared" si="2"/>
        <v/>
      </c>
      <c r="U474" s="40" t="str">
        <f t="shared" si="3"/>
        <v/>
      </c>
      <c r="V474" s="34" t="str">
        <f t="shared" si="4"/>
        <v/>
      </c>
      <c r="W474" s="41" t="str">
        <f>IFERROR(__xludf.DUMMYFUNCTION(" IF(Account!$F474&lt;&gt;"""", SPLIT(Account!$F474, "" ""), """")"),"")</f>
        <v/>
      </c>
      <c r="X474" s="42"/>
      <c r="Y474" s="42"/>
      <c r="Z474" s="42"/>
      <c r="AA474" s="42"/>
      <c r="AB474" s="42"/>
      <c r="AC474" s="42"/>
      <c r="AD474" s="42"/>
      <c r="AE474" s="42"/>
      <c r="AF474" s="42"/>
      <c r="AG474" s="42"/>
      <c r="AH474" s="42"/>
      <c r="AI474" s="42"/>
      <c r="AJ474" s="42"/>
      <c r="AK474" s="42"/>
    </row>
    <row r="475">
      <c r="A475" s="20"/>
      <c r="B475" s="20"/>
      <c r="C475" s="20"/>
      <c r="D475" s="20"/>
      <c r="E475" s="20"/>
      <c r="F475" s="21"/>
      <c r="G475" s="20"/>
      <c r="H475" s="20"/>
      <c r="I475" s="20"/>
      <c r="J475" s="20"/>
      <c r="K475" s="20"/>
      <c r="L475" s="21"/>
      <c r="M475" s="33" t="str">
        <f>IFERROR(__xludf.DUMMYFUNCTION("IFS(W475=""Achat"",IFERROR(VALUE(X475),VALUE(REGEXREPLACE(T(X475),""[^0-9]"",""""))),W475=""Vente"",-IFERROR(VALUE(X475),VALUE(REGEXREPLACE(T(X475),""[^0-9]"",""""))),Y475=""Change"",0,Y475&lt;&gt;""Change"","""")"),"")</f>
        <v/>
      </c>
      <c r="N475" s="34" t="str">
        <f>IFERROR(__xludf.DUMMYFUNCTION("IF(Account!$F475&lt;&gt;"""", VALUE(REGEXREPLACE($I475, ""\,"", ""."")), """")"),"")</f>
        <v/>
      </c>
      <c r="O475" s="35" t="str">
        <f>IF(Account!$F475&lt;&gt;"", DATEVALUE(MID($A475,4,3) &amp; LEFT($A475,3) &amp; RIGHT($A475,4)) + TIMEVALUE($B475), "")</f>
        <v/>
      </c>
      <c r="P475" s="36" t="str">
        <f>IF(Account!$F475&lt;&gt;"", DATEVALUE(MID($C475,4,3) &amp; LEFT($C475,3) &amp; RIGHT($C475,4)), "")</f>
        <v/>
      </c>
      <c r="Q475" s="37" t="str">
        <f t="array" ref="Q475">IF($R475&lt;&gt;"",IFERROR(INDEX(ISIN!$B:$B,MATCH($R475,ISIN!$C:$C,0))),)</f>
        <v/>
      </c>
      <c r="R475" s="38" t="str">
        <f t="array" ref="R475">IF($E475&lt;&gt;"",IFERROR(INDEX(ISIN!$C:$C,MATCH($E475,ISIN!$A:$A,0)),IFERROR(INDEX($R476:$R1200,MATCH($K475,$K476:$K1200,0)))),IF(AND($Y475="change",$H475="EUR"),IF($O475=$O476,$R476,IF($O475=$O474,$R474)),IFERROR(INDEX($R476:$R1200,MATCH(SUBSTITUTE($I475,"-","",1),$K476:$K1200,0)))))</f>
        <v/>
      </c>
      <c r="S475" s="37" t="str">
        <f t="shared" si="1"/>
        <v/>
      </c>
      <c r="T475" s="39" t="str">
        <f t="shared" si="2"/>
        <v/>
      </c>
      <c r="U475" s="40" t="str">
        <f t="shared" si="3"/>
        <v/>
      </c>
      <c r="V475" s="34" t="str">
        <f t="shared" si="4"/>
        <v/>
      </c>
      <c r="W475" s="41" t="str">
        <f>IFERROR(__xludf.DUMMYFUNCTION(" IF(Account!$F475&lt;&gt;"""", SPLIT(Account!$F475, "" ""), """")"),"")</f>
        <v/>
      </c>
      <c r="X475" s="42"/>
      <c r="Y475" s="42"/>
      <c r="Z475" s="42"/>
      <c r="AA475" s="42"/>
      <c r="AB475" s="42"/>
      <c r="AC475" s="42"/>
      <c r="AD475" s="42"/>
      <c r="AE475" s="42"/>
      <c r="AF475" s="42"/>
      <c r="AG475" s="42"/>
      <c r="AH475" s="42"/>
      <c r="AI475" s="42"/>
      <c r="AJ475" s="42"/>
      <c r="AK475" s="42"/>
    </row>
    <row r="476">
      <c r="A476" s="20"/>
      <c r="B476" s="20"/>
      <c r="C476" s="20"/>
      <c r="D476" s="20"/>
      <c r="E476" s="20"/>
      <c r="F476" s="21"/>
      <c r="G476" s="45"/>
      <c r="H476" s="20"/>
      <c r="I476" s="20"/>
      <c r="J476" s="20"/>
      <c r="K476" s="20"/>
      <c r="L476" s="21"/>
      <c r="M476" s="33" t="str">
        <f>IFERROR(__xludf.DUMMYFUNCTION("IFS(W476=""Achat"",IFERROR(VALUE(X476),VALUE(REGEXREPLACE(T(X476),""[^0-9]"",""""))),W476=""Vente"",-IFERROR(VALUE(X476),VALUE(REGEXREPLACE(T(X476),""[^0-9]"",""""))),Y476=""Change"",0,Y476&lt;&gt;""Change"","""")"),"")</f>
        <v/>
      </c>
      <c r="N476" s="34" t="str">
        <f>IFERROR(__xludf.DUMMYFUNCTION("IF(Account!$F476&lt;&gt;"""", VALUE(REGEXREPLACE($I476, ""\,"", ""."")), """")"),"")</f>
        <v/>
      </c>
      <c r="O476" s="35" t="str">
        <f>IF(Account!$F476&lt;&gt;"", DATEVALUE(MID($A476,4,3) &amp; LEFT($A476,3) &amp; RIGHT($A476,4)) + TIMEVALUE($B476), "")</f>
        <v/>
      </c>
      <c r="P476" s="36" t="str">
        <f>IF(Account!$F476&lt;&gt;"", DATEVALUE(MID($C476,4,3) &amp; LEFT($C476,3) &amp; RIGHT($C476,4)), "")</f>
        <v/>
      </c>
      <c r="Q476" s="37" t="str">
        <f t="array" ref="Q476">IF($R476&lt;&gt;"",IFERROR(INDEX(ISIN!$B:$B,MATCH($R476,ISIN!$C:$C,0))),)</f>
        <v/>
      </c>
      <c r="R476" s="38" t="str">
        <f t="array" ref="R476">IF($E476&lt;&gt;"",IFERROR(INDEX(ISIN!$C:$C,MATCH($E476,ISIN!$A:$A,0)),IFERROR(INDEX($R477:$R1200,MATCH($K476,$K477:$K1200,0)))),IF(AND($Y476="change",$H476="EUR"),IF($O476=$O477,$R477,IF($O476=$O475,$R475)),IFERROR(INDEX($R477:$R1200,MATCH(SUBSTITUTE($I476,"-","",1),$K477:$K1200,0)))))</f>
        <v/>
      </c>
      <c r="S476" s="37" t="str">
        <f t="shared" si="1"/>
        <v/>
      </c>
      <c r="T476" s="39" t="str">
        <f t="shared" si="2"/>
        <v/>
      </c>
      <c r="U476" s="40" t="str">
        <f t="shared" si="3"/>
        <v/>
      </c>
      <c r="V476" s="34" t="str">
        <f t="shared" si="4"/>
        <v/>
      </c>
      <c r="W476" s="41" t="str">
        <f>IFERROR(__xludf.DUMMYFUNCTION(" IF(Account!$F476&lt;&gt;"""", SPLIT(Account!$F476, "" ""), """")"),"")</f>
        <v/>
      </c>
      <c r="X476" s="42"/>
      <c r="Y476" s="42"/>
      <c r="Z476" s="42"/>
      <c r="AA476" s="42"/>
      <c r="AB476" s="42"/>
      <c r="AC476" s="42"/>
      <c r="AD476" s="42"/>
      <c r="AE476" s="42"/>
      <c r="AF476" s="42"/>
      <c r="AG476" s="42"/>
      <c r="AH476" s="42"/>
      <c r="AI476" s="42"/>
      <c r="AJ476" s="42"/>
      <c r="AK476" s="42"/>
    </row>
    <row r="477">
      <c r="A477" s="20"/>
      <c r="B477" s="20"/>
      <c r="C477" s="20"/>
      <c r="D477" s="20"/>
      <c r="E477" s="20"/>
      <c r="F477" s="21"/>
      <c r="G477" s="45"/>
      <c r="H477" s="20"/>
      <c r="I477" s="20"/>
      <c r="J477" s="20"/>
      <c r="K477" s="20"/>
      <c r="L477" s="21"/>
      <c r="M477" s="33" t="str">
        <f>IFERROR(__xludf.DUMMYFUNCTION("IFS(W477=""Achat"",IFERROR(VALUE(X477),VALUE(REGEXREPLACE(T(X477),""[^0-9]"",""""))),W477=""Vente"",-IFERROR(VALUE(X477),VALUE(REGEXREPLACE(T(X477),""[^0-9]"",""""))),Y477=""Change"",0,Y477&lt;&gt;""Change"","""")"),"")</f>
        <v/>
      </c>
      <c r="N477" s="34" t="str">
        <f>IFERROR(__xludf.DUMMYFUNCTION("IF(Account!$F477&lt;&gt;"""", VALUE(REGEXREPLACE($I477, ""\,"", ""."")), """")"),"")</f>
        <v/>
      </c>
      <c r="O477" s="35" t="str">
        <f>IF(Account!$F477&lt;&gt;"", DATEVALUE(MID($A477,4,3) &amp; LEFT($A477,3) &amp; RIGHT($A477,4)) + TIMEVALUE($B477), "")</f>
        <v/>
      </c>
      <c r="P477" s="36" t="str">
        <f>IF(Account!$F477&lt;&gt;"", DATEVALUE(MID($C477,4,3) &amp; LEFT($C477,3) &amp; RIGHT($C477,4)), "")</f>
        <v/>
      </c>
      <c r="Q477" s="37" t="str">
        <f t="array" ref="Q477">IF($R477&lt;&gt;"",IFERROR(INDEX(ISIN!$B:$B,MATCH($R477,ISIN!$C:$C,0))),)</f>
        <v/>
      </c>
      <c r="R477" s="38" t="str">
        <f t="array" ref="R477">IF($E477&lt;&gt;"",IFERROR(INDEX(ISIN!$C:$C,MATCH($E477,ISIN!$A:$A,0)),IFERROR(INDEX($R478:$R1200,MATCH($K477,$K478:$K1200,0)))),IF(AND($Y477="change",$H477="EUR"),IF($O477=$O478,$R478,IF($O477=$O476,$R476)),IFERROR(INDEX($R478:$R1200,MATCH(SUBSTITUTE($I477,"-","",1),$K478:$K1200,0)))))</f>
        <v/>
      </c>
      <c r="S477" s="37" t="str">
        <f t="shared" si="1"/>
        <v/>
      </c>
      <c r="T477" s="39" t="str">
        <f t="shared" si="2"/>
        <v/>
      </c>
      <c r="U477" s="40" t="str">
        <f t="shared" si="3"/>
        <v/>
      </c>
      <c r="V477" s="34" t="str">
        <f t="shared" si="4"/>
        <v/>
      </c>
      <c r="W477" s="41" t="str">
        <f>IFERROR(__xludf.DUMMYFUNCTION(" IF(Account!$F477&lt;&gt;"""", SPLIT(Account!$F477, "" ""), """")"),"")</f>
        <v/>
      </c>
      <c r="X477" s="42"/>
      <c r="Y477" s="42"/>
      <c r="Z477" s="42"/>
      <c r="AA477" s="42"/>
      <c r="AB477" s="42"/>
      <c r="AC477" s="42"/>
      <c r="AD477" s="42"/>
      <c r="AE477" s="42"/>
      <c r="AF477" s="42"/>
      <c r="AG477" s="42"/>
      <c r="AH477" s="42"/>
      <c r="AI477" s="42"/>
      <c r="AJ477" s="42"/>
      <c r="AK477" s="42"/>
    </row>
    <row r="478">
      <c r="A478" s="20"/>
      <c r="B478" s="20"/>
      <c r="C478" s="20"/>
      <c r="D478" s="20"/>
      <c r="E478" s="20"/>
      <c r="F478" s="21"/>
      <c r="G478" s="45"/>
      <c r="H478" s="20"/>
      <c r="I478" s="20"/>
      <c r="J478" s="20"/>
      <c r="K478" s="20"/>
      <c r="L478" s="21"/>
      <c r="M478" s="33" t="str">
        <f>IFERROR(__xludf.DUMMYFUNCTION("IFS(W478=""Achat"",IFERROR(VALUE(X478),VALUE(REGEXREPLACE(T(X478),""[^0-9]"",""""))),W478=""Vente"",-IFERROR(VALUE(X478),VALUE(REGEXREPLACE(T(X478),""[^0-9]"",""""))),Y478=""Change"",0,Y478&lt;&gt;""Change"","""")"),"")</f>
        <v/>
      </c>
      <c r="N478" s="34" t="str">
        <f>IFERROR(__xludf.DUMMYFUNCTION("IF(Account!$F478&lt;&gt;"""", VALUE(REGEXREPLACE($I478, ""\,"", ""."")), """")"),"")</f>
        <v/>
      </c>
      <c r="O478" s="35" t="str">
        <f>IF(Account!$F478&lt;&gt;"", DATEVALUE(MID($A478,4,3) &amp; LEFT($A478,3) &amp; RIGHT($A478,4)) + TIMEVALUE($B478), "")</f>
        <v/>
      </c>
      <c r="P478" s="36" t="str">
        <f>IF(Account!$F478&lt;&gt;"", DATEVALUE(MID($C478,4,3) &amp; LEFT($C478,3) &amp; RIGHT($C478,4)), "")</f>
        <v/>
      </c>
      <c r="Q478" s="37" t="str">
        <f t="array" ref="Q478">IF($R478&lt;&gt;"",IFERROR(INDEX(ISIN!$B:$B,MATCH($R478,ISIN!$C:$C,0))),)</f>
        <v/>
      </c>
      <c r="R478" s="38" t="str">
        <f t="array" ref="R478">IF($E478&lt;&gt;"",IFERROR(INDEX(ISIN!$C:$C,MATCH($E478,ISIN!$A:$A,0)),IFERROR(INDEX($R479:$R1200,MATCH($K478,$K479:$K1200,0)))),IF(AND($Y478="change",$H478="EUR"),IF($O478=$O479,$R479,IF($O478=$O477,$R477)),IFERROR(INDEX($R479:$R1200,MATCH(SUBSTITUTE($I478,"-","",1),$K479:$K1200,0)))))</f>
        <v/>
      </c>
      <c r="S478" s="37" t="str">
        <f t="shared" si="1"/>
        <v/>
      </c>
      <c r="T478" s="39" t="str">
        <f t="shared" si="2"/>
        <v/>
      </c>
      <c r="U478" s="40" t="str">
        <f t="shared" si="3"/>
        <v/>
      </c>
      <c r="V478" s="34" t="str">
        <f t="shared" si="4"/>
        <v/>
      </c>
      <c r="W478" s="41" t="str">
        <f>IFERROR(__xludf.DUMMYFUNCTION(" IF(Account!$F478&lt;&gt;"""", SPLIT(Account!$F478, "" ""), """")"),"")</f>
        <v/>
      </c>
      <c r="X478" s="42"/>
      <c r="Y478" s="42"/>
      <c r="Z478" s="42"/>
      <c r="AA478" s="42"/>
      <c r="AB478" s="42"/>
      <c r="AC478" s="42"/>
      <c r="AD478" s="42"/>
      <c r="AE478" s="42"/>
      <c r="AF478" s="42"/>
      <c r="AG478" s="42"/>
      <c r="AH478" s="42"/>
      <c r="AI478" s="42"/>
      <c r="AJ478" s="42"/>
      <c r="AK478" s="42"/>
    </row>
    <row r="479">
      <c r="A479" s="20"/>
      <c r="B479" s="20"/>
      <c r="C479" s="20"/>
      <c r="D479" s="20"/>
      <c r="E479" s="20"/>
      <c r="F479" s="21"/>
      <c r="G479" s="20"/>
      <c r="H479" s="20"/>
      <c r="I479" s="20"/>
      <c r="J479" s="20"/>
      <c r="K479" s="20"/>
      <c r="L479" s="21"/>
      <c r="M479" s="33" t="str">
        <f>IFERROR(__xludf.DUMMYFUNCTION("IFS(W479=""Achat"",IFERROR(VALUE(X479),VALUE(REGEXREPLACE(T(X479),""[^0-9]"",""""))),W479=""Vente"",-IFERROR(VALUE(X479),VALUE(REGEXREPLACE(T(X479),""[^0-9]"",""""))),Y479=""Change"",0,Y479&lt;&gt;""Change"","""")"),"")</f>
        <v/>
      </c>
      <c r="N479" s="34" t="str">
        <f>IFERROR(__xludf.DUMMYFUNCTION("IF(Account!$F479&lt;&gt;"""", VALUE(REGEXREPLACE($I479, ""\,"", ""."")), """")"),"")</f>
        <v/>
      </c>
      <c r="O479" s="35" t="str">
        <f>IF(Account!$F479&lt;&gt;"", DATEVALUE(MID($A479,4,3) &amp; LEFT($A479,3) &amp; RIGHT($A479,4)) + TIMEVALUE($B479), "")</f>
        <v/>
      </c>
      <c r="P479" s="36" t="str">
        <f>IF(Account!$F479&lt;&gt;"", DATEVALUE(MID($C479,4,3) &amp; LEFT($C479,3) &amp; RIGHT($C479,4)), "")</f>
        <v/>
      </c>
      <c r="Q479" s="37" t="str">
        <f t="array" ref="Q479">IF($R479&lt;&gt;"",IFERROR(INDEX(ISIN!$B:$B,MATCH($R479,ISIN!$C:$C,0))),)</f>
        <v/>
      </c>
      <c r="R479" s="38" t="str">
        <f t="array" ref="R479">IF($E479&lt;&gt;"",IFERROR(INDEX(ISIN!$C:$C,MATCH($E479,ISIN!$A:$A,0)),IFERROR(INDEX($R480:$R1200,MATCH($K479,$K480:$K1200,0)))),IF(AND($Y479="change",$H479="EUR"),IF($O479=$O480,$R480,IF($O479=$O478,$R478)),IFERROR(INDEX($R480:$R1200,MATCH(SUBSTITUTE($I479,"-","",1),$K480:$K1200,0)))))</f>
        <v/>
      </c>
      <c r="S479" s="37" t="str">
        <f t="shared" si="1"/>
        <v/>
      </c>
      <c r="T479" s="39" t="str">
        <f t="shared" si="2"/>
        <v/>
      </c>
      <c r="U479" s="40" t="str">
        <f t="shared" si="3"/>
        <v/>
      </c>
      <c r="V479" s="34" t="str">
        <f t="shared" si="4"/>
        <v/>
      </c>
      <c r="W479" s="41" t="str">
        <f>IFERROR(__xludf.DUMMYFUNCTION(" IF(Account!$F479&lt;&gt;"""", SPLIT(Account!$F479, "" ""), """")"),"")</f>
        <v/>
      </c>
      <c r="X479" s="42"/>
      <c r="Y479" s="42"/>
      <c r="Z479" s="42"/>
      <c r="AA479" s="42"/>
      <c r="AB479" s="42"/>
      <c r="AC479" s="42"/>
      <c r="AD479" s="42"/>
      <c r="AE479" s="42"/>
      <c r="AF479" s="42"/>
      <c r="AG479" s="42"/>
      <c r="AH479" s="42"/>
      <c r="AI479" s="42"/>
      <c r="AJ479" s="42"/>
      <c r="AK479" s="42"/>
    </row>
    <row r="480">
      <c r="A480" s="20"/>
      <c r="B480" s="20"/>
      <c r="C480" s="20"/>
      <c r="D480" s="20"/>
      <c r="E480" s="20"/>
      <c r="F480" s="21"/>
      <c r="G480" s="20"/>
      <c r="H480" s="20"/>
      <c r="I480" s="20"/>
      <c r="J480" s="20"/>
      <c r="K480" s="20"/>
      <c r="L480" s="21"/>
      <c r="M480" s="33" t="str">
        <f>IFERROR(__xludf.DUMMYFUNCTION("IFS(W480=""Achat"",IFERROR(VALUE(X480),VALUE(REGEXREPLACE(T(X480),""[^0-9]"",""""))),W480=""Vente"",-IFERROR(VALUE(X480),VALUE(REGEXREPLACE(T(X480),""[^0-9]"",""""))),Y480=""Change"",0,Y480&lt;&gt;""Change"","""")"),"")</f>
        <v/>
      </c>
      <c r="N480" s="34" t="str">
        <f>IFERROR(__xludf.DUMMYFUNCTION("IF(Account!$F480&lt;&gt;"""", VALUE(REGEXREPLACE($I480, ""\,"", ""."")), """")"),"")</f>
        <v/>
      </c>
      <c r="O480" s="35" t="str">
        <f>IF(Account!$F480&lt;&gt;"", DATEVALUE(MID($A480,4,3) &amp; LEFT($A480,3) &amp; RIGHT($A480,4)) + TIMEVALUE($B480), "")</f>
        <v/>
      </c>
      <c r="P480" s="36" t="str">
        <f>IF(Account!$F480&lt;&gt;"", DATEVALUE(MID($C480,4,3) &amp; LEFT($C480,3) &amp; RIGHT($C480,4)), "")</f>
        <v/>
      </c>
      <c r="Q480" s="37" t="str">
        <f t="array" ref="Q480">IF($R480&lt;&gt;"",IFERROR(INDEX(ISIN!$B:$B,MATCH($R480,ISIN!$C:$C,0))),)</f>
        <v/>
      </c>
      <c r="R480" s="38" t="str">
        <f t="array" ref="R480">IF($E480&lt;&gt;"",IFERROR(INDEX(ISIN!$C:$C,MATCH($E480,ISIN!$A:$A,0)),IFERROR(INDEX($R481:$R1200,MATCH($K480,$K481:$K1200,0)))),IF(AND($Y480="change",$H480="EUR"),IF($O480=$O481,$R481,IF($O480=$O479,$R479)),IFERROR(INDEX($R481:$R1200,MATCH(SUBSTITUTE($I480,"-","",1),$K481:$K1200,0)))))</f>
        <v/>
      </c>
      <c r="S480" s="37" t="str">
        <f t="shared" si="1"/>
        <v/>
      </c>
      <c r="T480" s="39" t="str">
        <f t="shared" si="2"/>
        <v/>
      </c>
      <c r="U480" s="40" t="str">
        <f t="shared" si="3"/>
        <v/>
      </c>
      <c r="V480" s="34" t="str">
        <f t="shared" si="4"/>
        <v/>
      </c>
      <c r="W480" s="41" t="str">
        <f>IFERROR(__xludf.DUMMYFUNCTION(" IF(Account!$F480&lt;&gt;"""", SPLIT(Account!$F480, "" ""), """")"),"")</f>
        <v/>
      </c>
      <c r="X480" s="42"/>
      <c r="Y480" s="42"/>
      <c r="Z480" s="42"/>
      <c r="AA480" s="42"/>
      <c r="AB480" s="42"/>
      <c r="AC480" s="42"/>
      <c r="AD480" s="42"/>
      <c r="AE480" s="42"/>
      <c r="AF480" s="42"/>
      <c r="AG480" s="42"/>
      <c r="AH480" s="42"/>
      <c r="AI480" s="42"/>
      <c r="AJ480" s="42"/>
      <c r="AK480" s="42"/>
    </row>
    <row r="481">
      <c r="A481" s="20"/>
      <c r="B481" s="20"/>
      <c r="C481" s="20"/>
      <c r="D481" s="20"/>
      <c r="E481" s="20"/>
      <c r="F481" s="21"/>
      <c r="G481" s="45"/>
      <c r="H481" s="20"/>
      <c r="I481" s="20"/>
      <c r="J481" s="20"/>
      <c r="K481" s="20"/>
      <c r="L481" s="21"/>
      <c r="M481" s="33" t="str">
        <f>IFERROR(__xludf.DUMMYFUNCTION("IFS(W481=""Achat"",IFERROR(VALUE(X481),VALUE(REGEXREPLACE(T(X481),""[^0-9]"",""""))),W481=""Vente"",-IFERROR(VALUE(X481),VALUE(REGEXREPLACE(T(X481),""[^0-9]"",""""))),Y481=""Change"",0,Y481&lt;&gt;""Change"","""")"),"")</f>
        <v/>
      </c>
      <c r="N481" s="34" t="str">
        <f>IFERROR(__xludf.DUMMYFUNCTION("IF(Account!$F481&lt;&gt;"""", VALUE(REGEXREPLACE($I481, ""\,"", ""."")), """")"),"")</f>
        <v/>
      </c>
      <c r="O481" s="35" t="str">
        <f>IF(Account!$F481&lt;&gt;"", DATEVALUE(MID($A481,4,3) &amp; LEFT($A481,3) &amp; RIGHT($A481,4)) + TIMEVALUE($B481), "")</f>
        <v/>
      </c>
      <c r="P481" s="36" t="str">
        <f>IF(Account!$F481&lt;&gt;"", DATEVALUE(MID($C481,4,3) &amp; LEFT($C481,3) &amp; RIGHT($C481,4)), "")</f>
        <v/>
      </c>
      <c r="Q481" s="37" t="str">
        <f t="array" ref="Q481">IF($R481&lt;&gt;"",IFERROR(INDEX(ISIN!$B:$B,MATCH($R481,ISIN!$C:$C,0))),)</f>
        <v/>
      </c>
      <c r="R481" s="38" t="str">
        <f t="array" ref="R481">IF($E481&lt;&gt;"",IFERROR(INDEX(ISIN!$C:$C,MATCH($E481,ISIN!$A:$A,0)),IFERROR(INDEX($R482:$R1200,MATCH($K481,$K482:$K1200,0)))),IF(AND($Y481="change",$H481="EUR"),IF($O481=$O482,$R482,IF($O481=$O480,$R480)),IFERROR(INDEX($R482:$R1200,MATCH(SUBSTITUTE($I481,"-","",1),$K482:$K1200,0)))))</f>
        <v/>
      </c>
      <c r="S481" s="37" t="str">
        <f t="shared" si="1"/>
        <v/>
      </c>
      <c r="T481" s="39" t="str">
        <f t="shared" si="2"/>
        <v/>
      </c>
      <c r="U481" s="40" t="str">
        <f t="shared" si="3"/>
        <v/>
      </c>
      <c r="V481" s="34" t="str">
        <f t="shared" si="4"/>
        <v/>
      </c>
      <c r="W481" s="41" t="str">
        <f>IFERROR(__xludf.DUMMYFUNCTION(" IF(Account!$F481&lt;&gt;"""", SPLIT(Account!$F481, "" ""), """")"),"")</f>
        <v/>
      </c>
      <c r="X481" s="42"/>
      <c r="Y481" s="42"/>
      <c r="Z481" s="42"/>
      <c r="AA481" s="42"/>
      <c r="AB481" s="42"/>
      <c r="AC481" s="42"/>
      <c r="AD481" s="42"/>
      <c r="AE481" s="42"/>
      <c r="AF481" s="42"/>
      <c r="AG481" s="42"/>
      <c r="AH481" s="42"/>
      <c r="AI481" s="42"/>
      <c r="AJ481" s="42"/>
      <c r="AK481" s="42"/>
    </row>
    <row r="482">
      <c r="A482" s="20"/>
      <c r="B482" s="20"/>
      <c r="C482" s="20"/>
      <c r="D482" s="20"/>
      <c r="E482" s="20"/>
      <c r="F482" s="21"/>
      <c r="G482" s="45"/>
      <c r="H482" s="20"/>
      <c r="I482" s="20"/>
      <c r="J482" s="20"/>
      <c r="K482" s="20"/>
      <c r="L482" s="21"/>
      <c r="M482" s="33" t="str">
        <f>IFERROR(__xludf.DUMMYFUNCTION("IFS(W482=""Achat"",IFERROR(VALUE(X482),VALUE(REGEXREPLACE(T(X482),""[^0-9]"",""""))),W482=""Vente"",-IFERROR(VALUE(X482),VALUE(REGEXREPLACE(T(X482),""[^0-9]"",""""))),Y482=""Change"",0,Y482&lt;&gt;""Change"","""")"),"")</f>
        <v/>
      </c>
      <c r="N482" s="34" t="str">
        <f>IFERROR(__xludf.DUMMYFUNCTION("IF(Account!$F482&lt;&gt;"""", VALUE(REGEXREPLACE($I482, ""\,"", ""."")), """")"),"")</f>
        <v/>
      </c>
      <c r="O482" s="35" t="str">
        <f>IF(Account!$F482&lt;&gt;"", DATEVALUE(MID($A482,4,3) &amp; LEFT($A482,3) &amp; RIGHT($A482,4)) + TIMEVALUE($B482), "")</f>
        <v/>
      </c>
      <c r="P482" s="36" t="str">
        <f>IF(Account!$F482&lt;&gt;"", DATEVALUE(MID($C482,4,3) &amp; LEFT($C482,3) &amp; RIGHT($C482,4)), "")</f>
        <v/>
      </c>
      <c r="Q482" s="37" t="str">
        <f t="array" ref="Q482">IF($R482&lt;&gt;"",IFERROR(INDEX(ISIN!$B:$B,MATCH($R482,ISIN!$C:$C,0))),)</f>
        <v/>
      </c>
      <c r="R482" s="38" t="str">
        <f t="array" ref="R482">IF($E482&lt;&gt;"",IFERROR(INDEX(ISIN!$C:$C,MATCH($E482,ISIN!$A:$A,0)),IFERROR(INDEX($R483:$R1200,MATCH($K482,$K483:$K1200,0)))),IF(AND($Y482="change",$H482="EUR"),IF($O482=$O483,$R483,IF($O482=$O481,$R481)),IFERROR(INDEX($R483:$R1200,MATCH(SUBSTITUTE($I482,"-","",1),$K483:$K1200,0)))))</f>
        <v/>
      </c>
      <c r="S482" s="37" t="str">
        <f t="shared" si="1"/>
        <v/>
      </c>
      <c r="T482" s="39" t="str">
        <f t="shared" si="2"/>
        <v/>
      </c>
      <c r="U482" s="40" t="str">
        <f t="shared" si="3"/>
        <v/>
      </c>
      <c r="V482" s="34" t="str">
        <f t="shared" si="4"/>
        <v/>
      </c>
      <c r="W482" s="41" t="str">
        <f>IFERROR(__xludf.DUMMYFUNCTION(" IF(Account!$F482&lt;&gt;"""", SPLIT(Account!$F482, "" ""), """")"),"")</f>
        <v/>
      </c>
      <c r="X482" s="42"/>
      <c r="Y482" s="42"/>
      <c r="Z482" s="42"/>
      <c r="AA482" s="42"/>
      <c r="AB482" s="42"/>
      <c r="AC482" s="42"/>
      <c r="AD482" s="42"/>
      <c r="AE482" s="42"/>
      <c r="AF482" s="42"/>
      <c r="AG482" s="42"/>
      <c r="AH482" s="42"/>
      <c r="AI482" s="42"/>
      <c r="AJ482" s="42"/>
      <c r="AK482" s="42"/>
    </row>
    <row r="483">
      <c r="A483" s="20"/>
      <c r="B483" s="20"/>
      <c r="C483" s="20"/>
      <c r="D483" s="20"/>
      <c r="E483" s="20"/>
      <c r="F483" s="21"/>
      <c r="G483" s="45"/>
      <c r="H483" s="20"/>
      <c r="I483" s="20"/>
      <c r="J483" s="20"/>
      <c r="K483" s="20"/>
      <c r="L483" s="21"/>
      <c r="M483" s="33" t="str">
        <f>IFERROR(__xludf.DUMMYFUNCTION("IFS(W483=""Achat"",IFERROR(VALUE(X483),VALUE(REGEXREPLACE(T(X483),""[^0-9]"",""""))),W483=""Vente"",-IFERROR(VALUE(X483),VALUE(REGEXREPLACE(T(X483),""[^0-9]"",""""))),Y483=""Change"",0,Y483&lt;&gt;""Change"","""")"),"")</f>
        <v/>
      </c>
      <c r="N483" s="34" t="str">
        <f>IFERROR(__xludf.DUMMYFUNCTION("IF(Account!$F483&lt;&gt;"""", VALUE(REGEXREPLACE($I483, ""\,"", ""."")), """")"),"")</f>
        <v/>
      </c>
      <c r="O483" s="35" t="str">
        <f>IF(Account!$F483&lt;&gt;"", DATEVALUE(MID($A483,4,3) &amp; LEFT($A483,3) &amp; RIGHT($A483,4)) + TIMEVALUE($B483), "")</f>
        <v/>
      </c>
      <c r="P483" s="36" t="str">
        <f>IF(Account!$F483&lt;&gt;"", DATEVALUE(MID($C483,4,3) &amp; LEFT($C483,3) &amp; RIGHT($C483,4)), "")</f>
        <v/>
      </c>
      <c r="Q483" s="37" t="str">
        <f t="array" ref="Q483">IF($R483&lt;&gt;"",IFERROR(INDEX(ISIN!$B:$B,MATCH($R483,ISIN!$C:$C,0))),)</f>
        <v/>
      </c>
      <c r="R483" s="38" t="str">
        <f t="array" ref="R483">IF($E483&lt;&gt;"",IFERROR(INDEX(ISIN!$C:$C,MATCH($E483,ISIN!$A:$A,0)),IFERROR(INDEX($R484:$R1200,MATCH($K483,$K484:$K1200,0)))),IF(AND($Y483="change",$H483="EUR"),IF($O483=$O484,$R484,IF($O483=$O482,$R482)),IFERROR(INDEX($R484:$R1200,MATCH(SUBSTITUTE($I483,"-","",1),$K484:$K1200,0)))))</f>
        <v/>
      </c>
      <c r="S483" s="37" t="str">
        <f t="shared" si="1"/>
        <v/>
      </c>
      <c r="T483" s="39" t="str">
        <f t="shared" si="2"/>
        <v/>
      </c>
      <c r="U483" s="40" t="str">
        <f t="shared" si="3"/>
        <v/>
      </c>
      <c r="V483" s="34" t="str">
        <f t="shared" si="4"/>
        <v/>
      </c>
      <c r="W483" s="41" t="str">
        <f>IFERROR(__xludf.DUMMYFUNCTION(" IF(Account!$F483&lt;&gt;"""", SPLIT(Account!$F483, "" ""), """")"),"")</f>
        <v/>
      </c>
      <c r="X483" s="42"/>
      <c r="Y483" s="42"/>
      <c r="Z483" s="42"/>
      <c r="AA483" s="42"/>
      <c r="AB483" s="42"/>
      <c r="AC483" s="42"/>
      <c r="AD483" s="42"/>
      <c r="AE483" s="42"/>
      <c r="AF483" s="42"/>
      <c r="AG483" s="42"/>
      <c r="AH483" s="42"/>
      <c r="AI483" s="42"/>
      <c r="AJ483" s="42"/>
      <c r="AK483" s="42"/>
    </row>
    <row r="484">
      <c r="A484" s="20"/>
      <c r="B484" s="20"/>
      <c r="C484" s="20"/>
      <c r="D484" s="20"/>
      <c r="E484" s="20"/>
      <c r="F484" s="21"/>
      <c r="G484" s="45"/>
      <c r="H484" s="20"/>
      <c r="I484" s="20"/>
      <c r="J484" s="20"/>
      <c r="K484" s="20"/>
      <c r="L484" s="21"/>
      <c r="M484" s="33" t="str">
        <f>IFERROR(__xludf.DUMMYFUNCTION("IFS(W484=""Achat"",IFERROR(VALUE(X484),VALUE(REGEXREPLACE(T(X484),""[^0-9]"",""""))),W484=""Vente"",-IFERROR(VALUE(X484),VALUE(REGEXREPLACE(T(X484),""[^0-9]"",""""))),Y484=""Change"",0,Y484&lt;&gt;""Change"","""")"),"")</f>
        <v/>
      </c>
      <c r="N484" s="34" t="str">
        <f>IFERROR(__xludf.DUMMYFUNCTION("IF(Account!$F484&lt;&gt;"""", VALUE(REGEXREPLACE($I484, ""\,"", ""."")), """")"),"")</f>
        <v/>
      </c>
      <c r="O484" s="35" t="str">
        <f>IF(Account!$F484&lt;&gt;"", DATEVALUE(MID($A484,4,3) &amp; LEFT($A484,3) &amp; RIGHT($A484,4)) + TIMEVALUE($B484), "")</f>
        <v/>
      </c>
      <c r="P484" s="36" t="str">
        <f>IF(Account!$F484&lt;&gt;"", DATEVALUE(MID($C484,4,3) &amp; LEFT($C484,3) &amp; RIGHT($C484,4)), "")</f>
        <v/>
      </c>
      <c r="Q484" s="37" t="str">
        <f t="array" ref="Q484">IF($R484&lt;&gt;"",IFERROR(INDEX(ISIN!$B:$B,MATCH($R484,ISIN!$C:$C,0))),)</f>
        <v/>
      </c>
      <c r="R484" s="38" t="str">
        <f t="array" ref="R484">IF($E484&lt;&gt;"",IFERROR(INDEX(ISIN!$C:$C,MATCH($E484,ISIN!$A:$A,0)),IFERROR(INDEX($R485:$R1200,MATCH($K484,$K485:$K1200,0)))),IF(AND($Y484="change",$H484="EUR"),IF($O484=$O485,$R485,IF($O484=$O483,$R483)),IFERROR(INDEX($R485:$R1200,MATCH(SUBSTITUTE($I484,"-","",1),$K485:$K1200,0)))))</f>
        <v/>
      </c>
      <c r="S484" s="37" t="str">
        <f t="shared" si="1"/>
        <v/>
      </c>
      <c r="T484" s="39" t="str">
        <f t="shared" si="2"/>
        <v/>
      </c>
      <c r="U484" s="40" t="str">
        <f t="shared" si="3"/>
        <v/>
      </c>
      <c r="V484" s="34" t="str">
        <f t="shared" si="4"/>
        <v/>
      </c>
      <c r="W484" s="41" t="str">
        <f>IFERROR(__xludf.DUMMYFUNCTION(" IF(Account!$F484&lt;&gt;"""", SPLIT(Account!$F484, "" ""), """")"),"")</f>
        <v/>
      </c>
      <c r="X484" s="42"/>
      <c r="Y484" s="42"/>
      <c r="Z484" s="42"/>
      <c r="AA484" s="42"/>
      <c r="AB484" s="42"/>
      <c r="AC484" s="42"/>
      <c r="AD484" s="42"/>
      <c r="AE484" s="42"/>
      <c r="AF484" s="42"/>
      <c r="AG484" s="42"/>
      <c r="AH484" s="42"/>
      <c r="AI484" s="42"/>
      <c r="AJ484" s="42"/>
      <c r="AK484" s="42"/>
    </row>
    <row r="485">
      <c r="A485" s="20"/>
      <c r="B485" s="20"/>
      <c r="C485" s="20"/>
      <c r="D485" s="45"/>
      <c r="E485" s="45"/>
      <c r="F485" s="21"/>
      <c r="G485" s="45"/>
      <c r="H485" s="20"/>
      <c r="I485" s="20"/>
      <c r="J485" s="20"/>
      <c r="K485" s="20"/>
      <c r="L485" s="21"/>
      <c r="M485" s="33" t="str">
        <f>IFERROR(__xludf.DUMMYFUNCTION("IFS(W485=""Achat"",IFERROR(VALUE(X485),VALUE(REGEXREPLACE(T(X485),""[^0-9]"",""""))),W485=""Vente"",-IFERROR(VALUE(X485),VALUE(REGEXREPLACE(T(X485),""[^0-9]"",""""))),Y485=""Change"",0,Y485&lt;&gt;""Change"","""")"),"")</f>
        <v/>
      </c>
      <c r="N485" s="34" t="str">
        <f>IFERROR(__xludf.DUMMYFUNCTION("IF(Account!$F485&lt;&gt;"""", VALUE(REGEXREPLACE($I485, ""\,"", ""."")), """")"),"")</f>
        <v/>
      </c>
      <c r="O485" s="35" t="str">
        <f>IF(Account!$F485&lt;&gt;"", DATEVALUE(MID($A485,4,3) &amp; LEFT($A485,3) &amp; RIGHT($A485,4)) + TIMEVALUE($B485), "")</f>
        <v/>
      </c>
      <c r="P485" s="36" t="str">
        <f>IF(Account!$F485&lt;&gt;"", DATEVALUE(MID($C485,4,3) &amp; LEFT($C485,3) &amp; RIGHT($C485,4)), "")</f>
        <v/>
      </c>
      <c r="Q485" s="37" t="str">
        <f t="array" ref="Q485">IF($R485&lt;&gt;"",IFERROR(INDEX(ISIN!$B:$B,MATCH($R485,ISIN!$C:$C,0))),)</f>
        <v/>
      </c>
      <c r="R485" s="38" t="str">
        <f t="array" ref="R485">IF($E485&lt;&gt;"",IFERROR(INDEX(ISIN!$C:$C,MATCH($E485,ISIN!$A:$A,0)),IFERROR(INDEX($R486:$R1200,MATCH($K485,$K486:$K1200,0)))),IF(AND($Y485="change",$H485="EUR"),IF($O485=$O486,$R486,IF($O485=$O484,$R484)),IFERROR(INDEX($R486:$R1200,MATCH(SUBSTITUTE($I485,"-","",1),$K486:$K1200,0)))))</f>
        <v/>
      </c>
      <c r="S485" s="37" t="str">
        <f t="shared" si="1"/>
        <v/>
      </c>
      <c r="T485" s="39" t="str">
        <f t="shared" si="2"/>
        <v/>
      </c>
      <c r="U485" s="40" t="str">
        <f t="shared" si="3"/>
        <v/>
      </c>
      <c r="V485" s="34" t="str">
        <f t="shared" si="4"/>
        <v/>
      </c>
      <c r="W485" s="41" t="str">
        <f>IFERROR(__xludf.DUMMYFUNCTION(" IF(Account!$F485&lt;&gt;"""", SPLIT(Account!$F485, "" ""), """")"),"")</f>
        <v/>
      </c>
      <c r="X485" s="42"/>
      <c r="Y485" s="42"/>
      <c r="Z485" s="42"/>
      <c r="AA485" s="42"/>
      <c r="AB485" s="42"/>
      <c r="AC485" s="42"/>
      <c r="AD485" s="42"/>
      <c r="AE485" s="42"/>
      <c r="AF485" s="42"/>
      <c r="AG485" s="42"/>
      <c r="AH485" s="42"/>
      <c r="AI485" s="42"/>
      <c r="AJ485" s="42"/>
      <c r="AK485" s="42"/>
    </row>
    <row r="486">
      <c r="A486" s="20"/>
      <c r="B486" s="20"/>
      <c r="C486" s="20"/>
      <c r="D486" s="45"/>
      <c r="E486" s="45"/>
      <c r="F486" s="21"/>
      <c r="G486" s="45"/>
      <c r="H486" s="20"/>
      <c r="I486" s="20"/>
      <c r="J486" s="20"/>
      <c r="K486" s="20"/>
      <c r="L486" s="21"/>
      <c r="M486" s="33" t="str">
        <f>IFERROR(__xludf.DUMMYFUNCTION("IFS(W486=""Achat"",IFERROR(VALUE(X486),VALUE(REGEXREPLACE(T(X486),""[^0-9]"",""""))),W486=""Vente"",-IFERROR(VALUE(X486),VALUE(REGEXREPLACE(T(X486),""[^0-9]"",""""))),Y486=""Change"",0,Y486&lt;&gt;""Change"","""")"),"")</f>
        <v/>
      </c>
      <c r="N486" s="34" t="str">
        <f>IFERROR(__xludf.DUMMYFUNCTION("IF(Account!$F486&lt;&gt;"""", VALUE(REGEXREPLACE($I486, ""\,"", ""."")), """")"),"")</f>
        <v/>
      </c>
      <c r="O486" s="35" t="str">
        <f>IF(Account!$F486&lt;&gt;"", DATEVALUE(MID($A486,4,3) &amp; LEFT($A486,3) &amp; RIGHT($A486,4)) + TIMEVALUE($B486), "")</f>
        <v/>
      </c>
      <c r="P486" s="36" t="str">
        <f>IF(Account!$F486&lt;&gt;"", DATEVALUE(MID($C486,4,3) &amp; LEFT($C486,3) &amp; RIGHT($C486,4)), "")</f>
        <v/>
      </c>
      <c r="Q486" s="37" t="str">
        <f t="array" ref="Q486">IF($R486&lt;&gt;"",IFERROR(INDEX(ISIN!$B:$B,MATCH($R486,ISIN!$C:$C,0))),)</f>
        <v/>
      </c>
      <c r="R486" s="38" t="str">
        <f t="array" ref="R486">IF($E486&lt;&gt;"",IFERROR(INDEX(ISIN!$C:$C,MATCH($E486,ISIN!$A:$A,0)),IFERROR(INDEX($R487:$R1200,MATCH($K486,$K487:$K1200,0)))),IF(AND($Y486="change",$H486="EUR"),IF($O486=$O487,$R487,IF($O486=$O485,$R485)),IFERROR(INDEX($R487:$R1200,MATCH(SUBSTITUTE($I486,"-","",1),$K487:$K1200,0)))))</f>
        <v/>
      </c>
      <c r="S486" s="37" t="str">
        <f t="shared" si="1"/>
        <v/>
      </c>
      <c r="T486" s="39" t="str">
        <f t="shared" si="2"/>
        <v/>
      </c>
      <c r="U486" s="40" t="str">
        <f t="shared" si="3"/>
        <v/>
      </c>
      <c r="V486" s="34" t="str">
        <f t="shared" si="4"/>
        <v/>
      </c>
      <c r="W486" s="41" t="str">
        <f>IFERROR(__xludf.DUMMYFUNCTION(" IF(Account!$F486&lt;&gt;"""", SPLIT(Account!$F486, "" ""), """")"),"")</f>
        <v/>
      </c>
      <c r="X486" s="42"/>
      <c r="Y486" s="42"/>
      <c r="Z486" s="42"/>
      <c r="AA486" s="42"/>
      <c r="AB486" s="42"/>
      <c r="AC486" s="42"/>
      <c r="AD486" s="42"/>
      <c r="AE486" s="42"/>
      <c r="AF486" s="42"/>
      <c r="AG486" s="42"/>
      <c r="AH486" s="42"/>
      <c r="AI486" s="42"/>
      <c r="AJ486" s="42"/>
      <c r="AK486" s="42"/>
    </row>
    <row r="487">
      <c r="A487" s="20"/>
      <c r="B487" s="20"/>
      <c r="C487" s="20"/>
      <c r="D487" s="45"/>
      <c r="E487" s="45"/>
      <c r="F487" s="21"/>
      <c r="G487" s="20"/>
      <c r="H487" s="20"/>
      <c r="I487" s="20"/>
      <c r="J487" s="20"/>
      <c r="K487" s="20"/>
      <c r="L487" s="21"/>
      <c r="M487" s="33" t="str">
        <f>IFERROR(__xludf.DUMMYFUNCTION("IFS(W487=""Achat"",IFERROR(VALUE(X487),VALUE(REGEXREPLACE(T(X487),""[^0-9]"",""""))),W487=""Vente"",-IFERROR(VALUE(X487),VALUE(REGEXREPLACE(T(X487),""[^0-9]"",""""))),Y487=""Change"",0,Y487&lt;&gt;""Change"","""")"),"")</f>
        <v/>
      </c>
      <c r="N487" s="34" t="str">
        <f>IFERROR(__xludf.DUMMYFUNCTION("IF(Account!$F487&lt;&gt;"""", VALUE(REGEXREPLACE($I487, ""\,"", ""."")), """")"),"")</f>
        <v/>
      </c>
      <c r="O487" s="35" t="str">
        <f>IF(Account!$F487&lt;&gt;"", DATEVALUE(MID($A487,4,3) &amp; LEFT($A487,3) &amp; RIGHT($A487,4)) + TIMEVALUE($B487), "")</f>
        <v/>
      </c>
      <c r="P487" s="36" t="str">
        <f>IF(Account!$F487&lt;&gt;"", DATEVALUE(MID($C487,4,3) &amp; LEFT($C487,3) &amp; RIGHT($C487,4)), "")</f>
        <v/>
      </c>
      <c r="Q487" s="37" t="str">
        <f t="array" ref="Q487">IF($R487&lt;&gt;"",IFERROR(INDEX(ISIN!$B:$B,MATCH($R487,ISIN!$C:$C,0))),)</f>
        <v/>
      </c>
      <c r="R487" s="38" t="str">
        <f t="array" ref="R487">IF($E487&lt;&gt;"",IFERROR(INDEX(ISIN!$C:$C,MATCH($E487,ISIN!$A:$A,0)),IFERROR(INDEX($R488:$R1200,MATCH($K487,$K488:$K1200,0)))),IF(AND($Y487="change",$H487="EUR"),IF($O487=$O488,$R488,IF($O487=$O486,$R486)),IFERROR(INDEX($R488:$R1200,MATCH(SUBSTITUTE($I487,"-","",1),$K488:$K1200,0)))))</f>
        <v/>
      </c>
      <c r="S487" s="37" t="str">
        <f t="shared" si="1"/>
        <v/>
      </c>
      <c r="T487" s="39" t="str">
        <f t="shared" si="2"/>
        <v/>
      </c>
      <c r="U487" s="40" t="str">
        <f t="shared" si="3"/>
        <v/>
      </c>
      <c r="V487" s="34" t="str">
        <f t="shared" si="4"/>
        <v/>
      </c>
      <c r="W487" s="41" t="str">
        <f>IFERROR(__xludf.DUMMYFUNCTION(" IF(Account!$F487&lt;&gt;"""", SPLIT(Account!$F487, "" ""), """")"),"")</f>
        <v/>
      </c>
      <c r="X487" s="42"/>
      <c r="Y487" s="42"/>
      <c r="Z487" s="42"/>
      <c r="AA487" s="42"/>
      <c r="AB487" s="42"/>
      <c r="AC487" s="42"/>
      <c r="AD487" s="42"/>
      <c r="AE487" s="42"/>
      <c r="AF487" s="42"/>
      <c r="AG487" s="42"/>
      <c r="AH487" s="42"/>
      <c r="AI487" s="42"/>
      <c r="AJ487" s="42"/>
      <c r="AK487" s="42"/>
    </row>
    <row r="488">
      <c r="A488" s="20"/>
      <c r="B488" s="20"/>
      <c r="C488" s="20"/>
      <c r="D488" s="20"/>
      <c r="E488" s="20"/>
      <c r="F488" s="21"/>
      <c r="G488" s="20"/>
      <c r="H488" s="20"/>
      <c r="I488" s="20"/>
      <c r="J488" s="20"/>
      <c r="K488" s="20"/>
      <c r="L488" s="21"/>
      <c r="M488" s="33" t="str">
        <f>IFERROR(__xludf.DUMMYFUNCTION("IFS(W488=""Achat"",IFERROR(VALUE(X488),VALUE(REGEXREPLACE(T(X488),""[^0-9]"",""""))),W488=""Vente"",-IFERROR(VALUE(X488),VALUE(REGEXREPLACE(T(X488),""[^0-9]"",""""))),Y488=""Change"",0,Y488&lt;&gt;""Change"","""")"),"")</f>
        <v/>
      </c>
      <c r="N488" s="34" t="str">
        <f>IFERROR(__xludf.DUMMYFUNCTION("IF(Account!$F488&lt;&gt;"""", VALUE(REGEXREPLACE($I488, ""\,"", ""."")), """")"),"")</f>
        <v/>
      </c>
      <c r="O488" s="35" t="str">
        <f>IF(Account!$F488&lt;&gt;"", DATEVALUE(MID($A488,4,3) &amp; LEFT($A488,3) &amp; RIGHT($A488,4)) + TIMEVALUE($B488), "")</f>
        <v/>
      </c>
      <c r="P488" s="36" t="str">
        <f>IF(Account!$F488&lt;&gt;"", DATEVALUE(MID($C488,4,3) &amp; LEFT($C488,3) &amp; RIGHT($C488,4)), "")</f>
        <v/>
      </c>
      <c r="Q488" s="37" t="str">
        <f t="array" ref="Q488">IF($R488&lt;&gt;"",IFERROR(INDEX(ISIN!$B:$B,MATCH($R488,ISIN!$C:$C,0))),)</f>
        <v/>
      </c>
      <c r="R488" s="38" t="str">
        <f t="array" ref="R488">IF($E488&lt;&gt;"",IFERROR(INDEX(ISIN!$C:$C,MATCH($E488,ISIN!$A:$A,0)),IFERROR(INDEX($R489:$R1200,MATCH($K488,$K489:$K1200,0)))),IF(AND($Y488="change",$H488="EUR"),IF($O488=$O489,$R489,IF($O488=$O487,$R487)),IFERROR(INDEX($R489:$R1200,MATCH(SUBSTITUTE($I488,"-","",1),$K489:$K1200,0)))))</f>
        <v/>
      </c>
      <c r="S488" s="37" t="str">
        <f t="shared" si="1"/>
        <v/>
      </c>
      <c r="T488" s="39" t="str">
        <f t="shared" si="2"/>
        <v/>
      </c>
      <c r="U488" s="40" t="str">
        <f t="shared" si="3"/>
        <v/>
      </c>
      <c r="V488" s="34" t="str">
        <f t="shared" si="4"/>
        <v/>
      </c>
      <c r="W488" s="41" t="str">
        <f>IFERROR(__xludf.DUMMYFUNCTION(" IF(Account!$F488&lt;&gt;"""", SPLIT(Account!$F488, "" ""), """")"),"")</f>
        <v/>
      </c>
      <c r="X488" s="42"/>
      <c r="Y488" s="42"/>
      <c r="Z488" s="42"/>
      <c r="AA488" s="42"/>
      <c r="AB488" s="42"/>
      <c r="AC488" s="42"/>
      <c r="AD488" s="42"/>
      <c r="AE488" s="42"/>
      <c r="AF488" s="42"/>
      <c r="AG488" s="42"/>
      <c r="AH488" s="42"/>
      <c r="AI488" s="42"/>
      <c r="AJ488" s="42"/>
      <c r="AK488" s="42"/>
    </row>
    <row r="489">
      <c r="A489" s="20"/>
      <c r="B489" s="20"/>
      <c r="C489" s="20"/>
      <c r="D489" s="20"/>
      <c r="E489" s="20"/>
      <c r="F489" s="21"/>
      <c r="G489" s="20"/>
      <c r="H489" s="20"/>
      <c r="I489" s="20"/>
      <c r="J489" s="20"/>
      <c r="K489" s="20"/>
      <c r="L489" s="21"/>
      <c r="M489" s="33" t="str">
        <f>IFERROR(__xludf.DUMMYFUNCTION("IFS(W489=""Achat"",IFERROR(VALUE(X489),VALUE(REGEXREPLACE(T(X489),""[^0-9]"",""""))),W489=""Vente"",-IFERROR(VALUE(X489),VALUE(REGEXREPLACE(T(X489),""[^0-9]"",""""))),Y489=""Change"",0,Y489&lt;&gt;""Change"","""")"),"")</f>
        <v/>
      </c>
      <c r="N489" s="34" t="str">
        <f>IFERROR(__xludf.DUMMYFUNCTION("IF(Account!$F489&lt;&gt;"""", VALUE(REGEXREPLACE($I489, ""\,"", ""."")), """")"),"")</f>
        <v/>
      </c>
      <c r="O489" s="35" t="str">
        <f>IF(Account!$F489&lt;&gt;"", DATEVALUE(MID($A489,4,3) &amp; LEFT($A489,3) &amp; RIGHT($A489,4)) + TIMEVALUE($B489), "")</f>
        <v/>
      </c>
      <c r="P489" s="36" t="str">
        <f>IF(Account!$F489&lt;&gt;"", DATEVALUE(MID($C489,4,3) &amp; LEFT($C489,3) &amp; RIGHT($C489,4)), "")</f>
        <v/>
      </c>
      <c r="Q489" s="37" t="str">
        <f t="array" ref="Q489">IF($R489&lt;&gt;"",IFERROR(INDEX(ISIN!$B:$B,MATCH($R489,ISIN!$C:$C,0))),)</f>
        <v/>
      </c>
      <c r="R489" s="38" t="str">
        <f t="array" ref="R489">IF($E489&lt;&gt;"",IFERROR(INDEX(ISIN!$C:$C,MATCH($E489,ISIN!$A:$A,0)),IFERROR(INDEX($R490:$R1200,MATCH($K489,$K490:$K1200,0)))),IF(AND($Y489="change",$H489="EUR"),IF($O489=$O490,$R490,IF($O489=$O488,$R488)),IFERROR(INDEX($R490:$R1200,MATCH(SUBSTITUTE($I489,"-","",1),$K490:$K1200,0)))))</f>
        <v/>
      </c>
      <c r="S489" s="37" t="str">
        <f t="shared" si="1"/>
        <v/>
      </c>
      <c r="T489" s="39" t="str">
        <f t="shared" si="2"/>
        <v/>
      </c>
      <c r="U489" s="40" t="str">
        <f t="shared" si="3"/>
        <v/>
      </c>
      <c r="V489" s="34" t="str">
        <f t="shared" si="4"/>
        <v/>
      </c>
      <c r="W489" s="41" t="str">
        <f>IFERROR(__xludf.DUMMYFUNCTION(" IF(Account!$F489&lt;&gt;"""", SPLIT(Account!$F489, "" ""), """")"),"")</f>
        <v/>
      </c>
      <c r="X489" s="42"/>
      <c r="Y489" s="42"/>
      <c r="Z489" s="42"/>
      <c r="AA489" s="42"/>
      <c r="AB489" s="42"/>
      <c r="AC489" s="42"/>
      <c r="AD489" s="42"/>
      <c r="AE489" s="42"/>
      <c r="AF489" s="42"/>
      <c r="AG489" s="42"/>
      <c r="AH489" s="42"/>
      <c r="AI489" s="42"/>
      <c r="AJ489" s="42"/>
      <c r="AK489" s="42"/>
    </row>
    <row r="490">
      <c r="A490" s="20"/>
      <c r="B490" s="20"/>
      <c r="C490" s="20"/>
      <c r="D490" s="20"/>
      <c r="E490" s="20"/>
      <c r="F490" s="21"/>
      <c r="G490" s="20"/>
      <c r="H490" s="20"/>
      <c r="I490" s="20"/>
      <c r="J490" s="20"/>
      <c r="K490" s="20"/>
      <c r="L490" s="21"/>
      <c r="M490" s="33" t="str">
        <f>IFERROR(__xludf.DUMMYFUNCTION("IFS(W490=""Achat"",IFERROR(VALUE(X490),VALUE(REGEXREPLACE(T(X490),""[^0-9]"",""""))),W490=""Vente"",-IFERROR(VALUE(X490),VALUE(REGEXREPLACE(T(X490),""[^0-9]"",""""))),Y490=""Change"",0,Y490&lt;&gt;""Change"","""")"),"")</f>
        <v/>
      </c>
      <c r="N490" s="34" t="str">
        <f>IFERROR(__xludf.DUMMYFUNCTION("IF(Account!$F490&lt;&gt;"""", VALUE(REGEXREPLACE($I490, ""\,"", ""."")), """")"),"")</f>
        <v/>
      </c>
      <c r="O490" s="35" t="str">
        <f>IF(Account!$F490&lt;&gt;"", DATEVALUE(MID($A490,4,3) &amp; LEFT($A490,3) &amp; RIGHT($A490,4)) + TIMEVALUE($B490), "")</f>
        <v/>
      </c>
      <c r="P490" s="36" t="str">
        <f>IF(Account!$F490&lt;&gt;"", DATEVALUE(MID($C490,4,3) &amp; LEFT($C490,3) &amp; RIGHT($C490,4)), "")</f>
        <v/>
      </c>
      <c r="Q490" s="37" t="str">
        <f t="array" ref="Q490">IF($R490&lt;&gt;"",IFERROR(INDEX(ISIN!$B:$B,MATCH($R490,ISIN!$C:$C,0))),)</f>
        <v/>
      </c>
      <c r="R490" s="38" t="str">
        <f t="array" ref="R490">IF($E490&lt;&gt;"",IFERROR(INDEX(ISIN!$C:$C,MATCH($E490,ISIN!$A:$A,0)),IFERROR(INDEX($R491:$R1200,MATCH($K490,$K491:$K1200,0)))),IF(AND($Y490="change",$H490="EUR"),IF($O490=$O491,$R491,IF($O490=$O489,$R489)),IFERROR(INDEX($R491:$R1200,MATCH(SUBSTITUTE($I490,"-","",1),$K491:$K1200,0)))))</f>
        <v/>
      </c>
      <c r="S490" s="37" t="str">
        <f t="shared" si="1"/>
        <v/>
      </c>
      <c r="T490" s="39" t="str">
        <f t="shared" si="2"/>
        <v/>
      </c>
      <c r="U490" s="40" t="str">
        <f t="shared" si="3"/>
        <v/>
      </c>
      <c r="V490" s="34" t="str">
        <f t="shared" si="4"/>
        <v/>
      </c>
      <c r="W490" s="41" t="str">
        <f>IFERROR(__xludf.DUMMYFUNCTION(" IF(Account!$F490&lt;&gt;"""", SPLIT(Account!$F490, "" ""), """")"),"")</f>
        <v/>
      </c>
      <c r="X490" s="42"/>
      <c r="Y490" s="42"/>
      <c r="Z490" s="42"/>
      <c r="AA490" s="42"/>
      <c r="AB490" s="42"/>
      <c r="AC490" s="42"/>
      <c r="AD490" s="42"/>
      <c r="AE490" s="42"/>
      <c r="AF490" s="42"/>
      <c r="AG490" s="42"/>
      <c r="AH490" s="42"/>
      <c r="AI490" s="42"/>
      <c r="AJ490" s="42"/>
      <c r="AK490" s="42"/>
    </row>
    <row r="491">
      <c r="A491" s="20"/>
      <c r="B491" s="20"/>
      <c r="C491" s="20"/>
      <c r="D491" s="20"/>
      <c r="E491" s="20"/>
      <c r="F491" s="21"/>
      <c r="G491" s="45"/>
      <c r="H491" s="20"/>
      <c r="I491" s="20"/>
      <c r="J491" s="20"/>
      <c r="K491" s="20"/>
      <c r="L491" s="21"/>
      <c r="M491" s="33" t="str">
        <f>IFERROR(__xludf.DUMMYFUNCTION("IFS(W491=""Achat"",IFERROR(VALUE(X491),VALUE(REGEXREPLACE(T(X491),""[^0-9]"",""""))),W491=""Vente"",-IFERROR(VALUE(X491),VALUE(REGEXREPLACE(T(X491),""[^0-9]"",""""))),Y491=""Change"",0,Y491&lt;&gt;""Change"","""")"),"")</f>
        <v/>
      </c>
      <c r="N491" s="34" t="str">
        <f>IFERROR(__xludf.DUMMYFUNCTION("IF(Account!$F491&lt;&gt;"""", VALUE(REGEXREPLACE($I491, ""\,"", ""."")), """")"),"")</f>
        <v/>
      </c>
      <c r="O491" s="35" t="str">
        <f>IF(Account!$F491&lt;&gt;"", DATEVALUE(MID($A491,4,3) &amp; LEFT($A491,3) &amp; RIGHT($A491,4)) + TIMEVALUE($B491), "")</f>
        <v/>
      </c>
      <c r="P491" s="36" t="str">
        <f>IF(Account!$F491&lt;&gt;"", DATEVALUE(MID($C491,4,3) &amp; LEFT($C491,3) &amp; RIGHT($C491,4)), "")</f>
        <v/>
      </c>
      <c r="Q491" s="37" t="str">
        <f t="array" ref="Q491">IF($R491&lt;&gt;"",IFERROR(INDEX(ISIN!$B:$B,MATCH($R491,ISIN!$C:$C,0))),)</f>
        <v/>
      </c>
      <c r="R491" s="38" t="str">
        <f t="array" ref="R491">IF($E491&lt;&gt;"",IFERROR(INDEX(ISIN!$C:$C,MATCH($E491,ISIN!$A:$A,0)),IFERROR(INDEX($R492:$R1200,MATCH($K491,$K492:$K1200,0)))),IF(AND($Y491="change",$H491="EUR"),IF($O491=$O492,$R492,IF($O491=$O490,$R490)),IFERROR(INDEX($R492:$R1200,MATCH(SUBSTITUTE($I491,"-","",1),$K492:$K1200,0)))))</f>
        <v/>
      </c>
      <c r="S491" s="37" t="str">
        <f t="shared" si="1"/>
        <v/>
      </c>
      <c r="T491" s="39" t="str">
        <f t="shared" si="2"/>
        <v/>
      </c>
      <c r="U491" s="40" t="str">
        <f t="shared" si="3"/>
        <v/>
      </c>
      <c r="V491" s="34" t="str">
        <f t="shared" si="4"/>
        <v/>
      </c>
      <c r="W491" s="41" t="str">
        <f>IFERROR(__xludf.DUMMYFUNCTION(" IF(Account!$F491&lt;&gt;"""", SPLIT(Account!$F491, "" ""), """")"),"")</f>
        <v/>
      </c>
      <c r="X491" s="42"/>
      <c r="Y491" s="42"/>
      <c r="Z491" s="42"/>
      <c r="AA491" s="42"/>
      <c r="AB491" s="42"/>
      <c r="AC491" s="42"/>
      <c r="AD491" s="42"/>
      <c r="AE491" s="42"/>
      <c r="AF491" s="42"/>
      <c r="AG491" s="42"/>
      <c r="AH491" s="42"/>
      <c r="AI491" s="42"/>
      <c r="AJ491" s="42"/>
      <c r="AK491" s="42"/>
    </row>
    <row r="492">
      <c r="A492" s="20"/>
      <c r="B492" s="20"/>
      <c r="C492" s="20"/>
      <c r="D492" s="20"/>
      <c r="E492" s="20"/>
      <c r="F492" s="21"/>
      <c r="G492" s="45"/>
      <c r="H492" s="20"/>
      <c r="I492" s="20"/>
      <c r="J492" s="20"/>
      <c r="K492" s="20"/>
      <c r="L492" s="21"/>
      <c r="M492" s="33" t="str">
        <f>IFERROR(__xludf.DUMMYFUNCTION("IFS(W492=""Achat"",IFERROR(VALUE(X492),VALUE(REGEXREPLACE(T(X492),""[^0-9]"",""""))),W492=""Vente"",-IFERROR(VALUE(X492),VALUE(REGEXREPLACE(T(X492),""[^0-9]"",""""))),Y492=""Change"",0,Y492&lt;&gt;""Change"","""")"),"")</f>
        <v/>
      </c>
      <c r="N492" s="34" t="str">
        <f>IFERROR(__xludf.DUMMYFUNCTION("IF(Account!$F492&lt;&gt;"""", VALUE(REGEXREPLACE($I492, ""\,"", ""."")), """")"),"")</f>
        <v/>
      </c>
      <c r="O492" s="35" t="str">
        <f>IF(Account!$F492&lt;&gt;"", DATEVALUE(MID($A492,4,3) &amp; LEFT($A492,3) &amp; RIGHT($A492,4)) + TIMEVALUE($B492), "")</f>
        <v/>
      </c>
      <c r="P492" s="36" t="str">
        <f>IF(Account!$F492&lt;&gt;"", DATEVALUE(MID($C492,4,3) &amp; LEFT($C492,3) &amp; RIGHT($C492,4)), "")</f>
        <v/>
      </c>
      <c r="Q492" s="37" t="str">
        <f t="array" ref="Q492">IF($R492&lt;&gt;"",IFERROR(INDEX(ISIN!$B:$B,MATCH($R492,ISIN!$C:$C,0))),)</f>
        <v/>
      </c>
      <c r="R492" s="38" t="str">
        <f t="array" ref="R492">IF($E492&lt;&gt;"",IFERROR(INDEX(ISIN!$C:$C,MATCH($E492,ISIN!$A:$A,0)),IFERROR(INDEX($R493:$R1200,MATCH($K492,$K493:$K1200,0)))),IF(AND($Y492="change",$H492="EUR"),IF($O492=$O493,$R493,IF($O492=$O491,$R491)),IFERROR(INDEX($R493:$R1200,MATCH(SUBSTITUTE($I492,"-","",1),$K493:$K1200,0)))))</f>
        <v/>
      </c>
      <c r="S492" s="37" t="str">
        <f t="shared" si="1"/>
        <v/>
      </c>
      <c r="T492" s="39" t="str">
        <f t="shared" si="2"/>
        <v/>
      </c>
      <c r="U492" s="40" t="str">
        <f t="shared" si="3"/>
        <v/>
      </c>
      <c r="V492" s="34" t="str">
        <f t="shared" si="4"/>
        <v/>
      </c>
      <c r="W492" s="41" t="str">
        <f>IFERROR(__xludf.DUMMYFUNCTION(" IF(Account!$F492&lt;&gt;"""", SPLIT(Account!$F492, "" ""), """")"),"")</f>
        <v/>
      </c>
      <c r="X492" s="42"/>
      <c r="Y492" s="42"/>
      <c r="Z492" s="42"/>
      <c r="AA492" s="42"/>
      <c r="AB492" s="42"/>
      <c r="AC492" s="42"/>
      <c r="AD492" s="42"/>
      <c r="AE492" s="42"/>
      <c r="AF492" s="42"/>
      <c r="AG492" s="42"/>
      <c r="AH492" s="42"/>
      <c r="AI492" s="42"/>
      <c r="AJ492" s="42"/>
      <c r="AK492" s="42"/>
    </row>
    <row r="493">
      <c r="A493" s="20"/>
      <c r="B493" s="20"/>
      <c r="C493" s="20"/>
      <c r="D493" s="20"/>
      <c r="E493" s="20"/>
      <c r="F493" s="21"/>
      <c r="G493" s="45"/>
      <c r="H493" s="20"/>
      <c r="I493" s="20"/>
      <c r="J493" s="20"/>
      <c r="K493" s="20"/>
      <c r="L493" s="21"/>
      <c r="M493" s="33" t="str">
        <f>IFERROR(__xludf.DUMMYFUNCTION("IFS(W493=""Achat"",IFERROR(VALUE(X493),VALUE(REGEXREPLACE(T(X493),""[^0-9]"",""""))),W493=""Vente"",-IFERROR(VALUE(X493),VALUE(REGEXREPLACE(T(X493),""[^0-9]"",""""))),Y493=""Change"",0,Y493&lt;&gt;""Change"","""")"),"")</f>
        <v/>
      </c>
      <c r="N493" s="34" t="str">
        <f>IFERROR(__xludf.DUMMYFUNCTION("IF(Account!$F493&lt;&gt;"""", VALUE(REGEXREPLACE($I493, ""\,"", ""."")), """")"),"")</f>
        <v/>
      </c>
      <c r="O493" s="35" t="str">
        <f>IF(Account!$F493&lt;&gt;"", DATEVALUE(MID($A493,4,3) &amp; LEFT($A493,3) &amp; RIGHT($A493,4)) + TIMEVALUE($B493), "")</f>
        <v/>
      </c>
      <c r="P493" s="36" t="str">
        <f>IF(Account!$F493&lt;&gt;"", DATEVALUE(MID($C493,4,3) &amp; LEFT($C493,3) &amp; RIGHT($C493,4)), "")</f>
        <v/>
      </c>
      <c r="Q493" s="37" t="str">
        <f t="array" ref="Q493">IF($R493&lt;&gt;"",IFERROR(INDEX(ISIN!$B:$B,MATCH($R493,ISIN!$C:$C,0))),)</f>
        <v/>
      </c>
      <c r="R493" s="38" t="str">
        <f t="array" ref="R493">IF($E493&lt;&gt;"",IFERROR(INDEX(ISIN!$C:$C,MATCH($E493,ISIN!$A:$A,0)),IFERROR(INDEX($R494:$R1200,MATCH($K493,$K494:$K1200,0)))),IF(AND($Y493="change",$H493="EUR"),IF($O493=$O494,$R494,IF($O493=$O492,$R492)),IFERROR(INDEX($R494:$R1200,MATCH(SUBSTITUTE($I493,"-","",1),$K494:$K1200,0)))))</f>
        <v/>
      </c>
      <c r="S493" s="37" t="str">
        <f t="shared" si="1"/>
        <v/>
      </c>
      <c r="T493" s="39" t="str">
        <f t="shared" si="2"/>
        <v/>
      </c>
      <c r="U493" s="40" t="str">
        <f t="shared" si="3"/>
        <v/>
      </c>
      <c r="V493" s="34" t="str">
        <f t="shared" si="4"/>
        <v/>
      </c>
      <c r="W493" s="41" t="str">
        <f>IFERROR(__xludf.DUMMYFUNCTION(" IF(Account!$F493&lt;&gt;"""", SPLIT(Account!$F493, "" ""), """")"),"")</f>
        <v/>
      </c>
      <c r="X493" s="42"/>
      <c r="Y493" s="42"/>
      <c r="Z493" s="42"/>
      <c r="AA493" s="42"/>
      <c r="AB493" s="42"/>
      <c r="AC493" s="42"/>
      <c r="AD493" s="42"/>
      <c r="AE493" s="42"/>
      <c r="AF493" s="42"/>
      <c r="AG493" s="42"/>
      <c r="AH493" s="42"/>
      <c r="AI493" s="42"/>
      <c r="AJ493" s="42"/>
      <c r="AK493" s="42"/>
    </row>
    <row r="494">
      <c r="A494" s="20"/>
      <c r="B494" s="20"/>
      <c r="C494" s="20"/>
      <c r="D494" s="45"/>
      <c r="E494" s="45"/>
      <c r="F494" s="21"/>
      <c r="G494" s="45"/>
      <c r="H494" s="20"/>
      <c r="I494" s="20"/>
      <c r="J494" s="20"/>
      <c r="K494" s="20"/>
      <c r="L494" s="21"/>
      <c r="M494" s="33" t="str">
        <f>IFERROR(__xludf.DUMMYFUNCTION("IFS(W494=""Achat"",IFERROR(VALUE(X494),VALUE(REGEXREPLACE(T(X494),""[^0-9]"",""""))),W494=""Vente"",-IFERROR(VALUE(X494),VALUE(REGEXREPLACE(T(X494),""[^0-9]"",""""))),Y494=""Change"",0,Y494&lt;&gt;""Change"","""")"),"")</f>
        <v/>
      </c>
      <c r="N494" s="34" t="str">
        <f>IFERROR(__xludf.DUMMYFUNCTION("IF(Account!$F494&lt;&gt;"""", VALUE(REGEXREPLACE($I494, ""\,"", ""."")), """")"),"")</f>
        <v/>
      </c>
      <c r="O494" s="35" t="str">
        <f>IF(Account!$F494&lt;&gt;"", DATEVALUE(MID($A494,4,3) &amp; LEFT($A494,3) &amp; RIGHT($A494,4)) + TIMEVALUE($B494), "")</f>
        <v/>
      </c>
      <c r="P494" s="36" t="str">
        <f>IF(Account!$F494&lt;&gt;"", DATEVALUE(MID($C494,4,3) &amp; LEFT($C494,3) &amp; RIGHT($C494,4)), "")</f>
        <v/>
      </c>
      <c r="Q494" s="37" t="str">
        <f t="array" ref="Q494">IF($R494&lt;&gt;"",IFERROR(INDEX(ISIN!$B:$B,MATCH($R494,ISIN!$C:$C,0))),)</f>
        <v/>
      </c>
      <c r="R494" s="38" t="str">
        <f t="array" ref="R494">IF($E494&lt;&gt;"",IFERROR(INDEX(ISIN!$C:$C,MATCH($E494,ISIN!$A:$A,0)),IFERROR(INDEX($R495:$R1200,MATCH($K494,$K495:$K1200,0)))),IF(AND($Y494="change",$H494="EUR"),IF($O494=$O495,$R495,IF($O494=$O493,$R493)),IFERROR(INDEX($R495:$R1200,MATCH(SUBSTITUTE($I494,"-","",1),$K495:$K1200,0)))))</f>
        <v/>
      </c>
      <c r="S494" s="37" t="str">
        <f t="shared" si="1"/>
        <v/>
      </c>
      <c r="T494" s="39" t="str">
        <f t="shared" si="2"/>
        <v/>
      </c>
      <c r="U494" s="40" t="str">
        <f t="shared" si="3"/>
        <v/>
      </c>
      <c r="V494" s="34" t="str">
        <f t="shared" si="4"/>
        <v/>
      </c>
      <c r="W494" s="41" t="str">
        <f>IFERROR(__xludf.DUMMYFUNCTION(" IF(Account!$F494&lt;&gt;"""", SPLIT(Account!$F494, "" ""), """")"),"")</f>
        <v/>
      </c>
      <c r="X494" s="42"/>
      <c r="Y494" s="42"/>
      <c r="Z494" s="42"/>
      <c r="AA494" s="42"/>
      <c r="AB494" s="42"/>
      <c r="AC494" s="42"/>
      <c r="AD494" s="42"/>
      <c r="AE494" s="42"/>
      <c r="AF494" s="42"/>
      <c r="AG494" s="42"/>
      <c r="AH494" s="42"/>
      <c r="AI494" s="42"/>
      <c r="AJ494" s="42"/>
      <c r="AK494" s="42"/>
    </row>
    <row r="495">
      <c r="A495" s="20"/>
      <c r="B495" s="20"/>
      <c r="C495" s="20"/>
      <c r="D495" s="20"/>
      <c r="E495" s="20"/>
      <c r="F495" s="21"/>
      <c r="G495" s="45"/>
      <c r="H495" s="20"/>
      <c r="I495" s="20"/>
      <c r="J495" s="20"/>
      <c r="K495" s="20"/>
      <c r="L495" s="21"/>
      <c r="M495" s="33" t="str">
        <f>IFERROR(__xludf.DUMMYFUNCTION("IFS(W495=""Achat"",IFERROR(VALUE(X495),VALUE(REGEXREPLACE(T(X495),""[^0-9]"",""""))),W495=""Vente"",-IFERROR(VALUE(X495),VALUE(REGEXREPLACE(T(X495),""[^0-9]"",""""))),Y495=""Change"",0,Y495&lt;&gt;""Change"","""")"),"")</f>
        <v/>
      </c>
      <c r="N495" s="34" t="str">
        <f>IFERROR(__xludf.DUMMYFUNCTION("IF(Account!$F495&lt;&gt;"""", VALUE(REGEXREPLACE($I495, ""\,"", ""."")), """")"),"")</f>
        <v/>
      </c>
      <c r="O495" s="35" t="str">
        <f>IF(Account!$F495&lt;&gt;"", DATEVALUE(MID($A495,4,3) &amp; LEFT($A495,3) &amp; RIGHT($A495,4)) + TIMEVALUE($B495), "")</f>
        <v/>
      </c>
      <c r="P495" s="36" t="str">
        <f>IF(Account!$F495&lt;&gt;"", DATEVALUE(MID($C495,4,3) &amp; LEFT($C495,3) &amp; RIGHT($C495,4)), "")</f>
        <v/>
      </c>
      <c r="Q495" s="37" t="str">
        <f t="array" ref="Q495">IF($R495&lt;&gt;"",IFERROR(INDEX(ISIN!$B:$B,MATCH($R495,ISIN!$C:$C,0))),)</f>
        <v/>
      </c>
      <c r="R495" s="38" t="str">
        <f t="array" ref="R495">IF($E495&lt;&gt;"",IFERROR(INDEX(ISIN!$C:$C,MATCH($E495,ISIN!$A:$A,0)),IFERROR(INDEX($R496:$R1200,MATCH($K495,$K496:$K1200,0)))),IF(AND($Y495="change",$H495="EUR"),IF($O495=$O496,$R496,IF($O495=$O494,$R494)),IFERROR(INDEX($R496:$R1200,MATCH(SUBSTITUTE($I495,"-","",1),$K496:$K1200,0)))))</f>
        <v/>
      </c>
      <c r="S495" s="37" t="str">
        <f t="shared" si="1"/>
        <v/>
      </c>
      <c r="T495" s="39" t="str">
        <f t="shared" si="2"/>
        <v/>
      </c>
      <c r="U495" s="40" t="str">
        <f t="shared" si="3"/>
        <v/>
      </c>
      <c r="V495" s="34" t="str">
        <f t="shared" si="4"/>
        <v/>
      </c>
      <c r="W495" s="41" t="str">
        <f>IFERROR(__xludf.DUMMYFUNCTION(" IF(Account!$F495&lt;&gt;"""", SPLIT(Account!$F495, "" ""), """")"),"")</f>
        <v/>
      </c>
      <c r="X495" s="42"/>
      <c r="Y495" s="42"/>
      <c r="Z495" s="42"/>
      <c r="AA495" s="42"/>
      <c r="AB495" s="42"/>
      <c r="AC495" s="42"/>
      <c r="AD495" s="42"/>
      <c r="AE495" s="42"/>
      <c r="AF495" s="42"/>
      <c r="AG495" s="42"/>
      <c r="AH495" s="42"/>
      <c r="AI495" s="42"/>
      <c r="AJ495" s="42"/>
      <c r="AK495" s="42"/>
    </row>
    <row r="496">
      <c r="A496" s="20"/>
      <c r="B496" s="20"/>
      <c r="C496" s="20"/>
      <c r="D496" s="20"/>
      <c r="E496" s="20"/>
      <c r="F496" s="21"/>
      <c r="G496" s="20"/>
      <c r="H496" s="20"/>
      <c r="I496" s="20"/>
      <c r="J496" s="20"/>
      <c r="K496" s="20"/>
      <c r="L496" s="21"/>
      <c r="M496" s="33" t="str">
        <f>IFERROR(__xludf.DUMMYFUNCTION("IFS(W496=""Achat"",IFERROR(VALUE(X496),VALUE(REGEXREPLACE(T(X496),""[^0-9]"",""""))),W496=""Vente"",-IFERROR(VALUE(X496),VALUE(REGEXREPLACE(T(X496),""[^0-9]"",""""))),Y496=""Change"",0,Y496&lt;&gt;""Change"","""")"),"")</f>
        <v/>
      </c>
      <c r="N496" s="34" t="str">
        <f>IFERROR(__xludf.DUMMYFUNCTION("IF(Account!$F496&lt;&gt;"""", VALUE(REGEXREPLACE($I496, ""\,"", ""."")), """")"),"")</f>
        <v/>
      </c>
      <c r="O496" s="35" t="str">
        <f>IF(Account!$F496&lt;&gt;"", DATEVALUE(MID($A496,4,3) &amp; LEFT($A496,3) &amp; RIGHT($A496,4)) + TIMEVALUE($B496), "")</f>
        <v/>
      </c>
      <c r="P496" s="36" t="str">
        <f>IF(Account!$F496&lt;&gt;"", DATEVALUE(MID($C496,4,3) &amp; LEFT($C496,3) &amp; RIGHT($C496,4)), "")</f>
        <v/>
      </c>
      <c r="Q496" s="37" t="str">
        <f t="array" ref="Q496">IF($R496&lt;&gt;"",IFERROR(INDEX(ISIN!$B:$B,MATCH($R496,ISIN!$C:$C,0))),)</f>
        <v/>
      </c>
      <c r="R496" s="38" t="str">
        <f t="array" ref="R496">IF($E496&lt;&gt;"",IFERROR(INDEX(ISIN!$C:$C,MATCH($E496,ISIN!$A:$A,0)),IFERROR(INDEX($R497:$R1200,MATCH($K496,$K497:$K1200,0)))),IF(AND($Y496="change",$H496="EUR"),IF($O496=$O497,$R497,IF($O496=$O495,$R495)),IFERROR(INDEX($R497:$R1200,MATCH(SUBSTITUTE($I496,"-","",1),$K497:$K1200,0)))))</f>
        <v/>
      </c>
      <c r="S496" s="37" t="str">
        <f t="shared" si="1"/>
        <v/>
      </c>
      <c r="T496" s="39" t="str">
        <f t="shared" si="2"/>
        <v/>
      </c>
      <c r="U496" s="40" t="str">
        <f t="shared" si="3"/>
        <v/>
      </c>
      <c r="V496" s="34" t="str">
        <f t="shared" si="4"/>
        <v/>
      </c>
      <c r="W496" s="41" t="str">
        <f>IFERROR(__xludf.DUMMYFUNCTION(" IF(Account!$F496&lt;&gt;"""", SPLIT(Account!$F496, "" ""), """")"),"")</f>
        <v/>
      </c>
      <c r="X496" s="42"/>
      <c r="Y496" s="42"/>
      <c r="Z496" s="42"/>
      <c r="AA496" s="42"/>
      <c r="AB496" s="42"/>
      <c r="AC496" s="42"/>
      <c r="AD496" s="42"/>
      <c r="AE496" s="42"/>
      <c r="AF496" s="42"/>
      <c r="AG496" s="42"/>
      <c r="AH496" s="42"/>
      <c r="AI496" s="42"/>
      <c r="AJ496" s="42"/>
      <c r="AK496" s="42"/>
    </row>
    <row r="497">
      <c r="A497" s="20"/>
      <c r="B497" s="20"/>
      <c r="C497" s="20"/>
      <c r="D497" s="20"/>
      <c r="E497" s="20"/>
      <c r="F497" s="21"/>
      <c r="G497" s="45"/>
      <c r="H497" s="20"/>
      <c r="I497" s="20"/>
      <c r="J497" s="20"/>
      <c r="K497" s="20"/>
      <c r="L497" s="21"/>
      <c r="M497" s="33" t="str">
        <f>IFERROR(__xludf.DUMMYFUNCTION("IFS(W497=""Achat"",IFERROR(VALUE(X497),VALUE(REGEXREPLACE(T(X497),""[^0-9]"",""""))),W497=""Vente"",-IFERROR(VALUE(X497),VALUE(REGEXREPLACE(T(X497),""[^0-9]"",""""))),Y497=""Change"",0,Y497&lt;&gt;""Change"","""")"),"")</f>
        <v/>
      </c>
      <c r="N497" s="34" t="str">
        <f>IFERROR(__xludf.DUMMYFUNCTION("IF(Account!$F497&lt;&gt;"""", VALUE(REGEXREPLACE($I497, ""\,"", ""."")), """")"),"")</f>
        <v/>
      </c>
      <c r="O497" s="35" t="str">
        <f>IF(Account!$F497&lt;&gt;"", DATEVALUE(MID($A497,4,3) &amp; LEFT($A497,3) &amp; RIGHT($A497,4)) + TIMEVALUE($B497), "")</f>
        <v/>
      </c>
      <c r="P497" s="36" t="str">
        <f>IF(Account!$F497&lt;&gt;"", DATEVALUE(MID($C497,4,3) &amp; LEFT($C497,3) &amp; RIGHT($C497,4)), "")</f>
        <v/>
      </c>
      <c r="Q497" s="37" t="str">
        <f t="array" ref="Q497">IF($R497&lt;&gt;"",IFERROR(INDEX(ISIN!$B:$B,MATCH($R497,ISIN!$C:$C,0))),)</f>
        <v/>
      </c>
      <c r="R497" s="38" t="str">
        <f t="array" ref="R497">IF($E497&lt;&gt;"",IFERROR(INDEX(ISIN!$C:$C,MATCH($E497,ISIN!$A:$A,0)),IFERROR(INDEX($R498:$R1200,MATCH($K497,$K498:$K1200,0)))),IF(AND($Y497="change",$H497="EUR"),IF($O497=$O498,$R498,IF($O497=$O496,$R496)),IFERROR(INDEX($R498:$R1200,MATCH(SUBSTITUTE($I497,"-","",1),$K498:$K1200,0)))))</f>
        <v/>
      </c>
      <c r="S497" s="37" t="str">
        <f t="shared" si="1"/>
        <v/>
      </c>
      <c r="T497" s="39" t="str">
        <f t="shared" si="2"/>
        <v/>
      </c>
      <c r="U497" s="40" t="str">
        <f t="shared" si="3"/>
        <v/>
      </c>
      <c r="V497" s="34" t="str">
        <f t="shared" si="4"/>
        <v/>
      </c>
      <c r="W497" s="41" t="str">
        <f>IFERROR(__xludf.DUMMYFUNCTION(" IF(Account!$F497&lt;&gt;"""", SPLIT(Account!$F497, "" ""), """")"),"")</f>
        <v/>
      </c>
      <c r="X497" s="42"/>
      <c r="Y497" s="42"/>
      <c r="Z497" s="42"/>
      <c r="AA497" s="42"/>
      <c r="AB497" s="42"/>
      <c r="AC497" s="42"/>
      <c r="AD497" s="42"/>
      <c r="AE497" s="42"/>
      <c r="AF497" s="42"/>
      <c r="AG497" s="42"/>
      <c r="AH497" s="42"/>
      <c r="AI497" s="42"/>
      <c r="AJ497" s="42"/>
      <c r="AK497" s="42"/>
    </row>
    <row r="498">
      <c r="A498" s="20"/>
      <c r="B498" s="20"/>
      <c r="C498" s="20"/>
      <c r="D498" s="20"/>
      <c r="E498" s="20"/>
      <c r="F498" s="21"/>
      <c r="G498" s="20"/>
      <c r="H498" s="20"/>
      <c r="I498" s="20"/>
      <c r="J498" s="20"/>
      <c r="K498" s="20"/>
      <c r="L498" s="21"/>
      <c r="M498" s="33" t="str">
        <f>IFERROR(__xludf.DUMMYFUNCTION("IFS(W498=""Achat"",IFERROR(VALUE(X498),VALUE(REGEXREPLACE(T(X498),""[^0-9]"",""""))),W498=""Vente"",-IFERROR(VALUE(X498),VALUE(REGEXREPLACE(T(X498),""[^0-9]"",""""))),Y498=""Change"",0,Y498&lt;&gt;""Change"","""")"),"")</f>
        <v/>
      </c>
      <c r="N498" s="34" t="str">
        <f>IFERROR(__xludf.DUMMYFUNCTION("IF(Account!$F498&lt;&gt;"""", VALUE(REGEXREPLACE($I498, ""\,"", ""."")), """")"),"")</f>
        <v/>
      </c>
      <c r="O498" s="35" t="str">
        <f>IF(Account!$F498&lt;&gt;"", DATEVALUE(MID($A498,4,3) &amp; LEFT($A498,3) &amp; RIGHT($A498,4)) + TIMEVALUE($B498), "")</f>
        <v/>
      </c>
      <c r="P498" s="36" t="str">
        <f>IF(Account!$F498&lt;&gt;"", DATEVALUE(MID($C498,4,3) &amp; LEFT($C498,3) &amp; RIGHT($C498,4)), "")</f>
        <v/>
      </c>
      <c r="Q498" s="37" t="str">
        <f t="array" ref="Q498">IF($R498&lt;&gt;"",IFERROR(INDEX(ISIN!$B:$B,MATCH($R498,ISIN!$C:$C,0))),)</f>
        <v/>
      </c>
      <c r="R498" s="38" t="str">
        <f t="array" ref="R498">IF($E498&lt;&gt;"",IFERROR(INDEX(ISIN!$C:$C,MATCH($E498,ISIN!$A:$A,0)),IFERROR(INDEX($R499:$R1200,MATCH($K498,$K499:$K1200,0)))),IF(AND($Y498="change",$H498="EUR"),IF($O498=$O499,$R499,IF($O498=$O497,$R497)),IFERROR(INDEX($R499:$R1200,MATCH(SUBSTITUTE($I498,"-","",1),$K499:$K1200,0)))))</f>
        <v/>
      </c>
      <c r="S498" s="37" t="str">
        <f t="shared" si="1"/>
        <v/>
      </c>
      <c r="T498" s="39" t="str">
        <f t="shared" si="2"/>
        <v/>
      </c>
      <c r="U498" s="40" t="str">
        <f t="shared" si="3"/>
        <v/>
      </c>
      <c r="V498" s="34" t="str">
        <f t="shared" si="4"/>
        <v/>
      </c>
      <c r="W498" s="41" t="str">
        <f>IFERROR(__xludf.DUMMYFUNCTION(" IF(Account!$F498&lt;&gt;"""", SPLIT(Account!$F498, "" ""), """")"),"")</f>
        <v/>
      </c>
      <c r="X498" s="42"/>
      <c r="Y498" s="42"/>
      <c r="Z498" s="42"/>
      <c r="AA498" s="42"/>
      <c r="AB498" s="42"/>
      <c r="AC498" s="42"/>
      <c r="AD498" s="42"/>
      <c r="AE498" s="42"/>
      <c r="AF498" s="42"/>
      <c r="AG498" s="42"/>
      <c r="AH498" s="42"/>
      <c r="AI498" s="42"/>
      <c r="AJ498" s="42"/>
      <c r="AK498" s="42"/>
    </row>
    <row r="499">
      <c r="A499" s="20"/>
      <c r="B499" s="20"/>
      <c r="C499" s="20"/>
      <c r="D499" s="20"/>
      <c r="E499" s="20"/>
      <c r="F499" s="21"/>
      <c r="G499" s="45"/>
      <c r="H499" s="20"/>
      <c r="I499" s="20"/>
      <c r="J499" s="20"/>
      <c r="K499" s="20"/>
      <c r="L499" s="21"/>
      <c r="M499" s="33" t="str">
        <f>IFERROR(__xludf.DUMMYFUNCTION("IFS(W499=""Achat"",IFERROR(VALUE(X499),VALUE(REGEXREPLACE(T(X499),""[^0-9]"",""""))),W499=""Vente"",-IFERROR(VALUE(X499),VALUE(REGEXREPLACE(T(X499),""[^0-9]"",""""))),Y499=""Change"",0,Y499&lt;&gt;""Change"","""")"),"")</f>
        <v/>
      </c>
      <c r="N499" s="34" t="str">
        <f>IFERROR(__xludf.DUMMYFUNCTION("IF(Account!$F499&lt;&gt;"""", VALUE(REGEXREPLACE($I499, ""\,"", ""."")), """")"),"")</f>
        <v/>
      </c>
      <c r="O499" s="35" t="str">
        <f>IF(Account!$F499&lt;&gt;"", DATEVALUE(MID($A499,4,3) &amp; LEFT($A499,3) &amp; RIGHT($A499,4)) + TIMEVALUE($B499), "")</f>
        <v/>
      </c>
      <c r="P499" s="36" t="str">
        <f>IF(Account!$F499&lt;&gt;"", DATEVALUE(MID($C499,4,3) &amp; LEFT($C499,3) &amp; RIGHT($C499,4)), "")</f>
        <v/>
      </c>
      <c r="Q499" s="37" t="str">
        <f t="array" ref="Q499">IF($R499&lt;&gt;"",IFERROR(INDEX(ISIN!$B:$B,MATCH($R499,ISIN!$C:$C,0))),)</f>
        <v/>
      </c>
      <c r="R499" s="38" t="str">
        <f t="array" ref="R499">IF($E499&lt;&gt;"",IFERROR(INDEX(ISIN!$C:$C,MATCH($E499,ISIN!$A:$A,0)),IFERROR(INDEX($R500:$R1200,MATCH($K499,$K500:$K1200,0)))),IF(AND($Y499="change",$H499="EUR"),IF($O499=$O500,$R500,IF($O499=$O498,$R498)),IFERROR(INDEX($R500:$R1200,MATCH(SUBSTITUTE($I499,"-","",1),$K500:$K1200,0)))))</f>
        <v/>
      </c>
      <c r="S499" s="37" t="str">
        <f t="shared" si="1"/>
        <v/>
      </c>
      <c r="T499" s="39" t="str">
        <f t="shared" si="2"/>
        <v/>
      </c>
      <c r="U499" s="40" t="str">
        <f t="shared" si="3"/>
        <v/>
      </c>
      <c r="V499" s="34" t="str">
        <f t="shared" si="4"/>
        <v/>
      </c>
      <c r="W499" s="41" t="str">
        <f>IFERROR(__xludf.DUMMYFUNCTION(" IF(Account!$F499&lt;&gt;"""", SPLIT(Account!$F499, "" ""), """")"),"")</f>
        <v/>
      </c>
      <c r="X499" s="42"/>
      <c r="Y499" s="42"/>
      <c r="Z499" s="42"/>
      <c r="AA499" s="42"/>
      <c r="AB499" s="42"/>
      <c r="AC499" s="42"/>
      <c r="AD499" s="42"/>
      <c r="AE499" s="42"/>
      <c r="AF499" s="42"/>
      <c r="AG499" s="42"/>
      <c r="AH499" s="42"/>
      <c r="AI499" s="42"/>
      <c r="AJ499" s="42"/>
      <c r="AK499" s="42"/>
    </row>
    <row r="500">
      <c r="A500" s="20"/>
      <c r="B500" s="20"/>
      <c r="C500" s="20"/>
      <c r="D500" s="20"/>
      <c r="E500" s="20"/>
      <c r="F500" s="21"/>
      <c r="G500" s="20"/>
      <c r="H500" s="20"/>
      <c r="I500" s="20"/>
      <c r="J500" s="20"/>
      <c r="K500" s="20"/>
      <c r="L500" s="21"/>
      <c r="M500" s="33" t="str">
        <f>IFERROR(__xludf.DUMMYFUNCTION("IFS(W500=""Achat"",IFERROR(VALUE(X500),VALUE(REGEXREPLACE(T(X500),""[^0-9]"",""""))),W500=""Vente"",-IFERROR(VALUE(X500),VALUE(REGEXREPLACE(T(X500),""[^0-9]"",""""))),Y500=""Change"",0,Y500&lt;&gt;""Change"","""")"),"")</f>
        <v/>
      </c>
      <c r="N500" s="34" t="str">
        <f>IFERROR(__xludf.DUMMYFUNCTION("IF(Account!$F500&lt;&gt;"""", VALUE(REGEXREPLACE($I500, ""\,"", ""."")), """")"),"")</f>
        <v/>
      </c>
      <c r="O500" s="35" t="str">
        <f>IF(Account!$F500&lt;&gt;"", DATEVALUE(MID($A500,4,3) &amp; LEFT($A500,3) &amp; RIGHT($A500,4)) + TIMEVALUE($B500), "")</f>
        <v/>
      </c>
      <c r="P500" s="36" t="str">
        <f>IF(Account!$F500&lt;&gt;"", DATEVALUE(MID($C500,4,3) &amp; LEFT($C500,3) &amp; RIGHT($C500,4)), "")</f>
        <v/>
      </c>
      <c r="Q500" s="37" t="str">
        <f t="array" ref="Q500">IF($R500&lt;&gt;"",IFERROR(INDEX(ISIN!$B:$B,MATCH($R500,ISIN!$C:$C,0))),)</f>
        <v/>
      </c>
      <c r="R500" s="38" t="str">
        <f t="array" ref="R500">IF($E500&lt;&gt;"",IFERROR(INDEX(ISIN!$C:$C,MATCH($E500,ISIN!$A:$A,0)),IFERROR(INDEX($R501:$R1200,MATCH($K500,$K501:$K1200,0)))),IF(AND($Y500="change",$H500="EUR"),IF($O500=$O501,$R501,IF($O500=$O499,$R499)),IFERROR(INDEX($R501:$R1200,MATCH(SUBSTITUTE($I500,"-","",1),$K501:$K1200,0)))))</f>
        <v/>
      </c>
      <c r="S500" s="37" t="str">
        <f t="shared" si="1"/>
        <v/>
      </c>
      <c r="T500" s="39" t="str">
        <f t="shared" si="2"/>
        <v/>
      </c>
      <c r="U500" s="40" t="str">
        <f t="shared" si="3"/>
        <v/>
      </c>
      <c r="V500" s="34" t="str">
        <f t="shared" si="4"/>
        <v/>
      </c>
      <c r="W500" s="41" t="str">
        <f>IFERROR(__xludf.DUMMYFUNCTION(" IF(Account!$F500&lt;&gt;"""", SPLIT(Account!$F500, "" ""), """")"),"")</f>
        <v/>
      </c>
      <c r="X500" s="42"/>
      <c r="Y500" s="42"/>
      <c r="Z500" s="42"/>
      <c r="AA500" s="42"/>
      <c r="AB500" s="42"/>
      <c r="AC500" s="42"/>
      <c r="AD500" s="42"/>
      <c r="AE500" s="42"/>
      <c r="AF500" s="42"/>
      <c r="AG500" s="42"/>
      <c r="AH500" s="42"/>
      <c r="AI500" s="42"/>
      <c r="AJ500" s="42"/>
      <c r="AK500" s="42"/>
    </row>
    <row r="501">
      <c r="A501" s="20"/>
      <c r="B501" s="20"/>
      <c r="C501" s="20"/>
      <c r="D501" s="20"/>
      <c r="E501" s="20"/>
      <c r="F501" s="21"/>
      <c r="G501" s="45"/>
      <c r="H501" s="20"/>
      <c r="I501" s="20"/>
      <c r="J501" s="20"/>
      <c r="K501" s="20"/>
      <c r="L501" s="21"/>
      <c r="M501" s="33" t="str">
        <f>IFERROR(__xludf.DUMMYFUNCTION("IFS(W501=""Achat"",IFERROR(VALUE(X501),VALUE(REGEXREPLACE(T(X501),""[^0-9]"",""""))),W501=""Vente"",-IFERROR(VALUE(X501),VALUE(REGEXREPLACE(T(X501),""[^0-9]"",""""))),Y501=""Change"",0,Y501&lt;&gt;""Change"","""")"),"")</f>
        <v/>
      </c>
      <c r="N501" s="34" t="str">
        <f>IFERROR(__xludf.DUMMYFUNCTION("IF(Account!$F501&lt;&gt;"""", VALUE(REGEXREPLACE($I501, ""\,"", ""."")), """")"),"")</f>
        <v/>
      </c>
      <c r="O501" s="35" t="str">
        <f>IF(Account!$F501&lt;&gt;"", DATEVALUE(MID($A501,4,3) &amp; LEFT($A501,3) &amp; RIGHT($A501,4)) + TIMEVALUE($B501), "")</f>
        <v/>
      </c>
      <c r="P501" s="36" t="str">
        <f>IF(Account!$F501&lt;&gt;"", DATEVALUE(MID($C501,4,3) &amp; LEFT($C501,3) &amp; RIGHT($C501,4)), "")</f>
        <v/>
      </c>
      <c r="Q501" s="37" t="str">
        <f t="array" ref="Q501">IF($R501&lt;&gt;"",IFERROR(INDEX(ISIN!$B:$B,MATCH($R501,ISIN!$C:$C,0))),)</f>
        <v/>
      </c>
      <c r="R501" s="38" t="str">
        <f t="array" ref="R501">IF($E501&lt;&gt;"",IFERROR(INDEX(ISIN!$C:$C,MATCH($E501,ISIN!$A:$A,0)),IFERROR(INDEX($R502:$R1200,MATCH($K501,$K502:$K1200,0)))),IF(AND($Y501="change",$H501="EUR"),IF($O501=$O502,$R502,IF($O501=$O500,$R500)),IFERROR(INDEX($R502:$R1200,MATCH(SUBSTITUTE($I501,"-","",1),$K502:$K1200,0)))))</f>
        <v/>
      </c>
      <c r="S501" s="37" t="str">
        <f t="shared" si="1"/>
        <v/>
      </c>
      <c r="T501" s="39" t="str">
        <f t="shared" si="2"/>
        <v/>
      </c>
      <c r="U501" s="40" t="str">
        <f t="shared" si="3"/>
        <v/>
      </c>
      <c r="V501" s="34" t="str">
        <f t="shared" si="4"/>
        <v/>
      </c>
      <c r="W501" s="41" t="str">
        <f>IFERROR(__xludf.DUMMYFUNCTION(" IF(Account!$F501&lt;&gt;"""", SPLIT(Account!$F501, "" ""), """")"),"")</f>
        <v/>
      </c>
      <c r="X501" s="42"/>
      <c r="Y501" s="42"/>
      <c r="Z501" s="42"/>
      <c r="AA501" s="42"/>
      <c r="AB501" s="42"/>
      <c r="AC501" s="42"/>
      <c r="AD501" s="42"/>
      <c r="AE501" s="42"/>
      <c r="AF501" s="42"/>
      <c r="AG501" s="42"/>
      <c r="AH501" s="42"/>
      <c r="AI501" s="42"/>
      <c r="AJ501" s="42"/>
      <c r="AK501" s="42"/>
    </row>
    <row r="502">
      <c r="A502" s="20"/>
      <c r="B502" s="20"/>
      <c r="C502" s="20"/>
      <c r="D502" s="20"/>
      <c r="E502" s="20"/>
      <c r="F502" s="21"/>
      <c r="G502" s="45"/>
      <c r="H502" s="20"/>
      <c r="I502" s="20"/>
      <c r="J502" s="20"/>
      <c r="K502" s="20"/>
      <c r="L502" s="21"/>
      <c r="M502" s="33" t="str">
        <f>IFERROR(__xludf.DUMMYFUNCTION("IFS(W502=""Achat"",IFERROR(VALUE(X502),VALUE(REGEXREPLACE(T(X502),""[^0-9]"",""""))),W502=""Vente"",-IFERROR(VALUE(X502),VALUE(REGEXREPLACE(T(X502),""[^0-9]"",""""))),Y502=""Change"",0,Y502&lt;&gt;""Change"","""")"),"")</f>
        <v/>
      </c>
      <c r="N502" s="34" t="str">
        <f>IFERROR(__xludf.DUMMYFUNCTION("IF(Account!$F502&lt;&gt;"""", VALUE(REGEXREPLACE($I502, ""\,"", ""."")), """")"),"")</f>
        <v/>
      </c>
      <c r="O502" s="35" t="str">
        <f>IF(Account!$F502&lt;&gt;"", DATEVALUE(MID($A502,4,3) &amp; LEFT($A502,3) &amp; RIGHT($A502,4)) + TIMEVALUE($B502), "")</f>
        <v/>
      </c>
      <c r="P502" s="36" t="str">
        <f>IF(Account!$F502&lt;&gt;"", DATEVALUE(MID($C502,4,3) &amp; LEFT($C502,3) &amp; RIGHT($C502,4)), "")</f>
        <v/>
      </c>
      <c r="Q502" s="37" t="str">
        <f t="array" ref="Q502">IF($R502&lt;&gt;"",IFERROR(INDEX(ISIN!$B:$B,MATCH($R502,ISIN!$C:$C,0))),)</f>
        <v/>
      </c>
      <c r="R502" s="38" t="str">
        <f t="array" ref="R502">IF($E502&lt;&gt;"",IFERROR(INDEX(ISIN!$C:$C,MATCH($E502,ISIN!$A:$A,0)),IFERROR(INDEX($R503:$R1200,MATCH($K502,$K503:$K1200,0)))),IF(AND($Y502="change",$H502="EUR"),IF($O502=$O503,$R503,IF($O502=$O501,$R501)),IFERROR(INDEX($R503:$R1200,MATCH(SUBSTITUTE($I502,"-","",1),$K503:$K1200,0)))))</f>
        <v/>
      </c>
      <c r="S502" s="37" t="str">
        <f t="shared" si="1"/>
        <v/>
      </c>
      <c r="T502" s="39" t="str">
        <f t="shared" si="2"/>
        <v/>
      </c>
      <c r="U502" s="40" t="str">
        <f t="shared" si="3"/>
        <v/>
      </c>
      <c r="V502" s="34" t="str">
        <f t="shared" si="4"/>
        <v/>
      </c>
      <c r="W502" s="41" t="str">
        <f>IFERROR(__xludf.DUMMYFUNCTION(" IF(Account!$F502&lt;&gt;"""", SPLIT(Account!$F502, "" ""), """")"),"")</f>
        <v/>
      </c>
      <c r="X502" s="42"/>
      <c r="Y502" s="42"/>
      <c r="Z502" s="42"/>
      <c r="AA502" s="42"/>
      <c r="AB502" s="42"/>
      <c r="AC502" s="42"/>
      <c r="AD502" s="42"/>
      <c r="AE502" s="42"/>
      <c r="AF502" s="42"/>
      <c r="AG502" s="42"/>
      <c r="AH502" s="42"/>
      <c r="AI502" s="42"/>
      <c r="AJ502" s="42"/>
      <c r="AK502" s="42"/>
    </row>
    <row r="503">
      <c r="A503" s="20"/>
      <c r="B503" s="20"/>
      <c r="C503" s="20"/>
      <c r="D503" s="20"/>
      <c r="E503" s="20"/>
      <c r="F503" s="21"/>
      <c r="G503" s="45"/>
      <c r="H503" s="20"/>
      <c r="I503" s="20"/>
      <c r="J503" s="20"/>
      <c r="K503" s="20"/>
      <c r="L503" s="21"/>
      <c r="M503" s="33" t="str">
        <f>IFERROR(__xludf.DUMMYFUNCTION("IFS(W503=""Achat"",IFERROR(VALUE(X503),VALUE(REGEXREPLACE(T(X503),""[^0-9]"",""""))),W503=""Vente"",-IFERROR(VALUE(X503),VALUE(REGEXREPLACE(T(X503),""[^0-9]"",""""))),Y503=""Change"",0,Y503&lt;&gt;""Change"","""")"),"")</f>
        <v/>
      </c>
      <c r="N503" s="34" t="str">
        <f>IFERROR(__xludf.DUMMYFUNCTION("IF(Account!$F503&lt;&gt;"""", VALUE(REGEXREPLACE($I503, ""\,"", ""."")), """")"),"")</f>
        <v/>
      </c>
      <c r="O503" s="35" t="str">
        <f>IF(Account!$F503&lt;&gt;"", DATEVALUE(MID($A503,4,3) &amp; LEFT($A503,3) &amp; RIGHT($A503,4)) + TIMEVALUE($B503), "")</f>
        <v/>
      </c>
      <c r="P503" s="36" t="str">
        <f>IF(Account!$F503&lt;&gt;"", DATEVALUE(MID($C503,4,3) &amp; LEFT($C503,3) &amp; RIGHT($C503,4)), "")</f>
        <v/>
      </c>
      <c r="Q503" s="37" t="str">
        <f t="array" ref="Q503">IF($R503&lt;&gt;"",IFERROR(INDEX(ISIN!$B:$B,MATCH($R503,ISIN!$C:$C,0))),)</f>
        <v/>
      </c>
      <c r="R503" s="38" t="str">
        <f t="array" ref="R503">IF($E503&lt;&gt;"",IFERROR(INDEX(ISIN!$C:$C,MATCH($E503,ISIN!$A:$A,0)),IFERROR(INDEX($R504:$R1200,MATCH($K503,$K504:$K1200,0)))),IF(AND($Y503="change",$H503="EUR"),IF($O503=$O504,$R504,IF($O503=$O502,$R502)),IFERROR(INDEX($R504:$R1200,MATCH(SUBSTITUTE($I503,"-","",1),$K504:$K1200,0)))))</f>
        <v/>
      </c>
      <c r="S503" s="37" t="str">
        <f t="shared" si="1"/>
        <v/>
      </c>
      <c r="T503" s="39" t="str">
        <f t="shared" si="2"/>
        <v/>
      </c>
      <c r="U503" s="40" t="str">
        <f t="shared" si="3"/>
        <v/>
      </c>
      <c r="V503" s="34" t="str">
        <f t="shared" si="4"/>
        <v/>
      </c>
      <c r="W503" s="41" t="str">
        <f>IFERROR(__xludf.DUMMYFUNCTION(" IF(Account!$F503&lt;&gt;"""", SPLIT(Account!$F503, "" ""), """")"),"")</f>
        <v/>
      </c>
      <c r="X503" s="42"/>
      <c r="Y503" s="42"/>
      <c r="Z503" s="42"/>
      <c r="AA503" s="42"/>
      <c r="AB503" s="42"/>
      <c r="AC503" s="42"/>
      <c r="AD503" s="42"/>
      <c r="AE503" s="42"/>
      <c r="AF503" s="42"/>
      <c r="AG503" s="42"/>
      <c r="AH503" s="42"/>
      <c r="AI503" s="42"/>
      <c r="AJ503" s="42"/>
      <c r="AK503" s="42"/>
    </row>
    <row r="504">
      <c r="A504" s="20"/>
      <c r="B504" s="20"/>
      <c r="C504" s="20"/>
      <c r="D504" s="20"/>
      <c r="E504" s="20"/>
      <c r="F504" s="21"/>
      <c r="G504" s="20"/>
      <c r="H504" s="20"/>
      <c r="I504" s="20"/>
      <c r="J504" s="20"/>
      <c r="K504" s="20"/>
      <c r="L504" s="21"/>
      <c r="M504" s="33" t="str">
        <f>IFERROR(__xludf.DUMMYFUNCTION("IFS(W504=""Achat"",IFERROR(VALUE(X504),VALUE(REGEXREPLACE(T(X504),""[^0-9]"",""""))),W504=""Vente"",-IFERROR(VALUE(X504),VALUE(REGEXREPLACE(T(X504),""[^0-9]"",""""))),Y504=""Change"",0,Y504&lt;&gt;""Change"","""")"),"")</f>
        <v/>
      </c>
      <c r="N504" s="34" t="str">
        <f>IFERROR(__xludf.DUMMYFUNCTION("IF(Account!$F504&lt;&gt;"""", VALUE(REGEXREPLACE($I504, ""\,"", ""."")), """")"),"")</f>
        <v/>
      </c>
      <c r="O504" s="35" t="str">
        <f>IF(Account!$F504&lt;&gt;"", DATEVALUE(MID($A504,4,3) &amp; LEFT($A504,3) &amp; RIGHT($A504,4)) + TIMEVALUE($B504), "")</f>
        <v/>
      </c>
      <c r="P504" s="36" t="str">
        <f>IF(Account!$F504&lt;&gt;"", DATEVALUE(MID($C504,4,3) &amp; LEFT($C504,3) &amp; RIGHT($C504,4)), "")</f>
        <v/>
      </c>
      <c r="Q504" s="37" t="str">
        <f t="array" ref="Q504">IF($R504&lt;&gt;"",IFERROR(INDEX(ISIN!$B:$B,MATCH($R504,ISIN!$C:$C,0))),)</f>
        <v/>
      </c>
      <c r="R504" s="38" t="str">
        <f t="array" ref="R504">IF($E504&lt;&gt;"",IFERROR(INDEX(ISIN!$C:$C,MATCH($E504,ISIN!$A:$A,0)),IFERROR(INDEX($R505:$R1200,MATCH($K504,$K505:$K1200,0)))),IF(AND($Y504="change",$H504="EUR"),IF($O504=$O505,$R505,IF($O504=$O503,$R503)),IFERROR(INDEX($R505:$R1200,MATCH(SUBSTITUTE($I504,"-","",1),$K505:$K1200,0)))))</f>
        <v/>
      </c>
      <c r="S504" s="37" t="str">
        <f t="shared" si="1"/>
        <v/>
      </c>
      <c r="T504" s="39" t="str">
        <f t="shared" si="2"/>
        <v/>
      </c>
      <c r="U504" s="40" t="str">
        <f t="shared" si="3"/>
        <v/>
      </c>
      <c r="V504" s="34" t="str">
        <f t="shared" si="4"/>
        <v/>
      </c>
      <c r="W504" s="41" t="str">
        <f>IFERROR(__xludf.DUMMYFUNCTION(" IF(Account!$F504&lt;&gt;"""", SPLIT(Account!$F504, "" ""), """")"),"")</f>
        <v/>
      </c>
      <c r="X504" s="42"/>
      <c r="Y504" s="42"/>
      <c r="Z504" s="42"/>
      <c r="AA504" s="42"/>
      <c r="AB504" s="42"/>
      <c r="AC504" s="42"/>
      <c r="AD504" s="42"/>
      <c r="AE504" s="42"/>
      <c r="AF504" s="42"/>
      <c r="AG504" s="42"/>
      <c r="AH504" s="42"/>
      <c r="AI504" s="42"/>
      <c r="AJ504" s="42"/>
      <c r="AK504" s="42"/>
    </row>
    <row r="505">
      <c r="A505" s="20"/>
      <c r="B505" s="20"/>
      <c r="C505" s="20"/>
      <c r="D505" s="20"/>
      <c r="E505" s="20"/>
      <c r="F505" s="21"/>
      <c r="G505" s="45"/>
      <c r="H505" s="20"/>
      <c r="I505" s="20"/>
      <c r="J505" s="20"/>
      <c r="K505" s="20"/>
      <c r="L505" s="21"/>
      <c r="M505" s="33" t="str">
        <f>IFERROR(__xludf.DUMMYFUNCTION("IFS(W505=""Achat"",IFERROR(VALUE(X505),VALUE(REGEXREPLACE(T(X505),""[^0-9]"",""""))),W505=""Vente"",-IFERROR(VALUE(X505),VALUE(REGEXREPLACE(T(X505),""[^0-9]"",""""))),Y505=""Change"",0,Y505&lt;&gt;""Change"","""")"),"")</f>
        <v/>
      </c>
      <c r="N505" s="34" t="str">
        <f>IFERROR(__xludf.DUMMYFUNCTION("IF(Account!$F505&lt;&gt;"""", VALUE(REGEXREPLACE($I505, ""\,"", ""."")), """")"),"")</f>
        <v/>
      </c>
      <c r="O505" s="35" t="str">
        <f>IF(Account!$F505&lt;&gt;"", DATEVALUE(MID($A505,4,3) &amp; LEFT($A505,3) &amp; RIGHT($A505,4)) + TIMEVALUE($B505), "")</f>
        <v/>
      </c>
      <c r="P505" s="36" t="str">
        <f>IF(Account!$F505&lt;&gt;"", DATEVALUE(MID($C505,4,3) &amp; LEFT($C505,3) &amp; RIGHT($C505,4)), "")</f>
        <v/>
      </c>
      <c r="Q505" s="37" t="str">
        <f t="array" ref="Q505">IF($R505&lt;&gt;"",IFERROR(INDEX(ISIN!$B:$B,MATCH($R505,ISIN!$C:$C,0))),)</f>
        <v/>
      </c>
      <c r="R505" s="38" t="str">
        <f t="array" ref="R505">IF($E505&lt;&gt;"",IFERROR(INDEX(ISIN!$C:$C,MATCH($E505,ISIN!$A:$A,0)),IFERROR(INDEX($R506:$R1200,MATCH($K505,$K506:$K1200,0)))),IF(AND($Y505="change",$H505="EUR"),IF($O505=$O506,$R506,IF($O505=$O504,$R504)),IFERROR(INDEX($R506:$R1200,MATCH(SUBSTITUTE($I505,"-","",1),$K506:$K1200,0)))))</f>
        <v/>
      </c>
      <c r="S505" s="37" t="str">
        <f t="shared" si="1"/>
        <v/>
      </c>
      <c r="T505" s="39" t="str">
        <f t="shared" si="2"/>
        <v/>
      </c>
      <c r="U505" s="40" t="str">
        <f t="shared" si="3"/>
        <v/>
      </c>
      <c r="V505" s="34" t="str">
        <f t="shared" si="4"/>
        <v/>
      </c>
      <c r="W505" s="41" t="str">
        <f>IFERROR(__xludf.DUMMYFUNCTION(" IF(Account!$F505&lt;&gt;"""", SPLIT(Account!$F505, "" ""), """")"),"")</f>
        <v/>
      </c>
      <c r="X505" s="42"/>
      <c r="Y505" s="42"/>
      <c r="Z505" s="42"/>
      <c r="AA505" s="42"/>
      <c r="AB505" s="42"/>
      <c r="AC505" s="42"/>
      <c r="AD505" s="42"/>
      <c r="AE505" s="42"/>
      <c r="AF505" s="42"/>
      <c r="AG505" s="42"/>
      <c r="AH505" s="42"/>
      <c r="AI505" s="42"/>
      <c r="AJ505" s="42"/>
      <c r="AK505" s="42"/>
    </row>
    <row r="506">
      <c r="A506" s="20"/>
      <c r="B506" s="20"/>
      <c r="C506" s="20"/>
      <c r="D506" s="20"/>
      <c r="E506" s="20"/>
      <c r="F506" s="21"/>
      <c r="G506" s="20"/>
      <c r="H506" s="20"/>
      <c r="I506" s="20"/>
      <c r="J506" s="20"/>
      <c r="K506" s="20"/>
      <c r="L506" s="21"/>
      <c r="M506" s="33" t="str">
        <f>IFERROR(__xludf.DUMMYFUNCTION("IFS(W506=""Achat"",IFERROR(VALUE(X506),VALUE(REGEXREPLACE(T(X506),""[^0-9]"",""""))),W506=""Vente"",-IFERROR(VALUE(X506),VALUE(REGEXREPLACE(T(X506),""[^0-9]"",""""))),Y506=""Change"",0,Y506&lt;&gt;""Change"","""")"),"")</f>
        <v/>
      </c>
      <c r="N506" s="34" t="str">
        <f>IFERROR(__xludf.DUMMYFUNCTION("IF(Account!$F506&lt;&gt;"""", VALUE(REGEXREPLACE($I506, ""\,"", ""."")), """")"),"")</f>
        <v/>
      </c>
      <c r="O506" s="35" t="str">
        <f>IF(Account!$F506&lt;&gt;"", DATEVALUE(MID($A506,4,3) &amp; LEFT($A506,3) &amp; RIGHT($A506,4)) + TIMEVALUE($B506), "")</f>
        <v/>
      </c>
      <c r="P506" s="36" t="str">
        <f>IF(Account!$F506&lt;&gt;"", DATEVALUE(MID($C506,4,3) &amp; LEFT($C506,3) &amp; RIGHT($C506,4)), "")</f>
        <v/>
      </c>
      <c r="Q506" s="37" t="str">
        <f t="array" ref="Q506">IF($R506&lt;&gt;"",IFERROR(INDEX(ISIN!$B:$B,MATCH($R506,ISIN!$C:$C,0))),)</f>
        <v/>
      </c>
      <c r="R506" s="38" t="str">
        <f t="array" ref="R506">IF($E506&lt;&gt;"",IFERROR(INDEX(ISIN!$C:$C,MATCH($E506,ISIN!$A:$A,0)),IFERROR(INDEX($R507:$R1200,MATCH($K506,$K507:$K1200,0)))),IF(AND($Y506="change",$H506="EUR"),IF($O506=$O507,$R507,IF($O506=$O505,$R505)),IFERROR(INDEX($R507:$R1200,MATCH(SUBSTITUTE($I506,"-","",1),$K507:$K1200,0)))))</f>
        <v/>
      </c>
      <c r="S506" s="37" t="str">
        <f t="shared" si="1"/>
        <v/>
      </c>
      <c r="T506" s="39" t="str">
        <f t="shared" si="2"/>
        <v/>
      </c>
      <c r="U506" s="40" t="str">
        <f t="shared" si="3"/>
        <v/>
      </c>
      <c r="V506" s="34" t="str">
        <f t="shared" si="4"/>
        <v/>
      </c>
      <c r="W506" s="41" t="str">
        <f>IFERROR(__xludf.DUMMYFUNCTION(" IF(Account!$F506&lt;&gt;"""", SPLIT(Account!$F506, "" ""), """")"),"")</f>
        <v/>
      </c>
      <c r="X506" s="42"/>
      <c r="Y506" s="42"/>
      <c r="Z506" s="42"/>
      <c r="AA506" s="42"/>
      <c r="AB506" s="42"/>
      <c r="AC506" s="42"/>
      <c r="AD506" s="42"/>
      <c r="AE506" s="42"/>
      <c r="AF506" s="42"/>
      <c r="AG506" s="42"/>
      <c r="AH506" s="42"/>
      <c r="AI506" s="42"/>
      <c r="AJ506" s="42"/>
      <c r="AK506" s="42"/>
    </row>
    <row r="507">
      <c r="A507" s="20"/>
      <c r="B507" s="20"/>
      <c r="C507" s="20"/>
      <c r="D507" s="20"/>
      <c r="E507" s="20"/>
      <c r="F507" s="21"/>
      <c r="G507" s="45"/>
      <c r="H507" s="20"/>
      <c r="I507" s="20"/>
      <c r="J507" s="20"/>
      <c r="K507" s="20"/>
      <c r="L507" s="21"/>
      <c r="M507" s="33" t="str">
        <f>IFERROR(__xludf.DUMMYFUNCTION("IFS(W507=""Achat"",IFERROR(VALUE(X507),VALUE(REGEXREPLACE(T(X507),""[^0-9]"",""""))),W507=""Vente"",-IFERROR(VALUE(X507),VALUE(REGEXREPLACE(T(X507),""[^0-9]"",""""))),Y507=""Change"",0,Y507&lt;&gt;""Change"","""")"),"")</f>
        <v/>
      </c>
      <c r="N507" s="34" t="str">
        <f>IFERROR(__xludf.DUMMYFUNCTION("IF(Account!$F507&lt;&gt;"""", VALUE(REGEXREPLACE($I507, ""\,"", ""."")), """")"),"")</f>
        <v/>
      </c>
      <c r="O507" s="35" t="str">
        <f>IF(Account!$F507&lt;&gt;"", DATEVALUE(MID($A507,4,3) &amp; LEFT($A507,3) &amp; RIGHT($A507,4)) + TIMEVALUE($B507), "")</f>
        <v/>
      </c>
      <c r="P507" s="36" t="str">
        <f>IF(Account!$F507&lt;&gt;"", DATEVALUE(MID($C507,4,3) &amp; LEFT($C507,3) &amp; RIGHT($C507,4)), "")</f>
        <v/>
      </c>
      <c r="Q507" s="37" t="str">
        <f t="array" ref="Q507">IF($R507&lt;&gt;"",IFERROR(INDEX(ISIN!$B:$B,MATCH($R507,ISIN!$C:$C,0))),)</f>
        <v/>
      </c>
      <c r="R507" s="38" t="str">
        <f t="array" ref="R507">IF($E507&lt;&gt;"",IFERROR(INDEX(ISIN!$C:$C,MATCH($E507,ISIN!$A:$A,0)),IFERROR(INDEX($R508:$R1200,MATCH($K507,$K508:$K1200,0)))),IF(AND($Y507="change",$H507="EUR"),IF($O507=$O508,$R508,IF($O507=$O506,$R506)),IFERROR(INDEX($R508:$R1200,MATCH(SUBSTITUTE($I507,"-","",1),$K508:$K1200,0)))))</f>
        <v/>
      </c>
      <c r="S507" s="37" t="str">
        <f t="shared" si="1"/>
        <v/>
      </c>
      <c r="T507" s="39" t="str">
        <f t="shared" si="2"/>
        <v/>
      </c>
      <c r="U507" s="40" t="str">
        <f t="shared" si="3"/>
        <v/>
      </c>
      <c r="V507" s="34" t="str">
        <f t="shared" si="4"/>
        <v/>
      </c>
      <c r="W507" s="41" t="str">
        <f>IFERROR(__xludf.DUMMYFUNCTION(" IF(Account!$F507&lt;&gt;"""", SPLIT(Account!$F507, "" ""), """")"),"")</f>
        <v/>
      </c>
      <c r="X507" s="42"/>
      <c r="Y507" s="42"/>
      <c r="Z507" s="42"/>
      <c r="AA507" s="42"/>
      <c r="AB507" s="42"/>
      <c r="AC507" s="42"/>
      <c r="AD507" s="42"/>
      <c r="AE507" s="42"/>
      <c r="AF507" s="42"/>
      <c r="AG507" s="42"/>
      <c r="AH507" s="42"/>
      <c r="AI507" s="42"/>
      <c r="AJ507" s="42"/>
      <c r="AK507" s="42"/>
    </row>
    <row r="508">
      <c r="A508" s="20"/>
      <c r="B508" s="20"/>
      <c r="C508" s="20"/>
      <c r="D508" s="20"/>
      <c r="E508" s="20"/>
      <c r="F508" s="21"/>
      <c r="G508" s="45"/>
      <c r="H508" s="20"/>
      <c r="I508" s="20"/>
      <c r="J508" s="20"/>
      <c r="K508" s="20"/>
      <c r="L508" s="21"/>
      <c r="M508" s="33" t="str">
        <f>IFERROR(__xludf.DUMMYFUNCTION("IFS(W508=""Achat"",IFERROR(VALUE(X508),VALUE(REGEXREPLACE(T(X508),""[^0-9]"",""""))),W508=""Vente"",-IFERROR(VALUE(X508),VALUE(REGEXREPLACE(T(X508),""[^0-9]"",""""))),Y508=""Change"",0,Y508&lt;&gt;""Change"","""")"),"")</f>
        <v/>
      </c>
      <c r="N508" s="34" t="str">
        <f>IFERROR(__xludf.DUMMYFUNCTION("IF(Account!$F508&lt;&gt;"""", VALUE(REGEXREPLACE($I508, ""\,"", ""."")), """")"),"")</f>
        <v/>
      </c>
      <c r="O508" s="35" t="str">
        <f>IF(Account!$F508&lt;&gt;"", DATEVALUE(MID($A508,4,3) &amp; LEFT($A508,3) &amp; RIGHT($A508,4)) + TIMEVALUE($B508), "")</f>
        <v/>
      </c>
      <c r="P508" s="36" t="str">
        <f>IF(Account!$F508&lt;&gt;"", DATEVALUE(MID($C508,4,3) &amp; LEFT($C508,3) &amp; RIGHT($C508,4)), "")</f>
        <v/>
      </c>
      <c r="Q508" s="37" t="str">
        <f t="array" ref="Q508">IF($R508&lt;&gt;"",IFERROR(INDEX(ISIN!$B:$B,MATCH($R508,ISIN!$C:$C,0))),)</f>
        <v/>
      </c>
      <c r="R508" s="38" t="str">
        <f t="array" ref="R508">IF($E508&lt;&gt;"",IFERROR(INDEX(ISIN!$C:$C,MATCH($E508,ISIN!$A:$A,0)),IFERROR(INDEX($R509:$R1200,MATCH($K508,$K509:$K1200,0)))),IF(AND($Y508="change",$H508="EUR"),IF($O508=$O509,$R509,IF($O508=$O507,$R507)),IFERROR(INDEX($R509:$R1200,MATCH(SUBSTITUTE($I508,"-","",1),$K509:$K1200,0)))))</f>
        <v/>
      </c>
      <c r="S508" s="37" t="str">
        <f t="shared" si="1"/>
        <v/>
      </c>
      <c r="T508" s="39" t="str">
        <f t="shared" si="2"/>
        <v/>
      </c>
      <c r="U508" s="40" t="str">
        <f t="shared" si="3"/>
        <v/>
      </c>
      <c r="V508" s="34" t="str">
        <f t="shared" si="4"/>
        <v/>
      </c>
      <c r="W508" s="41" t="str">
        <f>IFERROR(__xludf.DUMMYFUNCTION(" IF(Account!$F508&lt;&gt;"""", SPLIT(Account!$F508, "" ""), """")"),"")</f>
        <v/>
      </c>
      <c r="X508" s="42"/>
      <c r="Y508" s="42"/>
      <c r="Z508" s="42"/>
      <c r="AA508" s="42"/>
      <c r="AB508" s="42"/>
      <c r="AC508" s="42"/>
      <c r="AD508" s="42"/>
      <c r="AE508" s="42"/>
      <c r="AF508" s="42"/>
      <c r="AG508" s="42"/>
      <c r="AH508" s="42"/>
      <c r="AI508" s="42"/>
      <c r="AJ508" s="42"/>
      <c r="AK508" s="42"/>
    </row>
    <row r="509">
      <c r="A509" s="20"/>
      <c r="B509" s="20"/>
      <c r="C509" s="20"/>
      <c r="D509" s="20"/>
      <c r="E509" s="20"/>
      <c r="F509" s="21"/>
      <c r="G509" s="20"/>
      <c r="H509" s="20"/>
      <c r="I509" s="20"/>
      <c r="J509" s="20"/>
      <c r="K509" s="20"/>
      <c r="L509" s="21"/>
      <c r="M509" s="33" t="str">
        <f>IFERROR(__xludf.DUMMYFUNCTION("IFS(W509=""Achat"",IFERROR(VALUE(X509),VALUE(REGEXREPLACE(T(X509),""[^0-9]"",""""))),W509=""Vente"",-IFERROR(VALUE(X509),VALUE(REGEXREPLACE(T(X509),""[^0-9]"",""""))),Y509=""Change"",0,Y509&lt;&gt;""Change"","""")"),"")</f>
        <v/>
      </c>
      <c r="N509" s="34" t="str">
        <f>IFERROR(__xludf.DUMMYFUNCTION("IF(Account!$F509&lt;&gt;"""", VALUE(REGEXREPLACE($I509, ""\,"", ""."")), """")"),"")</f>
        <v/>
      </c>
      <c r="O509" s="35" t="str">
        <f>IF(Account!$F509&lt;&gt;"", DATEVALUE(MID($A509,4,3) &amp; LEFT($A509,3) &amp; RIGHT($A509,4)) + TIMEVALUE($B509), "")</f>
        <v/>
      </c>
      <c r="P509" s="36" t="str">
        <f>IF(Account!$F509&lt;&gt;"", DATEVALUE(MID($C509,4,3) &amp; LEFT($C509,3) &amp; RIGHT($C509,4)), "")</f>
        <v/>
      </c>
      <c r="Q509" s="37" t="str">
        <f t="array" ref="Q509">IF($R509&lt;&gt;"",IFERROR(INDEX(ISIN!$B:$B,MATCH($R509,ISIN!$C:$C,0))),)</f>
        <v/>
      </c>
      <c r="R509" s="38" t="str">
        <f t="array" ref="R509">IF($E509&lt;&gt;"",IFERROR(INDEX(ISIN!$C:$C,MATCH($E509,ISIN!$A:$A,0)),IFERROR(INDEX($R510:$R1200,MATCH($K509,$K510:$K1200,0)))),IF(AND($Y509="change",$H509="EUR"),IF($O509=$O510,$R510,IF($O509=$O508,$R508)),IFERROR(INDEX($R510:$R1200,MATCH(SUBSTITUTE($I509,"-","",1),$K510:$K1200,0)))))</f>
        <v/>
      </c>
      <c r="S509" s="37" t="str">
        <f t="shared" si="1"/>
        <v/>
      </c>
      <c r="T509" s="39" t="str">
        <f t="shared" si="2"/>
        <v/>
      </c>
      <c r="U509" s="40" t="str">
        <f t="shared" si="3"/>
        <v/>
      </c>
      <c r="V509" s="34" t="str">
        <f t="shared" si="4"/>
        <v/>
      </c>
      <c r="W509" s="41" t="str">
        <f>IFERROR(__xludf.DUMMYFUNCTION(" IF(Account!$F509&lt;&gt;"""", SPLIT(Account!$F509, "" ""), """")"),"")</f>
        <v/>
      </c>
      <c r="X509" s="42"/>
      <c r="Y509" s="42"/>
      <c r="Z509" s="42"/>
      <c r="AA509" s="42"/>
      <c r="AB509" s="42"/>
      <c r="AC509" s="42"/>
      <c r="AD509" s="42"/>
      <c r="AE509" s="42"/>
      <c r="AF509" s="42"/>
      <c r="AG509" s="42"/>
      <c r="AH509" s="42"/>
      <c r="AI509" s="42"/>
      <c r="AJ509" s="42"/>
      <c r="AK509" s="42"/>
    </row>
    <row r="510">
      <c r="A510" s="20"/>
      <c r="B510" s="20"/>
      <c r="C510" s="20"/>
      <c r="D510" s="20"/>
      <c r="E510" s="20"/>
      <c r="F510" s="21"/>
      <c r="G510" s="20"/>
      <c r="H510" s="20"/>
      <c r="I510" s="20"/>
      <c r="J510" s="20"/>
      <c r="K510" s="20"/>
      <c r="L510" s="21"/>
      <c r="M510" s="33" t="str">
        <f>IFERROR(__xludf.DUMMYFUNCTION("IFS(W510=""Achat"",IFERROR(VALUE(X510),VALUE(REGEXREPLACE(T(X510),""[^0-9]"",""""))),W510=""Vente"",-IFERROR(VALUE(X510),VALUE(REGEXREPLACE(T(X510),""[^0-9]"",""""))),Y510=""Change"",0,Y510&lt;&gt;""Change"","""")"),"")</f>
        <v/>
      </c>
      <c r="N510" s="34" t="str">
        <f>IFERROR(__xludf.DUMMYFUNCTION("IF(Account!$F510&lt;&gt;"""", VALUE(REGEXREPLACE($I510, ""\,"", ""."")), """")"),"")</f>
        <v/>
      </c>
      <c r="O510" s="35" t="str">
        <f>IF(Account!$F510&lt;&gt;"", DATEVALUE(MID($A510,4,3) &amp; LEFT($A510,3) &amp; RIGHT($A510,4)) + TIMEVALUE($B510), "")</f>
        <v/>
      </c>
      <c r="P510" s="36" t="str">
        <f>IF(Account!$F510&lt;&gt;"", DATEVALUE(MID($C510,4,3) &amp; LEFT($C510,3) &amp; RIGHT($C510,4)), "")</f>
        <v/>
      </c>
      <c r="Q510" s="37" t="str">
        <f t="array" ref="Q510">IF($R510&lt;&gt;"",IFERROR(INDEX(ISIN!$B:$B,MATCH($R510,ISIN!$C:$C,0))),)</f>
        <v/>
      </c>
      <c r="R510" s="38" t="str">
        <f t="array" ref="R510">IF($E510&lt;&gt;"",IFERROR(INDEX(ISIN!$C:$C,MATCH($E510,ISIN!$A:$A,0)),IFERROR(INDEX($R511:$R1200,MATCH($K510,$K511:$K1200,0)))),IF(AND($Y510="change",$H510="EUR"),IF($O510=$O511,$R511,IF($O510=$O509,$R509)),IFERROR(INDEX($R511:$R1200,MATCH(SUBSTITUTE($I510,"-","",1),$K511:$K1200,0)))))</f>
        <v/>
      </c>
      <c r="S510" s="37" t="str">
        <f t="shared" si="1"/>
        <v/>
      </c>
      <c r="T510" s="39" t="str">
        <f t="shared" si="2"/>
        <v/>
      </c>
      <c r="U510" s="40" t="str">
        <f t="shared" si="3"/>
        <v/>
      </c>
      <c r="V510" s="34" t="str">
        <f t="shared" si="4"/>
        <v/>
      </c>
      <c r="W510" s="41" t="str">
        <f>IFERROR(__xludf.DUMMYFUNCTION(" IF(Account!$F510&lt;&gt;"""", SPLIT(Account!$F510, "" ""), """")"),"")</f>
        <v/>
      </c>
      <c r="X510" s="42"/>
      <c r="Y510" s="42"/>
      <c r="Z510" s="42"/>
      <c r="AA510" s="42"/>
      <c r="AB510" s="42"/>
      <c r="AC510" s="42"/>
      <c r="AD510" s="42"/>
      <c r="AE510" s="42"/>
      <c r="AF510" s="42"/>
      <c r="AG510" s="42"/>
      <c r="AH510" s="42"/>
      <c r="AI510" s="42"/>
      <c r="AJ510" s="42"/>
      <c r="AK510" s="42"/>
    </row>
    <row r="511">
      <c r="A511" s="20"/>
      <c r="B511" s="20"/>
      <c r="C511" s="20"/>
      <c r="D511" s="20"/>
      <c r="E511" s="20"/>
      <c r="F511" s="21"/>
      <c r="G511" s="20"/>
      <c r="H511" s="20"/>
      <c r="I511" s="20"/>
      <c r="J511" s="20"/>
      <c r="K511" s="20"/>
      <c r="L511" s="21"/>
      <c r="M511" s="33" t="str">
        <f>IFERROR(__xludf.DUMMYFUNCTION("IFS(W511=""Achat"",IFERROR(VALUE(X511),VALUE(REGEXREPLACE(T(X511),""[^0-9]"",""""))),W511=""Vente"",-IFERROR(VALUE(X511),VALUE(REGEXREPLACE(T(X511),""[^0-9]"",""""))),Y511=""Change"",0,Y511&lt;&gt;""Change"","""")"),"")</f>
        <v/>
      </c>
      <c r="N511" s="34" t="str">
        <f>IFERROR(__xludf.DUMMYFUNCTION("IF(Account!$F511&lt;&gt;"""", VALUE(REGEXREPLACE($I511, ""\,"", ""."")), """")"),"")</f>
        <v/>
      </c>
      <c r="O511" s="35" t="str">
        <f>IF(Account!$F511&lt;&gt;"", DATEVALUE(MID($A511,4,3) &amp; LEFT($A511,3) &amp; RIGHT($A511,4)) + TIMEVALUE($B511), "")</f>
        <v/>
      </c>
      <c r="P511" s="36" t="str">
        <f>IF(Account!$F511&lt;&gt;"", DATEVALUE(MID($C511,4,3) &amp; LEFT($C511,3) &amp; RIGHT($C511,4)), "")</f>
        <v/>
      </c>
      <c r="Q511" s="37" t="str">
        <f t="array" ref="Q511">IF($R511&lt;&gt;"",IFERROR(INDEX(ISIN!$B:$B,MATCH($R511,ISIN!$C:$C,0))),)</f>
        <v/>
      </c>
      <c r="R511" s="38" t="str">
        <f t="array" ref="R511">IF($E511&lt;&gt;"",IFERROR(INDEX(ISIN!$C:$C,MATCH($E511,ISIN!$A:$A,0)),IFERROR(INDEX($R512:$R1200,MATCH($K511,$K512:$K1200,0)))),IF(AND($Y511="change",$H511="EUR"),IF($O511=$O512,$R512,IF($O511=$O510,$R510)),IFERROR(INDEX($R512:$R1200,MATCH(SUBSTITUTE($I511,"-","",1),$K512:$K1200,0)))))</f>
        <v/>
      </c>
      <c r="S511" s="37" t="str">
        <f t="shared" si="1"/>
        <v/>
      </c>
      <c r="T511" s="39" t="str">
        <f t="shared" si="2"/>
        <v/>
      </c>
      <c r="U511" s="40" t="str">
        <f t="shared" si="3"/>
        <v/>
      </c>
      <c r="V511" s="34" t="str">
        <f t="shared" si="4"/>
        <v/>
      </c>
      <c r="W511" s="41" t="str">
        <f>IFERROR(__xludf.DUMMYFUNCTION(" IF(Account!$F511&lt;&gt;"""", SPLIT(Account!$F511, "" ""), """")"),"")</f>
        <v/>
      </c>
      <c r="X511" s="42"/>
      <c r="Y511" s="42"/>
      <c r="Z511" s="42"/>
      <c r="AA511" s="42"/>
      <c r="AB511" s="42"/>
      <c r="AC511" s="42"/>
      <c r="AD511" s="42"/>
      <c r="AE511" s="42"/>
      <c r="AF511" s="42"/>
      <c r="AG511" s="42"/>
      <c r="AH511" s="42"/>
      <c r="AI511" s="42"/>
      <c r="AJ511" s="42"/>
      <c r="AK511" s="42"/>
    </row>
    <row r="512">
      <c r="A512" s="20"/>
      <c r="B512" s="20"/>
      <c r="C512" s="20"/>
      <c r="D512" s="20"/>
      <c r="E512" s="20"/>
      <c r="F512" s="21"/>
      <c r="G512" s="20"/>
      <c r="H512" s="20"/>
      <c r="I512" s="20"/>
      <c r="J512" s="20"/>
      <c r="K512" s="20"/>
      <c r="L512" s="21"/>
      <c r="M512" s="33" t="str">
        <f>IFERROR(__xludf.DUMMYFUNCTION("IFS(W512=""Achat"",IFERROR(VALUE(X512),VALUE(REGEXREPLACE(T(X512),""[^0-9]"",""""))),W512=""Vente"",-IFERROR(VALUE(X512),VALUE(REGEXREPLACE(T(X512),""[^0-9]"",""""))),Y512=""Change"",0,Y512&lt;&gt;""Change"","""")"),"")</f>
        <v/>
      </c>
      <c r="N512" s="34" t="str">
        <f>IFERROR(__xludf.DUMMYFUNCTION("IF(Account!$F512&lt;&gt;"""", VALUE(REGEXREPLACE($I512, ""\,"", ""."")), """")"),"")</f>
        <v/>
      </c>
      <c r="O512" s="35" t="str">
        <f>IF(Account!$F512&lt;&gt;"", DATEVALUE(MID($A512,4,3) &amp; LEFT($A512,3) &amp; RIGHT($A512,4)) + TIMEVALUE($B512), "")</f>
        <v/>
      </c>
      <c r="P512" s="36" t="str">
        <f>IF(Account!$F512&lt;&gt;"", DATEVALUE(MID($C512,4,3) &amp; LEFT($C512,3) &amp; RIGHT($C512,4)), "")</f>
        <v/>
      </c>
      <c r="Q512" s="37" t="str">
        <f t="array" ref="Q512">IF($R512&lt;&gt;"",IFERROR(INDEX(ISIN!$B:$B,MATCH($R512,ISIN!$C:$C,0))),)</f>
        <v/>
      </c>
      <c r="R512" s="38" t="str">
        <f t="array" ref="R512">IF($E512&lt;&gt;"",IFERROR(INDEX(ISIN!$C:$C,MATCH($E512,ISIN!$A:$A,0)),IFERROR(INDEX($R513:$R1200,MATCH($K512,$K513:$K1200,0)))),IF(AND($Y512="change",$H512="EUR"),IF($O512=$O513,$R513,IF($O512=$O511,$R511)),IFERROR(INDEX($R513:$R1200,MATCH(SUBSTITUTE($I512,"-","",1),$K513:$K1200,0)))))</f>
        <v/>
      </c>
      <c r="S512" s="37" t="str">
        <f t="shared" si="1"/>
        <v/>
      </c>
      <c r="T512" s="39" t="str">
        <f t="shared" si="2"/>
        <v/>
      </c>
      <c r="U512" s="40" t="str">
        <f t="shared" si="3"/>
        <v/>
      </c>
      <c r="V512" s="34" t="str">
        <f t="shared" si="4"/>
        <v/>
      </c>
      <c r="W512" s="41" t="str">
        <f>IFERROR(__xludf.DUMMYFUNCTION(" IF(Account!$F512&lt;&gt;"""", SPLIT(Account!$F512, "" ""), """")"),"")</f>
        <v/>
      </c>
      <c r="X512" s="42"/>
      <c r="Y512" s="42"/>
      <c r="Z512" s="42"/>
      <c r="AA512" s="42"/>
      <c r="AB512" s="42"/>
      <c r="AC512" s="42"/>
      <c r="AD512" s="42"/>
      <c r="AE512" s="42"/>
      <c r="AF512" s="42"/>
      <c r="AG512" s="42"/>
      <c r="AH512" s="42"/>
      <c r="AI512" s="42"/>
      <c r="AJ512" s="42"/>
      <c r="AK512" s="42"/>
    </row>
    <row r="513">
      <c r="A513" s="20"/>
      <c r="B513" s="20"/>
      <c r="C513" s="20"/>
      <c r="D513" s="20"/>
      <c r="E513" s="20"/>
      <c r="F513" s="21"/>
      <c r="G513" s="45"/>
      <c r="H513" s="20"/>
      <c r="I513" s="20"/>
      <c r="J513" s="20"/>
      <c r="K513" s="20"/>
      <c r="L513" s="21"/>
      <c r="M513" s="33" t="str">
        <f>IFERROR(__xludf.DUMMYFUNCTION("IFS(W513=""Achat"",IFERROR(VALUE(X513),VALUE(REGEXREPLACE(T(X513),""[^0-9]"",""""))),W513=""Vente"",-IFERROR(VALUE(X513),VALUE(REGEXREPLACE(T(X513),""[^0-9]"",""""))),Y513=""Change"",0,Y513&lt;&gt;""Change"","""")"),"")</f>
        <v/>
      </c>
      <c r="N513" s="34" t="str">
        <f>IFERROR(__xludf.DUMMYFUNCTION("IF(Account!$F513&lt;&gt;"""", VALUE(REGEXREPLACE($I513, ""\,"", ""."")), """")"),"")</f>
        <v/>
      </c>
      <c r="O513" s="35" t="str">
        <f>IF(Account!$F513&lt;&gt;"", DATEVALUE(MID($A513,4,3) &amp; LEFT($A513,3) &amp; RIGHT($A513,4)) + TIMEVALUE($B513), "")</f>
        <v/>
      </c>
      <c r="P513" s="36" t="str">
        <f>IF(Account!$F513&lt;&gt;"", DATEVALUE(MID($C513,4,3) &amp; LEFT($C513,3) &amp; RIGHT($C513,4)), "")</f>
        <v/>
      </c>
      <c r="Q513" s="37" t="str">
        <f t="array" ref="Q513">IF($R513&lt;&gt;"",IFERROR(INDEX(ISIN!$B:$B,MATCH($R513,ISIN!$C:$C,0))),)</f>
        <v/>
      </c>
      <c r="R513" s="38" t="str">
        <f t="array" ref="R513">IF($E513&lt;&gt;"",IFERROR(INDEX(ISIN!$C:$C,MATCH($E513,ISIN!$A:$A,0)),IFERROR(INDEX($R514:$R1200,MATCH($K513,$K514:$K1200,0)))),IF(AND($Y513="change",$H513="EUR"),IF($O513=$O514,$R514,IF($O513=$O512,$R512)),IFERROR(INDEX($R514:$R1200,MATCH(SUBSTITUTE($I513,"-","",1),$K514:$K1200,0)))))</f>
        <v/>
      </c>
      <c r="S513" s="37" t="str">
        <f t="shared" si="1"/>
        <v/>
      </c>
      <c r="T513" s="39" t="str">
        <f t="shared" si="2"/>
        <v/>
      </c>
      <c r="U513" s="40" t="str">
        <f t="shared" si="3"/>
        <v/>
      </c>
      <c r="V513" s="34" t="str">
        <f t="shared" si="4"/>
        <v/>
      </c>
      <c r="W513" s="41" t="str">
        <f>IFERROR(__xludf.DUMMYFUNCTION(" IF(Account!$F513&lt;&gt;"""", SPLIT(Account!$F513, "" ""), """")"),"")</f>
        <v/>
      </c>
      <c r="X513" s="42"/>
      <c r="Y513" s="42"/>
      <c r="Z513" s="42"/>
      <c r="AA513" s="42"/>
      <c r="AB513" s="42"/>
      <c r="AC513" s="42"/>
      <c r="AD513" s="42"/>
      <c r="AE513" s="42"/>
      <c r="AF513" s="42"/>
      <c r="AG513" s="42"/>
      <c r="AH513" s="42"/>
      <c r="AI513" s="42"/>
      <c r="AJ513" s="42"/>
      <c r="AK513" s="42"/>
    </row>
    <row r="514">
      <c r="A514" s="20"/>
      <c r="B514" s="20"/>
      <c r="C514" s="20"/>
      <c r="D514" s="20"/>
      <c r="E514" s="20"/>
      <c r="F514" s="21"/>
      <c r="G514" s="20"/>
      <c r="H514" s="20"/>
      <c r="I514" s="20"/>
      <c r="J514" s="20"/>
      <c r="K514" s="20"/>
      <c r="L514" s="21"/>
      <c r="M514" s="33" t="str">
        <f>IFERROR(__xludf.DUMMYFUNCTION("IFS(W514=""Achat"",IFERROR(VALUE(X514),VALUE(REGEXREPLACE(T(X514),""[^0-9]"",""""))),W514=""Vente"",-IFERROR(VALUE(X514),VALUE(REGEXREPLACE(T(X514),""[^0-9]"",""""))),Y514=""Change"",0,Y514&lt;&gt;""Change"","""")"),"")</f>
        <v/>
      </c>
      <c r="N514" s="34" t="str">
        <f>IFERROR(__xludf.DUMMYFUNCTION("IF(Account!$F514&lt;&gt;"""", VALUE(REGEXREPLACE($I514, ""\,"", ""."")), """")"),"")</f>
        <v/>
      </c>
      <c r="O514" s="35" t="str">
        <f>IF(Account!$F514&lt;&gt;"", DATEVALUE(MID($A514,4,3) &amp; LEFT($A514,3) &amp; RIGHT($A514,4)) + TIMEVALUE($B514), "")</f>
        <v/>
      </c>
      <c r="P514" s="36" t="str">
        <f>IF(Account!$F514&lt;&gt;"", DATEVALUE(MID($C514,4,3) &amp; LEFT($C514,3) &amp; RIGHT($C514,4)), "")</f>
        <v/>
      </c>
      <c r="Q514" s="37" t="str">
        <f t="array" ref="Q514">IF($R514&lt;&gt;"",IFERROR(INDEX(ISIN!$B:$B,MATCH($R514,ISIN!$C:$C,0))),)</f>
        <v/>
      </c>
      <c r="R514" s="38" t="str">
        <f t="array" ref="R514">IF($E514&lt;&gt;"",IFERROR(INDEX(ISIN!$C:$C,MATCH($E514,ISIN!$A:$A,0)),IFERROR(INDEX($R515:$R1200,MATCH($K514,$K515:$K1200,0)))),IF(AND($Y514="change",$H514="EUR"),IF($O514=$O515,$R515,IF($O514=$O513,$R513)),IFERROR(INDEX($R515:$R1200,MATCH(SUBSTITUTE($I514,"-","",1),$K515:$K1200,0)))))</f>
        <v/>
      </c>
      <c r="S514" s="37" t="str">
        <f t="shared" si="1"/>
        <v/>
      </c>
      <c r="T514" s="39" t="str">
        <f t="shared" si="2"/>
        <v/>
      </c>
      <c r="U514" s="40" t="str">
        <f t="shared" si="3"/>
        <v/>
      </c>
      <c r="V514" s="34" t="str">
        <f t="shared" si="4"/>
        <v/>
      </c>
      <c r="W514" s="41" t="str">
        <f>IFERROR(__xludf.DUMMYFUNCTION(" IF(Account!$F514&lt;&gt;"""", SPLIT(Account!$F514, "" ""), """")"),"")</f>
        <v/>
      </c>
      <c r="X514" s="42"/>
      <c r="Y514" s="42"/>
      <c r="Z514" s="42"/>
      <c r="AA514" s="42"/>
      <c r="AB514" s="42"/>
      <c r="AC514" s="42"/>
      <c r="AD514" s="42"/>
      <c r="AE514" s="42"/>
      <c r="AF514" s="42"/>
      <c r="AG514" s="42"/>
      <c r="AH514" s="42"/>
      <c r="AI514" s="42"/>
      <c r="AJ514" s="42"/>
      <c r="AK514" s="42"/>
    </row>
    <row r="515">
      <c r="A515" s="20"/>
      <c r="B515" s="20"/>
      <c r="C515" s="20"/>
      <c r="D515" s="20"/>
      <c r="E515" s="20"/>
      <c r="F515" s="21"/>
      <c r="G515" s="45"/>
      <c r="H515" s="20"/>
      <c r="I515" s="20"/>
      <c r="J515" s="20"/>
      <c r="K515" s="20"/>
      <c r="L515" s="21"/>
      <c r="M515" s="33" t="str">
        <f>IFERROR(__xludf.DUMMYFUNCTION("IFS(W515=""Achat"",IFERROR(VALUE(X515),VALUE(REGEXREPLACE(T(X515),""[^0-9]"",""""))),W515=""Vente"",-IFERROR(VALUE(X515),VALUE(REGEXREPLACE(T(X515),""[^0-9]"",""""))),Y515=""Change"",0,Y515&lt;&gt;""Change"","""")"),"")</f>
        <v/>
      </c>
      <c r="N515" s="34" t="str">
        <f>IFERROR(__xludf.DUMMYFUNCTION("IF(Account!$F515&lt;&gt;"""", VALUE(REGEXREPLACE($I515, ""\,"", ""."")), """")"),"")</f>
        <v/>
      </c>
      <c r="O515" s="35" t="str">
        <f>IF(Account!$F515&lt;&gt;"", DATEVALUE(MID($A515,4,3) &amp; LEFT($A515,3) &amp; RIGHT($A515,4)) + TIMEVALUE($B515), "")</f>
        <v/>
      </c>
      <c r="P515" s="36" t="str">
        <f>IF(Account!$F515&lt;&gt;"", DATEVALUE(MID($C515,4,3) &amp; LEFT($C515,3) &amp; RIGHT($C515,4)), "")</f>
        <v/>
      </c>
      <c r="Q515" s="37" t="str">
        <f t="array" ref="Q515">IF($R515&lt;&gt;"",IFERROR(INDEX(ISIN!$B:$B,MATCH($R515,ISIN!$C:$C,0))),)</f>
        <v/>
      </c>
      <c r="R515" s="38" t="str">
        <f t="array" ref="R515">IF($E515&lt;&gt;"",IFERROR(INDEX(ISIN!$C:$C,MATCH($E515,ISIN!$A:$A,0)),IFERROR(INDEX($R516:$R1200,MATCH($K515,$K516:$K1200,0)))),IF(AND($Y515="change",$H515="EUR"),IF($O515=$O516,$R516,IF($O515=$O514,$R514)),IFERROR(INDEX($R516:$R1200,MATCH(SUBSTITUTE($I515,"-","",1),$K516:$K1200,0)))))</f>
        <v/>
      </c>
      <c r="S515" s="37" t="str">
        <f t="shared" si="1"/>
        <v/>
      </c>
      <c r="T515" s="39" t="str">
        <f t="shared" si="2"/>
        <v/>
      </c>
      <c r="U515" s="40" t="str">
        <f t="shared" si="3"/>
        <v/>
      </c>
      <c r="V515" s="34" t="str">
        <f t="shared" si="4"/>
        <v/>
      </c>
      <c r="W515" s="41" t="str">
        <f>IFERROR(__xludf.DUMMYFUNCTION(" IF(Account!$F515&lt;&gt;"""", SPLIT(Account!$F515, "" ""), """")"),"")</f>
        <v/>
      </c>
      <c r="X515" s="42"/>
      <c r="Y515" s="42"/>
      <c r="Z515" s="42"/>
      <c r="AA515" s="42"/>
      <c r="AB515" s="42"/>
      <c r="AC515" s="42"/>
      <c r="AD515" s="42"/>
      <c r="AE515" s="42"/>
      <c r="AF515" s="42"/>
      <c r="AG515" s="42"/>
      <c r="AH515" s="42"/>
      <c r="AI515" s="42"/>
      <c r="AJ515" s="42"/>
      <c r="AK515" s="42"/>
    </row>
    <row r="516">
      <c r="A516" s="20"/>
      <c r="B516" s="20"/>
      <c r="C516" s="20"/>
      <c r="D516" s="20"/>
      <c r="E516" s="20"/>
      <c r="F516" s="21"/>
      <c r="G516" s="20"/>
      <c r="H516" s="20"/>
      <c r="I516" s="20"/>
      <c r="J516" s="20"/>
      <c r="K516" s="20"/>
      <c r="L516" s="21"/>
      <c r="M516" s="33" t="str">
        <f>IFERROR(__xludf.DUMMYFUNCTION("IFS(W516=""Achat"",IFERROR(VALUE(X516),VALUE(REGEXREPLACE(T(X516),""[^0-9]"",""""))),W516=""Vente"",-IFERROR(VALUE(X516),VALUE(REGEXREPLACE(T(X516),""[^0-9]"",""""))),Y516=""Change"",0,Y516&lt;&gt;""Change"","""")"),"")</f>
        <v/>
      </c>
      <c r="N516" s="34" t="str">
        <f>IFERROR(__xludf.DUMMYFUNCTION("IF(Account!$F516&lt;&gt;"""", VALUE(REGEXREPLACE($I516, ""\,"", ""."")), """")"),"")</f>
        <v/>
      </c>
      <c r="O516" s="35" t="str">
        <f>IF(Account!$F516&lt;&gt;"", DATEVALUE(MID($A516,4,3) &amp; LEFT($A516,3) &amp; RIGHT($A516,4)) + TIMEVALUE($B516), "")</f>
        <v/>
      </c>
      <c r="P516" s="36" t="str">
        <f>IF(Account!$F516&lt;&gt;"", DATEVALUE(MID($C516,4,3) &amp; LEFT($C516,3) &amp; RIGHT($C516,4)), "")</f>
        <v/>
      </c>
      <c r="Q516" s="37" t="str">
        <f t="array" ref="Q516">IF($R516&lt;&gt;"",IFERROR(INDEX(ISIN!$B:$B,MATCH($R516,ISIN!$C:$C,0))),)</f>
        <v/>
      </c>
      <c r="R516" s="38" t="str">
        <f t="array" ref="R516">IF($E516&lt;&gt;"",IFERROR(INDEX(ISIN!$C:$C,MATCH($E516,ISIN!$A:$A,0)),IFERROR(INDEX($R517:$R1200,MATCH($K516,$K517:$K1200,0)))),IF(AND($Y516="change",$H516="EUR"),IF($O516=$O517,$R517,IF($O516=$O515,$R515)),IFERROR(INDEX($R517:$R1200,MATCH(SUBSTITUTE($I516,"-","",1),$K517:$K1200,0)))))</f>
        <v/>
      </c>
      <c r="S516" s="37" t="str">
        <f t="shared" si="1"/>
        <v/>
      </c>
      <c r="T516" s="39" t="str">
        <f t="shared" si="2"/>
        <v/>
      </c>
      <c r="U516" s="40" t="str">
        <f t="shared" si="3"/>
        <v/>
      </c>
      <c r="V516" s="34" t="str">
        <f t="shared" si="4"/>
        <v/>
      </c>
      <c r="W516" s="41" t="str">
        <f>IFERROR(__xludf.DUMMYFUNCTION(" IF(Account!$F516&lt;&gt;"""", SPLIT(Account!$F516, "" ""), """")"),"")</f>
        <v/>
      </c>
      <c r="X516" s="42"/>
      <c r="Y516" s="42"/>
      <c r="Z516" s="42"/>
      <c r="AA516" s="42"/>
      <c r="AB516" s="42"/>
      <c r="AC516" s="42"/>
      <c r="AD516" s="42"/>
      <c r="AE516" s="42"/>
      <c r="AF516" s="42"/>
      <c r="AG516" s="42"/>
      <c r="AH516" s="42"/>
      <c r="AI516" s="42"/>
      <c r="AJ516" s="42"/>
      <c r="AK516" s="42"/>
    </row>
    <row r="517">
      <c r="A517" s="20"/>
      <c r="B517" s="20"/>
      <c r="C517" s="20"/>
      <c r="D517" s="20"/>
      <c r="E517" s="20"/>
      <c r="F517" s="21"/>
      <c r="G517" s="45"/>
      <c r="H517" s="20"/>
      <c r="I517" s="20"/>
      <c r="J517" s="20"/>
      <c r="K517" s="20"/>
      <c r="L517" s="21"/>
      <c r="M517" s="33" t="str">
        <f>IFERROR(__xludf.DUMMYFUNCTION("IFS(W517=""Achat"",IFERROR(VALUE(X517),VALUE(REGEXREPLACE(T(X517),""[^0-9]"",""""))),W517=""Vente"",-IFERROR(VALUE(X517),VALUE(REGEXREPLACE(T(X517),""[^0-9]"",""""))),Y517=""Change"",0,Y517&lt;&gt;""Change"","""")"),"")</f>
        <v/>
      </c>
      <c r="N517" s="34" t="str">
        <f>IFERROR(__xludf.DUMMYFUNCTION("IF(Account!$F517&lt;&gt;"""", VALUE(REGEXREPLACE($I517, ""\,"", ""."")), """")"),"")</f>
        <v/>
      </c>
      <c r="O517" s="35" t="str">
        <f>IF(Account!$F517&lt;&gt;"", DATEVALUE(MID($A517,4,3) &amp; LEFT($A517,3) &amp; RIGHT($A517,4)) + TIMEVALUE($B517), "")</f>
        <v/>
      </c>
      <c r="P517" s="36" t="str">
        <f>IF(Account!$F517&lt;&gt;"", DATEVALUE(MID($C517,4,3) &amp; LEFT($C517,3) &amp; RIGHT($C517,4)), "")</f>
        <v/>
      </c>
      <c r="Q517" s="37" t="str">
        <f t="array" ref="Q517">IF($R517&lt;&gt;"",IFERROR(INDEX(ISIN!$B:$B,MATCH($R517,ISIN!$C:$C,0))),)</f>
        <v/>
      </c>
      <c r="R517" s="38" t="str">
        <f t="array" ref="R517">IF($E517&lt;&gt;"",IFERROR(INDEX(ISIN!$C:$C,MATCH($E517,ISIN!$A:$A,0)),IFERROR(INDEX($R518:$R1200,MATCH($K517,$K518:$K1200,0)))),IF(AND($Y517="change",$H517="EUR"),IF($O517=$O518,$R518,IF($O517=$O516,$R516)),IFERROR(INDEX($R518:$R1200,MATCH(SUBSTITUTE($I517,"-","",1),$K518:$K1200,0)))))</f>
        <v/>
      </c>
      <c r="S517" s="37" t="str">
        <f t="shared" si="1"/>
        <v/>
      </c>
      <c r="T517" s="39" t="str">
        <f t="shared" si="2"/>
        <v/>
      </c>
      <c r="U517" s="40" t="str">
        <f t="shared" si="3"/>
        <v/>
      </c>
      <c r="V517" s="34" t="str">
        <f t="shared" si="4"/>
        <v/>
      </c>
      <c r="W517" s="41" t="str">
        <f>IFERROR(__xludf.DUMMYFUNCTION(" IF(Account!$F517&lt;&gt;"""", SPLIT(Account!$F517, "" ""), """")"),"")</f>
        <v/>
      </c>
      <c r="X517" s="42"/>
      <c r="Y517" s="42"/>
      <c r="Z517" s="42"/>
      <c r="AA517" s="42"/>
      <c r="AB517" s="42"/>
      <c r="AC517" s="42"/>
      <c r="AD517" s="42"/>
      <c r="AE517" s="42"/>
      <c r="AF517" s="42"/>
      <c r="AG517" s="42"/>
      <c r="AH517" s="42"/>
      <c r="AI517" s="42"/>
      <c r="AJ517" s="42"/>
      <c r="AK517" s="42"/>
    </row>
    <row r="518">
      <c r="A518" s="20"/>
      <c r="B518" s="20"/>
      <c r="C518" s="20"/>
      <c r="D518" s="20"/>
      <c r="E518" s="20"/>
      <c r="F518" s="21"/>
      <c r="G518" s="45"/>
      <c r="H518" s="20"/>
      <c r="I518" s="20"/>
      <c r="J518" s="20"/>
      <c r="K518" s="20"/>
      <c r="L518" s="21"/>
      <c r="M518" s="33" t="str">
        <f>IFERROR(__xludf.DUMMYFUNCTION("IFS(W518=""Achat"",IFERROR(VALUE(X518),VALUE(REGEXREPLACE(T(X518),""[^0-9]"",""""))),W518=""Vente"",-IFERROR(VALUE(X518),VALUE(REGEXREPLACE(T(X518),""[^0-9]"",""""))),Y518=""Change"",0,Y518&lt;&gt;""Change"","""")"),"")</f>
        <v/>
      </c>
      <c r="N518" s="34" t="str">
        <f>IFERROR(__xludf.DUMMYFUNCTION("IF(Account!$F518&lt;&gt;"""", VALUE(REGEXREPLACE($I518, ""\,"", ""."")), """")"),"")</f>
        <v/>
      </c>
      <c r="O518" s="35" t="str">
        <f>IF(Account!$F518&lt;&gt;"", DATEVALUE(MID($A518,4,3) &amp; LEFT($A518,3) &amp; RIGHT($A518,4)) + TIMEVALUE($B518), "")</f>
        <v/>
      </c>
      <c r="P518" s="36" t="str">
        <f>IF(Account!$F518&lt;&gt;"", DATEVALUE(MID($C518,4,3) &amp; LEFT($C518,3) &amp; RIGHT($C518,4)), "")</f>
        <v/>
      </c>
      <c r="Q518" s="37" t="str">
        <f t="array" ref="Q518">IF($R518&lt;&gt;"",IFERROR(INDEX(ISIN!$B:$B,MATCH($R518,ISIN!$C:$C,0))),)</f>
        <v/>
      </c>
      <c r="R518" s="38" t="str">
        <f t="array" ref="R518">IF($E518&lt;&gt;"",IFERROR(INDEX(ISIN!$C:$C,MATCH($E518,ISIN!$A:$A,0)),IFERROR(INDEX($R519:$R1200,MATCH($K518,$K519:$K1200,0)))),IF(AND($Y518="change",$H518="EUR"),IF($O518=$O519,$R519,IF($O518=$O517,$R517)),IFERROR(INDEX($R519:$R1200,MATCH(SUBSTITUTE($I518,"-","",1),$K519:$K1200,0)))))</f>
        <v/>
      </c>
      <c r="S518" s="37" t="str">
        <f t="shared" si="1"/>
        <v/>
      </c>
      <c r="T518" s="39" t="str">
        <f t="shared" si="2"/>
        <v/>
      </c>
      <c r="U518" s="40" t="str">
        <f t="shared" si="3"/>
        <v/>
      </c>
      <c r="V518" s="34" t="str">
        <f t="shared" si="4"/>
        <v/>
      </c>
      <c r="W518" s="41" t="str">
        <f>IFERROR(__xludf.DUMMYFUNCTION(" IF(Account!$F518&lt;&gt;"""", SPLIT(Account!$F518, "" ""), """")"),"")</f>
        <v/>
      </c>
      <c r="X518" s="42"/>
      <c r="Y518" s="42"/>
      <c r="Z518" s="42"/>
      <c r="AA518" s="42"/>
      <c r="AB518" s="42"/>
      <c r="AC518" s="42"/>
      <c r="AD518" s="42"/>
      <c r="AE518" s="42"/>
      <c r="AF518" s="42"/>
      <c r="AG518" s="42"/>
      <c r="AH518" s="42"/>
      <c r="AI518" s="42"/>
      <c r="AJ518" s="42"/>
      <c r="AK518" s="42"/>
    </row>
    <row r="519">
      <c r="A519" s="20"/>
      <c r="B519" s="20"/>
      <c r="C519" s="20"/>
      <c r="D519" s="20"/>
      <c r="E519" s="20"/>
      <c r="F519" s="21"/>
      <c r="G519" s="45"/>
      <c r="H519" s="20"/>
      <c r="I519" s="20"/>
      <c r="J519" s="20"/>
      <c r="K519" s="20"/>
      <c r="L519" s="21"/>
      <c r="M519" s="33" t="str">
        <f>IFERROR(__xludf.DUMMYFUNCTION("IFS(W519=""Achat"",IFERROR(VALUE(X519),VALUE(REGEXREPLACE(T(X519),""[^0-9]"",""""))),W519=""Vente"",-IFERROR(VALUE(X519),VALUE(REGEXREPLACE(T(X519),""[^0-9]"",""""))),Y519=""Change"",0,Y519&lt;&gt;""Change"","""")"),"")</f>
        <v/>
      </c>
      <c r="N519" s="34" t="str">
        <f>IFERROR(__xludf.DUMMYFUNCTION("IF(Account!$F519&lt;&gt;"""", VALUE(REGEXREPLACE($I519, ""\,"", ""."")), """")"),"")</f>
        <v/>
      </c>
      <c r="O519" s="35" t="str">
        <f>IF(Account!$F519&lt;&gt;"", DATEVALUE(MID($A519,4,3) &amp; LEFT($A519,3) &amp; RIGHT($A519,4)) + TIMEVALUE($B519), "")</f>
        <v/>
      </c>
      <c r="P519" s="36" t="str">
        <f>IF(Account!$F519&lt;&gt;"", DATEVALUE(MID($C519,4,3) &amp; LEFT($C519,3) &amp; RIGHT($C519,4)), "")</f>
        <v/>
      </c>
      <c r="Q519" s="37" t="str">
        <f t="array" ref="Q519">IF($R519&lt;&gt;"",IFERROR(INDEX(ISIN!$B:$B,MATCH($R519,ISIN!$C:$C,0))),)</f>
        <v/>
      </c>
      <c r="R519" s="38" t="str">
        <f t="array" ref="R519">IF($E519&lt;&gt;"",IFERROR(INDEX(ISIN!$C:$C,MATCH($E519,ISIN!$A:$A,0)),IFERROR(INDEX($R520:$R1200,MATCH($K519,$K520:$K1200,0)))),IF(AND($Y519="change",$H519="EUR"),IF($O519=$O520,$R520,IF($O519=$O518,$R518)),IFERROR(INDEX($R520:$R1200,MATCH(SUBSTITUTE($I519,"-","",1),$K520:$K1200,0)))))</f>
        <v/>
      </c>
      <c r="S519" s="37" t="str">
        <f t="shared" si="1"/>
        <v/>
      </c>
      <c r="T519" s="39" t="str">
        <f t="shared" si="2"/>
        <v/>
      </c>
      <c r="U519" s="40" t="str">
        <f t="shared" si="3"/>
        <v/>
      </c>
      <c r="V519" s="34" t="str">
        <f t="shared" si="4"/>
        <v/>
      </c>
      <c r="W519" s="41" t="str">
        <f>IFERROR(__xludf.DUMMYFUNCTION(" IF(Account!$F519&lt;&gt;"""", SPLIT(Account!$F519, "" ""), """")"),"")</f>
        <v/>
      </c>
      <c r="X519" s="42"/>
      <c r="Y519" s="42"/>
      <c r="Z519" s="42"/>
      <c r="AA519" s="42"/>
      <c r="AB519" s="42"/>
      <c r="AC519" s="42"/>
      <c r="AD519" s="42"/>
      <c r="AE519" s="42"/>
      <c r="AF519" s="42"/>
      <c r="AG519" s="42"/>
      <c r="AH519" s="42"/>
      <c r="AI519" s="42"/>
      <c r="AJ519" s="42"/>
      <c r="AK519" s="42"/>
    </row>
    <row r="520">
      <c r="A520" s="20"/>
      <c r="B520" s="20"/>
      <c r="C520" s="20"/>
      <c r="D520" s="20"/>
      <c r="E520" s="20"/>
      <c r="F520" s="21"/>
      <c r="G520" s="45"/>
      <c r="H520" s="20"/>
      <c r="I520" s="20"/>
      <c r="J520" s="20"/>
      <c r="K520" s="20"/>
      <c r="L520" s="21"/>
      <c r="M520" s="33" t="str">
        <f>IFERROR(__xludf.DUMMYFUNCTION("IFS(W520=""Achat"",IFERROR(VALUE(X520),VALUE(REGEXREPLACE(T(X520),""[^0-9]"",""""))),W520=""Vente"",-IFERROR(VALUE(X520),VALUE(REGEXREPLACE(T(X520),""[^0-9]"",""""))),Y520=""Change"",0,Y520&lt;&gt;""Change"","""")"),"")</f>
        <v/>
      </c>
      <c r="N520" s="34" t="str">
        <f>IFERROR(__xludf.DUMMYFUNCTION("IF(Account!$F520&lt;&gt;"""", VALUE(REGEXREPLACE($I520, ""\,"", ""."")), """")"),"")</f>
        <v/>
      </c>
      <c r="O520" s="35" t="str">
        <f>IF(Account!$F520&lt;&gt;"", DATEVALUE(MID($A520,4,3) &amp; LEFT($A520,3) &amp; RIGHT($A520,4)) + TIMEVALUE($B520), "")</f>
        <v/>
      </c>
      <c r="P520" s="36" t="str">
        <f>IF(Account!$F520&lt;&gt;"", DATEVALUE(MID($C520,4,3) &amp; LEFT($C520,3) &amp; RIGHT($C520,4)), "")</f>
        <v/>
      </c>
      <c r="Q520" s="37" t="str">
        <f t="array" ref="Q520">IF($R520&lt;&gt;"",IFERROR(INDEX(ISIN!$B:$B,MATCH($R520,ISIN!$C:$C,0))),)</f>
        <v/>
      </c>
      <c r="R520" s="38" t="str">
        <f t="array" ref="R520">IF($E520&lt;&gt;"",IFERROR(INDEX(ISIN!$C:$C,MATCH($E520,ISIN!$A:$A,0)),IFERROR(INDEX($R521:$R1200,MATCH($K520,$K521:$K1200,0)))),IF(AND($Y520="change",$H520="EUR"),IF($O520=$O521,$R521,IF($O520=$O519,$R519)),IFERROR(INDEX($R521:$R1200,MATCH(SUBSTITUTE($I520,"-","",1),$K521:$K1200,0)))))</f>
        <v/>
      </c>
      <c r="S520" s="37" t="str">
        <f t="shared" si="1"/>
        <v/>
      </c>
      <c r="T520" s="39" t="str">
        <f t="shared" si="2"/>
        <v/>
      </c>
      <c r="U520" s="40" t="str">
        <f t="shared" si="3"/>
        <v/>
      </c>
      <c r="V520" s="34" t="str">
        <f t="shared" si="4"/>
        <v/>
      </c>
      <c r="W520" s="41" t="str">
        <f>IFERROR(__xludf.DUMMYFUNCTION(" IF(Account!$F520&lt;&gt;"""", SPLIT(Account!$F520, "" ""), """")"),"")</f>
        <v/>
      </c>
      <c r="X520" s="42"/>
      <c r="Y520" s="42"/>
      <c r="Z520" s="42"/>
      <c r="AA520" s="42"/>
      <c r="AB520" s="42"/>
      <c r="AC520" s="42"/>
      <c r="AD520" s="42"/>
      <c r="AE520" s="42"/>
      <c r="AF520" s="42"/>
      <c r="AG520" s="42"/>
      <c r="AH520" s="42"/>
      <c r="AI520" s="42"/>
      <c r="AJ520" s="42"/>
      <c r="AK520" s="42"/>
    </row>
    <row r="521">
      <c r="A521" s="20"/>
      <c r="B521" s="20"/>
      <c r="C521" s="20"/>
      <c r="D521" s="20"/>
      <c r="E521" s="20"/>
      <c r="F521" s="21"/>
      <c r="G521" s="45"/>
      <c r="H521" s="20"/>
      <c r="I521" s="20"/>
      <c r="J521" s="20"/>
      <c r="K521" s="20"/>
      <c r="L521" s="21"/>
      <c r="M521" s="33" t="str">
        <f>IFERROR(__xludf.DUMMYFUNCTION("IFS(W521=""Achat"",IFERROR(VALUE(X521),VALUE(REGEXREPLACE(T(X521),""[^0-9]"",""""))),W521=""Vente"",-IFERROR(VALUE(X521),VALUE(REGEXREPLACE(T(X521),""[^0-9]"",""""))),Y521=""Change"",0,Y521&lt;&gt;""Change"","""")"),"")</f>
        <v/>
      </c>
      <c r="N521" s="34" t="str">
        <f>IFERROR(__xludf.DUMMYFUNCTION("IF(Account!$F521&lt;&gt;"""", VALUE(REGEXREPLACE($I521, ""\,"", ""."")), """")"),"")</f>
        <v/>
      </c>
      <c r="O521" s="35" t="str">
        <f>IF(Account!$F521&lt;&gt;"", DATEVALUE(MID($A521,4,3) &amp; LEFT($A521,3) &amp; RIGHT($A521,4)) + TIMEVALUE($B521), "")</f>
        <v/>
      </c>
      <c r="P521" s="36" t="str">
        <f>IF(Account!$F521&lt;&gt;"", DATEVALUE(MID($C521,4,3) &amp; LEFT($C521,3) &amp; RIGHT($C521,4)), "")</f>
        <v/>
      </c>
      <c r="Q521" s="37" t="str">
        <f t="array" ref="Q521">IF($R521&lt;&gt;"",IFERROR(INDEX(ISIN!$B:$B,MATCH($R521,ISIN!$C:$C,0))),)</f>
        <v/>
      </c>
      <c r="R521" s="38" t="str">
        <f t="array" ref="R521">IF($E521&lt;&gt;"",IFERROR(INDEX(ISIN!$C:$C,MATCH($E521,ISIN!$A:$A,0)),IFERROR(INDEX($R522:$R1200,MATCH($K521,$K522:$K1200,0)))),IF(AND($Y521="change",$H521="EUR"),IF($O521=$O522,$R522,IF($O521=$O520,$R520)),IFERROR(INDEX($R522:$R1200,MATCH(SUBSTITUTE($I521,"-","",1),$K522:$K1200,0)))))</f>
        <v/>
      </c>
      <c r="S521" s="37" t="str">
        <f t="shared" si="1"/>
        <v/>
      </c>
      <c r="T521" s="39" t="str">
        <f t="shared" si="2"/>
        <v/>
      </c>
      <c r="U521" s="40" t="str">
        <f t="shared" si="3"/>
        <v/>
      </c>
      <c r="V521" s="34" t="str">
        <f t="shared" si="4"/>
        <v/>
      </c>
      <c r="W521" s="41" t="str">
        <f>IFERROR(__xludf.DUMMYFUNCTION(" IF(Account!$F521&lt;&gt;"""", SPLIT(Account!$F521, "" ""), """")"),"")</f>
        <v/>
      </c>
      <c r="X521" s="42"/>
      <c r="Y521" s="42"/>
      <c r="Z521" s="42"/>
      <c r="AA521" s="42"/>
      <c r="AB521" s="42"/>
      <c r="AC521" s="42"/>
      <c r="AD521" s="42"/>
      <c r="AE521" s="42"/>
      <c r="AF521" s="42"/>
      <c r="AG521" s="42"/>
      <c r="AH521" s="42"/>
      <c r="AI521" s="42"/>
      <c r="AJ521" s="42"/>
      <c r="AK521" s="42"/>
    </row>
    <row r="522">
      <c r="A522" s="20"/>
      <c r="B522" s="20"/>
      <c r="C522" s="20"/>
      <c r="D522" s="20"/>
      <c r="E522" s="20"/>
      <c r="F522" s="21"/>
      <c r="G522" s="20"/>
      <c r="H522" s="20"/>
      <c r="I522" s="20"/>
      <c r="J522" s="20"/>
      <c r="K522" s="20"/>
      <c r="L522" s="21"/>
      <c r="M522" s="33" t="str">
        <f>IFERROR(__xludf.DUMMYFUNCTION("IFS(W522=""Achat"",IFERROR(VALUE(X522),VALUE(REGEXREPLACE(T(X522),""[^0-9]"",""""))),W522=""Vente"",-IFERROR(VALUE(X522),VALUE(REGEXREPLACE(T(X522),""[^0-9]"",""""))),Y522=""Change"",0,Y522&lt;&gt;""Change"","""")"),"")</f>
        <v/>
      </c>
      <c r="N522" s="34" t="str">
        <f>IFERROR(__xludf.DUMMYFUNCTION("IF(Account!$F522&lt;&gt;"""", VALUE(REGEXREPLACE($I522, ""\,"", ""."")), """")"),"")</f>
        <v/>
      </c>
      <c r="O522" s="35" t="str">
        <f>IF(Account!$F522&lt;&gt;"", DATEVALUE(MID($A522,4,3) &amp; LEFT($A522,3) &amp; RIGHT($A522,4)) + TIMEVALUE($B522), "")</f>
        <v/>
      </c>
      <c r="P522" s="36" t="str">
        <f>IF(Account!$F522&lt;&gt;"", DATEVALUE(MID($C522,4,3) &amp; LEFT($C522,3) &amp; RIGHT($C522,4)), "")</f>
        <v/>
      </c>
      <c r="Q522" s="37" t="str">
        <f t="array" ref="Q522">IF($R522&lt;&gt;"",IFERROR(INDEX(ISIN!$B:$B,MATCH($R522,ISIN!$C:$C,0))),)</f>
        <v/>
      </c>
      <c r="R522" s="38" t="str">
        <f t="array" ref="R522">IF($E522&lt;&gt;"",IFERROR(INDEX(ISIN!$C:$C,MATCH($E522,ISIN!$A:$A,0)),IFERROR(INDEX($R523:$R1200,MATCH($K522,$K523:$K1200,0)))),IF(AND($Y522="change",$H522="EUR"),IF($O522=$O523,$R523,IF($O522=$O521,$R521)),IFERROR(INDEX($R523:$R1200,MATCH(SUBSTITUTE($I522,"-","",1),$K523:$K1200,0)))))</f>
        <v/>
      </c>
      <c r="S522" s="37" t="str">
        <f t="shared" si="1"/>
        <v/>
      </c>
      <c r="T522" s="39" t="str">
        <f t="shared" si="2"/>
        <v/>
      </c>
      <c r="U522" s="40" t="str">
        <f t="shared" si="3"/>
        <v/>
      </c>
      <c r="V522" s="34" t="str">
        <f t="shared" si="4"/>
        <v/>
      </c>
      <c r="W522" s="41" t="str">
        <f>IFERROR(__xludf.DUMMYFUNCTION(" IF(Account!$F522&lt;&gt;"""", SPLIT(Account!$F522, "" ""), """")"),"")</f>
        <v/>
      </c>
      <c r="X522" s="42"/>
      <c r="Y522" s="42"/>
      <c r="Z522" s="42"/>
      <c r="AA522" s="42"/>
      <c r="AB522" s="42"/>
      <c r="AC522" s="42"/>
      <c r="AD522" s="42"/>
      <c r="AE522" s="42"/>
      <c r="AF522" s="42"/>
      <c r="AG522" s="42"/>
      <c r="AH522" s="42"/>
      <c r="AI522" s="42"/>
      <c r="AJ522" s="42"/>
      <c r="AK522" s="42"/>
    </row>
    <row r="523">
      <c r="A523" s="20"/>
      <c r="B523" s="20"/>
      <c r="C523" s="20"/>
      <c r="D523" s="20"/>
      <c r="E523" s="20"/>
      <c r="F523" s="21"/>
      <c r="G523" s="45"/>
      <c r="H523" s="20"/>
      <c r="I523" s="20"/>
      <c r="J523" s="20"/>
      <c r="K523" s="20"/>
      <c r="L523" s="21"/>
      <c r="M523" s="33" t="str">
        <f>IFERROR(__xludf.DUMMYFUNCTION("IFS(W523=""Achat"",IFERROR(VALUE(X523),VALUE(REGEXREPLACE(T(X523),""[^0-9]"",""""))),W523=""Vente"",-IFERROR(VALUE(X523),VALUE(REGEXREPLACE(T(X523),""[^0-9]"",""""))),Y523=""Change"",0,Y523&lt;&gt;""Change"","""")"),"")</f>
        <v/>
      </c>
      <c r="N523" s="34" t="str">
        <f>IFERROR(__xludf.DUMMYFUNCTION("IF(Account!$F523&lt;&gt;"""", VALUE(REGEXREPLACE($I523, ""\,"", ""."")), """")"),"")</f>
        <v/>
      </c>
      <c r="O523" s="35" t="str">
        <f>IF(Account!$F523&lt;&gt;"", DATEVALUE(MID($A523,4,3) &amp; LEFT($A523,3) &amp; RIGHT($A523,4)) + TIMEVALUE($B523), "")</f>
        <v/>
      </c>
      <c r="P523" s="36" t="str">
        <f>IF(Account!$F523&lt;&gt;"", DATEVALUE(MID($C523,4,3) &amp; LEFT($C523,3) &amp; RIGHT($C523,4)), "")</f>
        <v/>
      </c>
      <c r="Q523" s="37" t="str">
        <f t="array" ref="Q523">IF($R523&lt;&gt;"",IFERROR(INDEX(ISIN!$B:$B,MATCH($R523,ISIN!$C:$C,0))),)</f>
        <v/>
      </c>
      <c r="R523" s="38" t="str">
        <f t="array" ref="R523">IF($E523&lt;&gt;"",IFERROR(INDEX(ISIN!$C:$C,MATCH($E523,ISIN!$A:$A,0)),IFERROR(INDEX($R524:$R1200,MATCH($K523,$K524:$K1200,0)))),IF(AND($Y523="change",$H523="EUR"),IF($O523=$O524,$R524,IF($O523=$O522,$R522)),IFERROR(INDEX($R524:$R1200,MATCH(SUBSTITUTE($I523,"-","",1),$K524:$K1200,0)))))</f>
        <v/>
      </c>
      <c r="S523" s="37" t="str">
        <f t="shared" si="1"/>
        <v/>
      </c>
      <c r="T523" s="39" t="str">
        <f t="shared" si="2"/>
        <v/>
      </c>
      <c r="U523" s="40" t="str">
        <f t="shared" si="3"/>
        <v/>
      </c>
      <c r="V523" s="34" t="str">
        <f t="shared" si="4"/>
        <v/>
      </c>
      <c r="W523" s="41" t="str">
        <f>IFERROR(__xludf.DUMMYFUNCTION(" IF(Account!$F523&lt;&gt;"""", SPLIT(Account!$F523, "" ""), """")"),"")</f>
        <v/>
      </c>
      <c r="X523" s="42"/>
      <c r="Y523" s="42"/>
      <c r="Z523" s="42"/>
      <c r="AA523" s="42"/>
      <c r="AB523" s="42"/>
      <c r="AC523" s="42"/>
      <c r="AD523" s="42"/>
      <c r="AE523" s="42"/>
      <c r="AF523" s="42"/>
      <c r="AG523" s="42"/>
      <c r="AH523" s="42"/>
      <c r="AI523" s="42"/>
      <c r="AJ523" s="42"/>
      <c r="AK523" s="42"/>
    </row>
    <row r="524">
      <c r="A524" s="20"/>
      <c r="B524" s="20"/>
      <c r="C524" s="20"/>
      <c r="D524" s="20"/>
      <c r="E524" s="20"/>
      <c r="F524" s="21"/>
      <c r="G524" s="45"/>
      <c r="H524" s="20"/>
      <c r="I524" s="20"/>
      <c r="J524" s="20"/>
      <c r="K524" s="20"/>
      <c r="L524" s="21"/>
      <c r="M524" s="33" t="str">
        <f>IFERROR(__xludf.DUMMYFUNCTION("IFS(W524=""Achat"",IFERROR(VALUE(X524),VALUE(REGEXREPLACE(T(X524),""[^0-9]"",""""))),W524=""Vente"",-IFERROR(VALUE(X524),VALUE(REGEXREPLACE(T(X524),""[^0-9]"",""""))),Y524=""Change"",0,Y524&lt;&gt;""Change"","""")"),"")</f>
        <v/>
      </c>
      <c r="N524" s="34" t="str">
        <f>IFERROR(__xludf.DUMMYFUNCTION("IF(Account!$F524&lt;&gt;"""", VALUE(REGEXREPLACE($I524, ""\,"", ""."")), """")"),"")</f>
        <v/>
      </c>
      <c r="O524" s="35" t="str">
        <f>IF(Account!$F524&lt;&gt;"", DATEVALUE(MID($A524,4,3) &amp; LEFT($A524,3) &amp; RIGHT($A524,4)) + TIMEVALUE($B524), "")</f>
        <v/>
      </c>
      <c r="P524" s="36" t="str">
        <f>IF(Account!$F524&lt;&gt;"", DATEVALUE(MID($C524,4,3) &amp; LEFT($C524,3) &amp; RIGHT($C524,4)), "")</f>
        <v/>
      </c>
      <c r="Q524" s="37" t="str">
        <f t="array" ref="Q524">IF($R524&lt;&gt;"",IFERROR(INDEX(ISIN!$B:$B,MATCH($R524,ISIN!$C:$C,0))),)</f>
        <v/>
      </c>
      <c r="R524" s="38" t="str">
        <f t="array" ref="R524">IF($E524&lt;&gt;"",IFERROR(INDEX(ISIN!$C:$C,MATCH($E524,ISIN!$A:$A,0)),IFERROR(INDEX($R525:$R1200,MATCH($K524,$K525:$K1200,0)))),IF(AND($Y524="change",$H524="EUR"),IF($O524=$O525,$R525,IF($O524=$O523,$R523)),IFERROR(INDEX($R525:$R1200,MATCH(SUBSTITUTE($I524,"-","",1),$K525:$K1200,0)))))</f>
        <v/>
      </c>
      <c r="S524" s="37" t="str">
        <f t="shared" si="1"/>
        <v/>
      </c>
      <c r="T524" s="39" t="str">
        <f t="shared" si="2"/>
        <v/>
      </c>
      <c r="U524" s="40" t="str">
        <f t="shared" si="3"/>
        <v/>
      </c>
      <c r="V524" s="34" t="str">
        <f t="shared" si="4"/>
        <v/>
      </c>
      <c r="W524" s="41" t="str">
        <f>IFERROR(__xludf.DUMMYFUNCTION(" IF(Account!$F524&lt;&gt;"""", SPLIT(Account!$F524, "" ""), """")"),"")</f>
        <v/>
      </c>
      <c r="X524" s="42"/>
      <c r="Y524" s="42"/>
      <c r="Z524" s="42"/>
      <c r="AA524" s="42"/>
      <c r="AB524" s="42"/>
      <c r="AC524" s="42"/>
      <c r="AD524" s="42"/>
      <c r="AE524" s="42"/>
      <c r="AF524" s="42"/>
      <c r="AG524" s="42"/>
      <c r="AH524" s="42"/>
      <c r="AI524" s="42"/>
      <c r="AJ524" s="42"/>
      <c r="AK524" s="42"/>
    </row>
    <row r="525">
      <c r="A525" s="20"/>
      <c r="B525" s="20"/>
      <c r="C525" s="20"/>
      <c r="D525" s="20"/>
      <c r="E525" s="20"/>
      <c r="F525" s="21"/>
      <c r="G525" s="20"/>
      <c r="H525" s="20"/>
      <c r="I525" s="20"/>
      <c r="J525" s="20"/>
      <c r="K525" s="20"/>
      <c r="L525" s="21"/>
      <c r="M525" s="33" t="str">
        <f>IFERROR(__xludf.DUMMYFUNCTION("IFS(W525=""Achat"",IFERROR(VALUE(X525),VALUE(REGEXREPLACE(T(X525),""[^0-9]"",""""))),W525=""Vente"",-IFERROR(VALUE(X525),VALUE(REGEXREPLACE(T(X525),""[^0-9]"",""""))),Y525=""Change"",0,Y525&lt;&gt;""Change"","""")"),"")</f>
        <v/>
      </c>
      <c r="N525" s="34" t="str">
        <f>IFERROR(__xludf.DUMMYFUNCTION("IF(Account!$F525&lt;&gt;"""", VALUE(REGEXREPLACE($I525, ""\,"", ""."")), """")"),"")</f>
        <v/>
      </c>
      <c r="O525" s="35" t="str">
        <f>IF(Account!$F525&lt;&gt;"", DATEVALUE(MID($A525,4,3) &amp; LEFT($A525,3) &amp; RIGHT($A525,4)) + TIMEVALUE($B525), "")</f>
        <v/>
      </c>
      <c r="P525" s="36" t="str">
        <f>IF(Account!$F525&lt;&gt;"", DATEVALUE(MID($C525,4,3) &amp; LEFT($C525,3) &amp; RIGHT($C525,4)), "")</f>
        <v/>
      </c>
      <c r="Q525" s="37" t="str">
        <f t="array" ref="Q525">IF($R525&lt;&gt;"",IFERROR(INDEX(ISIN!$B:$B,MATCH($R525,ISIN!$C:$C,0))),)</f>
        <v/>
      </c>
      <c r="R525" s="38" t="str">
        <f t="array" ref="R525">IF($E525&lt;&gt;"",IFERROR(INDEX(ISIN!$C:$C,MATCH($E525,ISIN!$A:$A,0)),IFERROR(INDEX($R526:$R1200,MATCH($K525,$K526:$K1200,0)))),IF(AND($Y525="change",$H525="EUR"),IF($O525=$O526,$R526,IF($O525=$O524,$R524)),IFERROR(INDEX($R526:$R1200,MATCH(SUBSTITUTE($I525,"-","",1),$K526:$K1200,0)))))</f>
        <v/>
      </c>
      <c r="S525" s="37" t="str">
        <f t="shared" si="1"/>
        <v/>
      </c>
      <c r="T525" s="39" t="str">
        <f t="shared" si="2"/>
        <v/>
      </c>
      <c r="U525" s="40" t="str">
        <f t="shared" si="3"/>
        <v/>
      </c>
      <c r="V525" s="34" t="str">
        <f t="shared" si="4"/>
        <v/>
      </c>
      <c r="W525" s="41" t="str">
        <f>IFERROR(__xludf.DUMMYFUNCTION(" IF(Account!$F525&lt;&gt;"""", SPLIT(Account!$F525, "" ""), """")"),"")</f>
        <v/>
      </c>
      <c r="X525" s="42"/>
      <c r="Y525" s="42"/>
      <c r="Z525" s="42"/>
      <c r="AA525" s="42"/>
      <c r="AB525" s="42"/>
      <c r="AC525" s="42"/>
      <c r="AD525" s="42"/>
      <c r="AE525" s="42"/>
      <c r="AF525" s="42"/>
      <c r="AG525" s="42"/>
      <c r="AH525" s="42"/>
      <c r="AI525" s="42"/>
      <c r="AJ525" s="42"/>
      <c r="AK525" s="42"/>
    </row>
    <row r="526">
      <c r="A526" s="20"/>
      <c r="B526" s="20"/>
      <c r="C526" s="20"/>
      <c r="D526" s="20"/>
      <c r="E526" s="20"/>
      <c r="F526" s="21"/>
      <c r="G526" s="45"/>
      <c r="H526" s="20"/>
      <c r="I526" s="20"/>
      <c r="J526" s="20"/>
      <c r="K526" s="20"/>
      <c r="L526" s="21"/>
      <c r="M526" s="33" t="str">
        <f>IFERROR(__xludf.DUMMYFUNCTION("IFS(W526=""Achat"",IFERROR(VALUE(X526),VALUE(REGEXREPLACE(T(X526),""[^0-9]"",""""))),W526=""Vente"",-IFERROR(VALUE(X526),VALUE(REGEXREPLACE(T(X526),""[^0-9]"",""""))),Y526=""Change"",0,Y526&lt;&gt;""Change"","""")"),"")</f>
        <v/>
      </c>
      <c r="N526" s="34" t="str">
        <f>IFERROR(__xludf.DUMMYFUNCTION("IF(Account!$F526&lt;&gt;"""", VALUE(REGEXREPLACE($I526, ""\,"", ""."")), """")"),"")</f>
        <v/>
      </c>
      <c r="O526" s="35" t="str">
        <f>IF(Account!$F526&lt;&gt;"", DATEVALUE(MID($A526,4,3) &amp; LEFT($A526,3) &amp; RIGHT($A526,4)) + TIMEVALUE($B526), "")</f>
        <v/>
      </c>
      <c r="P526" s="36" t="str">
        <f>IF(Account!$F526&lt;&gt;"", DATEVALUE(MID($C526,4,3) &amp; LEFT($C526,3) &amp; RIGHT($C526,4)), "")</f>
        <v/>
      </c>
      <c r="Q526" s="37" t="str">
        <f t="array" ref="Q526">IF($R526&lt;&gt;"",IFERROR(INDEX(ISIN!$B:$B,MATCH($R526,ISIN!$C:$C,0))),)</f>
        <v/>
      </c>
      <c r="R526" s="38" t="str">
        <f t="array" ref="R526">IF($E526&lt;&gt;"",IFERROR(INDEX(ISIN!$C:$C,MATCH($E526,ISIN!$A:$A,0)),IFERROR(INDEX($R527:$R1200,MATCH($K526,$K527:$K1200,0)))),IF(AND($Y526="change",$H526="EUR"),IF($O526=$O527,$R527,IF($O526=$O525,$R525)),IFERROR(INDEX($R527:$R1200,MATCH(SUBSTITUTE($I526,"-","",1),$K527:$K1200,0)))))</f>
        <v/>
      </c>
      <c r="S526" s="37" t="str">
        <f t="shared" si="1"/>
        <v/>
      </c>
      <c r="T526" s="39" t="str">
        <f t="shared" si="2"/>
        <v/>
      </c>
      <c r="U526" s="40" t="str">
        <f t="shared" si="3"/>
        <v/>
      </c>
      <c r="V526" s="34" t="str">
        <f t="shared" si="4"/>
        <v/>
      </c>
      <c r="W526" s="41" t="str">
        <f>IFERROR(__xludf.DUMMYFUNCTION(" IF(Account!$F526&lt;&gt;"""", SPLIT(Account!$F526, "" ""), """")"),"")</f>
        <v/>
      </c>
      <c r="X526" s="42"/>
      <c r="Y526" s="42"/>
      <c r="Z526" s="42"/>
      <c r="AA526" s="42"/>
      <c r="AB526" s="42"/>
      <c r="AC526" s="42"/>
      <c r="AD526" s="42"/>
      <c r="AE526" s="42"/>
      <c r="AF526" s="42"/>
      <c r="AG526" s="42"/>
      <c r="AH526" s="42"/>
      <c r="AI526" s="42"/>
      <c r="AJ526" s="42"/>
      <c r="AK526" s="42"/>
    </row>
    <row r="527">
      <c r="A527" s="20"/>
      <c r="B527" s="20"/>
      <c r="C527" s="20"/>
      <c r="D527" s="20"/>
      <c r="E527" s="20"/>
      <c r="F527" s="21"/>
      <c r="G527" s="45"/>
      <c r="H527" s="20"/>
      <c r="I527" s="20"/>
      <c r="J527" s="20"/>
      <c r="K527" s="20"/>
      <c r="L527" s="21"/>
      <c r="M527" s="33" t="str">
        <f>IFERROR(__xludf.DUMMYFUNCTION("IFS(W527=""Achat"",IFERROR(VALUE(X527),VALUE(REGEXREPLACE(T(X527),""[^0-9]"",""""))),W527=""Vente"",-IFERROR(VALUE(X527),VALUE(REGEXREPLACE(T(X527),""[^0-9]"",""""))),Y527=""Change"",0,Y527&lt;&gt;""Change"","""")"),"")</f>
        <v/>
      </c>
      <c r="N527" s="34" t="str">
        <f>IFERROR(__xludf.DUMMYFUNCTION("IF(Account!$F527&lt;&gt;"""", VALUE(REGEXREPLACE($I527, ""\,"", ""."")), """")"),"")</f>
        <v/>
      </c>
      <c r="O527" s="35" t="str">
        <f>IF(Account!$F527&lt;&gt;"", DATEVALUE(MID($A527,4,3) &amp; LEFT($A527,3) &amp; RIGHT($A527,4)) + TIMEVALUE($B527), "")</f>
        <v/>
      </c>
      <c r="P527" s="36" t="str">
        <f>IF(Account!$F527&lt;&gt;"", DATEVALUE(MID($C527,4,3) &amp; LEFT($C527,3) &amp; RIGHT($C527,4)), "")</f>
        <v/>
      </c>
      <c r="Q527" s="37" t="str">
        <f t="array" ref="Q527">IF($R527&lt;&gt;"",IFERROR(INDEX(ISIN!$B:$B,MATCH($R527,ISIN!$C:$C,0))),)</f>
        <v/>
      </c>
      <c r="R527" s="38" t="str">
        <f t="array" ref="R527">IF($E527&lt;&gt;"",IFERROR(INDEX(ISIN!$C:$C,MATCH($E527,ISIN!$A:$A,0)),IFERROR(INDEX($R528:$R1200,MATCH($K527,$K528:$K1200,0)))),IF(AND($Y527="change",$H527="EUR"),IF($O527=$O528,$R528,IF($O527=$O526,$R526)),IFERROR(INDEX($R528:$R1200,MATCH(SUBSTITUTE($I527,"-","",1),$K528:$K1200,0)))))</f>
        <v/>
      </c>
      <c r="S527" s="37" t="str">
        <f t="shared" si="1"/>
        <v/>
      </c>
      <c r="T527" s="39" t="str">
        <f t="shared" si="2"/>
        <v/>
      </c>
      <c r="U527" s="40" t="str">
        <f t="shared" si="3"/>
        <v/>
      </c>
      <c r="V527" s="34" t="str">
        <f t="shared" si="4"/>
        <v/>
      </c>
      <c r="W527" s="41" t="str">
        <f>IFERROR(__xludf.DUMMYFUNCTION(" IF(Account!$F527&lt;&gt;"""", SPLIT(Account!$F527, "" ""), """")"),"")</f>
        <v/>
      </c>
      <c r="X527" s="42"/>
      <c r="Y527" s="42"/>
      <c r="Z527" s="42"/>
      <c r="AA527" s="42"/>
      <c r="AB527" s="42"/>
      <c r="AC527" s="42"/>
      <c r="AD527" s="42"/>
      <c r="AE527" s="42"/>
      <c r="AF527" s="42"/>
      <c r="AG527" s="42"/>
      <c r="AH527" s="42"/>
      <c r="AI527" s="42"/>
      <c r="AJ527" s="42"/>
      <c r="AK527" s="42"/>
    </row>
    <row r="528">
      <c r="A528" s="20"/>
      <c r="B528" s="20"/>
      <c r="C528" s="20"/>
      <c r="D528" s="20"/>
      <c r="E528" s="20"/>
      <c r="F528" s="21"/>
      <c r="G528" s="20"/>
      <c r="H528" s="20"/>
      <c r="I528" s="20"/>
      <c r="J528" s="20"/>
      <c r="K528" s="20"/>
      <c r="L528" s="21"/>
      <c r="M528" s="33" t="str">
        <f>IFERROR(__xludf.DUMMYFUNCTION("IFS(W528=""Achat"",IFERROR(VALUE(X528),VALUE(REGEXREPLACE(T(X528),""[^0-9]"",""""))),W528=""Vente"",-IFERROR(VALUE(X528),VALUE(REGEXREPLACE(T(X528),""[^0-9]"",""""))),Y528=""Change"",0,Y528&lt;&gt;""Change"","""")"),"")</f>
        <v/>
      </c>
      <c r="N528" s="34" t="str">
        <f>IFERROR(__xludf.DUMMYFUNCTION("IF(Account!$F528&lt;&gt;"""", VALUE(REGEXREPLACE($I528, ""\,"", ""."")), """")"),"")</f>
        <v/>
      </c>
      <c r="O528" s="35" t="str">
        <f>IF(Account!$F528&lt;&gt;"", DATEVALUE(MID($A528,4,3) &amp; LEFT($A528,3) &amp; RIGHT($A528,4)) + TIMEVALUE($B528), "")</f>
        <v/>
      </c>
      <c r="P528" s="36" t="str">
        <f>IF(Account!$F528&lt;&gt;"", DATEVALUE(MID($C528,4,3) &amp; LEFT($C528,3) &amp; RIGHT($C528,4)), "")</f>
        <v/>
      </c>
      <c r="Q528" s="37" t="str">
        <f t="array" ref="Q528">IF($R528&lt;&gt;"",IFERROR(INDEX(ISIN!$B:$B,MATCH($R528,ISIN!$C:$C,0))),)</f>
        <v/>
      </c>
      <c r="R528" s="38" t="str">
        <f t="array" ref="R528">IF($E528&lt;&gt;"",IFERROR(INDEX(ISIN!$C:$C,MATCH($E528,ISIN!$A:$A,0)),IFERROR(INDEX($R529:$R1200,MATCH($K528,$K529:$K1200,0)))),IF(AND($Y528="change",$H528="EUR"),IF($O528=$O529,$R529,IF($O528=$O527,$R527)),IFERROR(INDEX($R529:$R1200,MATCH(SUBSTITUTE($I528,"-","",1),$K529:$K1200,0)))))</f>
        <v/>
      </c>
      <c r="S528" s="37" t="str">
        <f t="shared" si="1"/>
        <v/>
      </c>
      <c r="T528" s="39" t="str">
        <f t="shared" si="2"/>
        <v/>
      </c>
      <c r="U528" s="40" t="str">
        <f t="shared" si="3"/>
        <v/>
      </c>
      <c r="V528" s="34" t="str">
        <f t="shared" si="4"/>
        <v/>
      </c>
      <c r="W528" s="41" t="str">
        <f>IFERROR(__xludf.DUMMYFUNCTION(" IF(Account!$F528&lt;&gt;"""", SPLIT(Account!$F528, "" ""), """")"),"")</f>
        <v/>
      </c>
      <c r="X528" s="42"/>
      <c r="Y528" s="42"/>
      <c r="Z528" s="42"/>
      <c r="AA528" s="42"/>
      <c r="AB528" s="42"/>
      <c r="AC528" s="42"/>
      <c r="AD528" s="42"/>
      <c r="AE528" s="42"/>
      <c r="AF528" s="42"/>
      <c r="AG528" s="42"/>
      <c r="AH528" s="42"/>
      <c r="AI528" s="42"/>
      <c r="AJ528" s="42"/>
      <c r="AK528" s="42"/>
    </row>
    <row r="529">
      <c r="A529" s="20"/>
      <c r="B529" s="20"/>
      <c r="C529" s="20"/>
      <c r="D529" s="20"/>
      <c r="E529" s="20"/>
      <c r="F529" s="21"/>
      <c r="G529" s="45"/>
      <c r="H529" s="20"/>
      <c r="I529" s="20"/>
      <c r="J529" s="20"/>
      <c r="K529" s="20"/>
      <c r="L529" s="21"/>
      <c r="M529" s="33" t="str">
        <f>IFERROR(__xludf.DUMMYFUNCTION("IFS(W529=""Achat"",IFERROR(VALUE(X529),VALUE(REGEXREPLACE(T(X529),""[^0-9]"",""""))),W529=""Vente"",-IFERROR(VALUE(X529),VALUE(REGEXREPLACE(T(X529),""[^0-9]"",""""))),Y529=""Change"",0,Y529&lt;&gt;""Change"","""")"),"")</f>
        <v/>
      </c>
      <c r="N529" s="34" t="str">
        <f>IFERROR(__xludf.DUMMYFUNCTION("IF(Account!$F529&lt;&gt;"""", VALUE(REGEXREPLACE($I529, ""\,"", ""."")), """")"),"")</f>
        <v/>
      </c>
      <c r="O529" s="35" t="str">
        <f>IF(Account!$F529&lt;&gt;"", DATEVALUE(MID($A529,4,3) &amp; LEFT($A529,3) &amp; RIGHT($A529,4)) + TIMEVALUE($B529), "")</f>
        <v/>
      </c>
      <c r="P529" s="36" t="str">
        <f>IF(Account!$F529&lt;&gt;"", DATEVALUE(MID($C529,4,3) &amp; LEFT($C529,3) &amp; RIGHT($C529,4)), "")</f>
        <v/>
      </c>
      <c r="Q529" s="37" t="str">
        <f t="array" ref="Q529">IF($R529&lt;&gt;"",IFERROR(INDEX(ISIN!$B:$B,MATCH($R529,ISIN!$C:$C,0))),)</f>
        <v/>
      </c>
      <c r="R529" s="38" t="str">
        <f t="array" ref="R529">IF($E529&lt;&gt;"",IFERROR(INDEX(ISIN!$C:$C,MATCH($E529,ISIN!$A:$A,0)),IFERROR(INDEX($R530:$R1200,MATCH($K529,$K530:$K1200,0)))),IF(AND($Y529="change",$H529="EUR"),IF($O529=$O530,$R530,IF($O529=$O528,$R528)),IFERROR(INDEX($R530:$R1200,MATCH(SUBSTITUTE($I529,"-","",1),$K530:$K1200,0)))))</f>
        <v/>
      </c>
      <c r="S529" s="37" t="str">
        <f t="shared" si="1"/>
        <v/>
      </c>
      <c r="T529" s="39" t="str">
        <f t="shared" si="2"/>
        <v/>
      </c>
      <c r="U529" s="40" t="str">
        <f t="shared" si="3"/>
        <v/>
      </c>
      <c r="V529" s="34" t="str">
        <f t="shared" si="4"/>
        <v/>
      </c>
      <c r="W529" s="41" t="str">
        <f>IFERROR(__xludf.DUMMYFUNCTION(" IF(Account!$F529&lt;&gt;"""", SPLIT(Account!$F529, "" ""), """")"),"")</f>
        <v/>
      </c>
      <c r="X529" s="42"/>
      <c r="Y529" s="42"/>
      <c r="Z529" s="42"/>
      <c r="AA529" s="42"/>
      <c r="AB529" s="42"/>
      <c r="AC529" s="42"/>
      <c r="AD529" s="42"/>
      <c r="AE529" s="42"/>
      <c r="AF529" s="42"/>
      <c r="AG529" s="42"/>
      <c r="AH529" s="42"/>
      <c r="AI529" s="42"/>
      <c r="AJ529" s="42"/>
      <c r="AK529" s="42"/>
    </row>
    <row r="530">
      <c r="A530" s="20"/>
      <c r="B530" s="20"/>
      <c r="C530" s="20"/>
      <c r="D530" s="20"/>
      <c r="E530" s="20"/>
      <c r="F530" s="21"/>
      <c r="G530" s="45"/>
      <c r="H530" s="20"/>
      <c r="I530" s="20"/>
      <c r="J530" s="20"/>
      <c r="K530" s="20"/>
      <c r="L530" s="21"/>
      <c r="M530" s="33" t="str">
        <f>IFERROR(__xludf.DUMMYFUNCTION("IFS(W530=""Achat"",IFERROR(VALUE(X530),VALUE(REGEXREPLACE(T(X530),""[^0-9]"",""""))),W530=""Vente"",-IFERROR(VALUE(X530),VALUE(REGEXREPLACE(T(X530),""[^0-9]"",""""))),Y530=""Change"",0,Y530&lt;&gt;""Change"","""")"),"")</f>
        <v/>
      </c>
      <c r="N530" s="34" t="str">
        <f>IFERROR(__xludf.DUMMYFUNCTION("IF(Account!$F530&lt;&gt;"""", VALUE(REGEXREPLACE($I530, ""\,"", ""."")), """")"),"")</f>
        <v/>
      </c>
      <c r="O530" s="35" t="str">
        <f>IF(Account!$F530&lt;&gt;"", DATEVALUE(MID($A530,4,3) &amp; LEFT($A530,3) &amp; RIGHT($A530,4)) + TIMEVALUE($B530), "")</f>
        <v/>
      </c>
      <c r="P530" s="36" t="str">
        <f>IF(Account!$F530&lt;&gt;"", DATEVALUE(MID($C530,4,3) &amp; LEFT($C530,3) &amp; RIGHT($C530,4)), "")</f>
        <v/>
      </c>
      <c r="Q530" s="37" t="str">
        <f t="array" ref="Q530">IF($R530&lt;&gt;"",IFERROR(INDEX(ISIN!$B:$B,MATCH($R530,ISIN!$C:$C,0))),)</f>
        <v/>
      </c>
      <c r="R530" s="38" t="str">
        <f t="array" ref="R530">IF($E530&lt;&gt;"",IFERROR(INDEX(ISIN!$C:$C,MATCH($E530,ISIN!$A:$A,0)),IFERROR(INDEX($R531:$R1200,MATCH($K530,$K531:$K1200,0)))),IF(AND($Y530="change",$H530="EUR"),IF($O530=$O531,$R531,IF($O530=$O529,$R529)),IFERROR(INDEX($R531:$R1200,MATCH(SUBSTITUTE($I530,"-","",1),$K531:$K1200,0)))))</f>
        <v/>
      </c>
      <c r="S530" s="37" t="str">
        <f t="shared" si="1"/>
        <v/>
      </c>
      <c r="T530" s="39" t="str">
        <f t="shared" si="2"/>
        <v/>
      </c>
      <c r="U530" s="40" t="str">
        <f t="shared" si="3"/>
        <v/>
      </c>
      <c r="V530" s="34" t="str">
        <f t="shared" si="4"/>
        <v/>
      </c>
      <c r="W530" s="41" t="str">
        <f>IFERROR(__xludf.DUMMYFUNCTION(" IF(Account!$F530&lt;&gt;"""", SPLIT(Account!$F530, "" ""), """")"),"")</f>
        <v/>
      </c>
      <c r="X530" s="42"/>
      <c r="Y530" s="42"/>
      <c r="Z530" s="42"/>
      <c r="AA530" s="42"/>
      <c r="AB530" s="42"/>
      <c r="AC530" s="42"/>
      <c r="AD530" s="42"/>
      <c r="AE530" s="42"/>
      <c r="AF530" s="42"/>
      <c r="AG530" s="42"/>
      <c r="AH530" s="42"/>
      <c r="AI530" s="42"/>
      <c r="AJ530" s="42"/>
      <c r="AK530" s="42"/>
    </row>
    <row r="531">
      <c r="A531" s="20"/>
      <c r="B531" s="20"/>
      <c r="C531" s="20"/>
      <c r="D531" s="20"/>
      <c r="E531" s="20"/>
      <c r="F531" s="21"/>
      <c r="G531" s="20"/>
      <c r="H531" s="20"/>
      <c r="I531" s="20"/>
      <c r="J531" s="20"/>
      <c r="K531" s="20"/>
      <c r="L531" s="21"/>
      <c r="M531" s="33" t="str">
        <f>IFERROR(__xludf.DUMMYFUNCTION("IFS(W531=""Achat"",IFERROR(VALUE(X531),VALUE(REGEXREPLACE(T(X531),""[^0-9]"",""""))),W531=""Vente"",-IFERROR(VALUE(X531),VALUE(REGEXREPLACE(T(X531),""[^0-9]"",""""))),Y531=""Change"",0,Y531&lt;&gt;""Change"","""")"),"")</f>
        <v/>
      </c>
      <c r="N531" s="34" t="str">
        <f>IFERROR(__xludf.DUMMYFUNCTION("IF(Account!$F531&lt;&gt;"""", VALUE(REGEXREPLACE($I531, ""\,"", ""."")), """")"),"")</f>
        <v/>
      </c>
      <c r="O531" s="35" t="str">
        <f>IF(Account!$F531&lt;&gt;"", DATEVALUE(MID($A531,4,3) &amp; LEFT($A531,3) &amp; RIGHT($A531,4)) + TIMEVALUE($B531), "")</f>
        <v/>
      </c>
      <c r="P531" s="36" t="str">
        <f>IF(Account!$F531&lt;&gt;"", DATEVALUE(MID($C531,4,3) &amp; LEFT($C531,3) &amp; RIGHT($C531,4)), "")</f>
        <v/>
      </c>
      <c r="Q531" s="37" t="str">
        <f t="array" ref="Q531">IF($R531&lt;&gt;"",IFERROR(INDEX(ISIN!$B:$B,MATCH($R531,ISIN!$C:$C,0))),)</f>
        <v/>
      </c>
      <c r="R531" s="38" t="str">
        <f t="array" ref="R531">IF($E531&lt;&gt;"",IFERROR(INDEX(ISIN!$C:$C,MATCH($E531,ISIN!$A:$A,0)),IFERROR(INDEX($R532:$R1200,MATCH($K531,$K532:$K1200,0)))),IF(AND($Y531="change",$H531="EUR"),IF($O531=$O532,$R532,IF($O531=$O530,$R530)),IFERROR(INDEX($R532:$R1200,MATCH(SUBSTITUTE($I531,"-","",1),$K532:$K1200,0)))))</f>
        <v/>
      </c>
      <c r="S531" s="37" t="str">
        <f t="shared" si="1"/>
        <v/>
      </c>
      <c r="T531" s="39" t="str">
        <f t="shared" si="2"/>
        <v/>
      </c>
      <c r="U531" s="40" t="str">
        <f t="shared" si="3"/>
        <v/>
      </c>
      <c r="V531" s="34" t="str">
        <f t="shared" si="4"/>
        <v/>
      </c>
      <c r="W531" s="41" t="str">
        <f>IFERROR(__xludf.DUMMYFUNCTION(" IF(Account!$F531&lt;&gt;"""", SPLIT(Account!$F531, "" ""), """")"),"")</f>
        <v/>
      </c>
      <c r="X531" s="42"/>
      <c r="Y531" s="42"/>
      <c r="Z531" s="42"/>
      <c r="AA531" s="42"/>
      <c r="AB531" s="42"/>
      <c r="AC531" s="42"/>
      <c r="AD531" s="42"/>
      <c r="AE531" s="42"/>
      <c r="AF531" s="42"/>
      <c r="AG531" s="42"/>
      <c r="AH531" s="42"/>
      <c r="AI531" s="42"/>
      <c r="AJ531" s="42"/>
      <c r="AK531" s="42"/>
    </row>
    <row r="532">
      <c r="A532" s="20"/>
      <c r="B532" s="20"/>
      <c r="C532" s="20"/>
      <c r="D532" s="20"/>
      <c r="E532" s="20"/>
      <c r="F532" s="21"/>
      <c r="G532" s="45"/>
      <c r="H532" s="20"/>
      <c r="I532" s="20"/>
      <c r="J532" s="20"/>
      <c r="K532" s="20"/>
      <c r="L532" s="21"/>
      <c r="M532" s="33" t="str">
        <f>IFERROR(__xludf.DUMMYFUNCTION("IFS(W532=""Achat"",IFERROR(VALUE(X532),VALUE(REGEXREPLACE(T(X532),""[^0-9]"",""""))),W532=""Vente"",-IFERROR(VALUE(X532),VALUE(REGEXREPLACE(T(X532),""[^0-9]"",""""))),Y532=""Change"",0,Y532&lt;&gt;""Change"","""")"),"")</f>
        <v/>
      </c>
      <c r="N532" s="34" t="str">
        <f>IFERROR(__xludf.DUMMYFUNCTION("IF(Account!$F532&lt;&gt;"""", VALUE(REGEXREPLACE($I532, ""\,"", ""."")), """")"),"")</f>
        <v/>
      </c>
      <c r="O532" s="35" t="str">
        <f>IF(Account!$F532&lt;&gt;"", DATEVALUE(MID($A532,4,3) &amp; LEFT($A532,3) &amp; RIGHT($A532,4)) + TIMEVALUE($B532), "")</f>
        <v/>
      </c>
      <c r="P532" s="36" t="str">
        <f>IF(Account!$F532&lt;&gt;"", DATEVALUE(MID($C532,4,3) &amp; LEFT($C532,3) &amp; RIGHT($C532,4)), "")</f>
        <v/>
      </c>
      <c r="Q532" s="37" t="str">
        <f t="array" ref="Q532">IF($R532&lt;&gt;"",IFERROR(INDEX(ISIN!$B:$B,MATCH($R532,ISIN!$C:$C,0))),)</f>
        <v/>
      </c>
      <c r="R532" s="38" t="str">
        <f t="array" ref="R532">IF($E532&lt;&gt;"",IFERROR(INDEX(ISIN!$C:$C,MATCH($E532,ISIN!$A:$A,0)),IFERROR(INDEX($R533:$R1200,MATCH($K532,$K533:$K1200,0)))),IF(AND($Y532="change",$H532="EUR"),IF($O532=$O533,$R533,IF($O532=$O531,$R531)),IFERROR(INDEX($R533:$R1200,MATCH(SUBSTITUTE($I532,"-","",1),$K533:$K1200,0)))))</f>
        <v/>
      </c>
      <c r="S532" s="37" t="str">
        <f t="shared" si="1"/>
        <v/>
      </c>
      <c r="T532" s="39" t="str">
        <f t="shared" si="2"/>
        <v/>
      </c>
      <c r="U532" s="40" t="str">
        <f t="shared" si="3"/>
        <v/>
      </c>
      <c r="V532" s="34" t="str">
        <f t="shared" si="4"/>
        <v/>
      </c>
      <c r="W532" s="41" t="str">
        <f>IFERROR(__xludf.DUMMYFUNCTION(" IF(Account!$F532&lt;&gt;"""", SPLIT(Account!$F532, "" ""), """")"),"")</f>
        <v/>
      </c>
      <c r="X532" s="42"/>
      <c r="Y532" s="42"/>
      <c r="Z532" s="42"/>
      <c r="AA532" s="42"/>
      <c r="AB532" s="42"/>
      <c r="AC532" s="42"/>
      <c r="AD532" s="42"/>
      <c r="AE532" s="42"/>
      <c r="AF532" s="42"/>
      <c r="AG532" s="42"/>
      <c r="AH532" s="42"/>
      <c r="AI532" s="42"/>
      <c r="AJ532" s="42"/>
      <c r="AK532" s="42"/>
    </row>
    <row r="533">
      <c r="A533" s="20"/>
      <c r="B533" s="20"/>
      <c r="C533" s="20"/>
      <c r="D533" s="20"/>
      <c r="E533" s="20"/>
      <c r="F533" s="21"/>
      <c r="G533" s="20"/>
      <c r="H533" s="20"/>
      <c r="I533" s="20"/>
      <c r="J533" s="20"/>
      <c r="K533" s="20"/>
      <c r="L533" s="21"/>
      <c r="M533" s="33" t="str">
        <f>IFERROR(__xludf.DUMMYFUNCTION("IFS(W533=""Achat"",IFERROR(VALUE(X533),VALUE(REGEXREPLACE(T(X533),""[^0-9]"",""""))),W533=""Vente"",-IFERROR(VALUE(X533),VALUE(REGEXREPLACE(T(X533),""[^0-9]"",""""))),Y533=""Change"",0,Y533&lt;&gt;""Change"","""")"),"")</f>
        <v/>
      </c>
      <c r="N533" s="34" t="str">
        <f>IFERROR(__xludf.DUMMYFUNCTION("IF(Account!$F533&lt;&gt;"""", VALUE(REGEXREPLACE($I533, ""\,"", ""."")), """")"),"")</f>
        <v/>
      </c>
      <c r="O533" s="35" t="str">
        <f>IF(Account!$F533&lt;&gt;"", DATEVALUE(MID($A533,4,3) &amp; LEFT($A533,3) &amp; RIGHT($A533,4)) + TIMEVALUE($B533), "")</f>
        <v/>
      </c>
      <c r="P533" s="36" t="str">
        <f>IF(Account!$F533&lt;&gt;"", DATEVALUE(MID($C533,4,3) &amp; LEFT($C533,3) &amp; RIGHT($C533,4)), "")</f>
        <v/>
      </c>
      <c r="Q533" s="37" t="str">
        <f t="array" ref="Q533">IF($R533&lt;&gt;"",IFERROR(INDEX(ISIN!$B:$B,MATCH($R533,ISIN!$C:$C,0))),)</f>
        <v/>
      </c>
      <c r="R533" s="38" t="str">
        <f t="array" ref="R533">IF($E533&lt;&gt;"",IFERROR(INDEX(ISIN!$C:$C,MATCH($E533,ISIN!$A:$A,0)),IFERROR(INDEX($R534:$R1200,MATCH($K533,$K534:$K1200,0)))),IF(AND($Y533="change",$H533="EUR"),IF($O533=$O534,$R534,IF($O533=$O532,$R532)),IFERROR(INDEX($R534:$R1200,MATCH(SUBSTITUTE($I533,"-","",1),$K534:$K1200,0)))))</f>
        <v/>
      </c>
      <c r="S533" s="37" t="str">
        <f t="shared" si="1"/>
        <v/>
      </c>
      <c r="T533" s="39" t="str">
        <f t="shared" si="2"/>
        <v/>
      </c>
      <c r="U533" s="40" t="str">
        <f t="shared" si="3"/>
        <v/>
      </c>
      <c r="V533" s="34" t="str">
        <f t="shared" si="4"/>
        <v/>
      </c>
      <c r="W533" s="41" t="str">
        <f>IFERROR(__xludf.DUMMYFUNCTION(" IF(Account!$F533&lt;&gt;"""", SPLIT(Account!$F533, "" ""), """")"),"")</f>
        <v/>
      </c>
      <c r="X533" s="42"/>
      <c r="Y533" s="42"/>
      <c r="Z533" s="42"/>
      <c r="AA533" s="42"/>
      <c r="AB533" s="42"/>
      <c r="AC533" s="42"/>
      <c r="AD533" s="42"/>
      <c r="AE533" s="42"/>
      <c r="AF533" s="42"/>
      <c r="AG533" s="42"/>
      <c r="AH533" s="42"/>
      <c r="AI533" s="42"/>
      <c r="AJ533" s="42"/>
      <c r="AK533" s="42"/>
    </row>
    <row r="534">
      <c r="A534" s="20"/>
      <c r="B534" s="20"/>
      <c r="C534" s="20"/>
      <c r="D534" s="20"/>
      <c r="E534" s="20"/>
      <c r="F534" s="21"/>
      <c r="G534" s="45"/>
      <c r="H534" s="20"/>
      <c r="I534" s="20"/>
      <c r="J534" s="20"/>
      <c r="K534" s="20"/>
      <c r="L534" s="21"/>
      <c r="M534" s="33" t="str">
        <f>IFERROR(__xludf.DUMMYFUNCTION("IFS(W534=""Achat"",IFERROR(VALUE(X534),VALUE(REGEXREPLACE(T(X534),""[^0-9]"",""""))),W534=""Vente"",-IFERROR(VALUE(X534),VALUE(REGEXREPLACE(T(X534),""[^0-9]"",""""))),Y534=""Change"",0,Y534&lt;&gt;""Change"","""")"),"")</f>
        <v/>
      </c>
      <c r="N534" s="34" t="str">
        <f>IFERROR(__xludf.DUMMYFUNCTION("IF(Account!$F534&lt;&gt;"""", VALUE(REGEXREPLACE($I534, ""\,"", ""."")), """")"),"")</f>
        <v/>
      </c>
      <c r="O534" s="35" t="str">
        <f>IF(Account!$F534&lt;&gt;"", DATEVALUE(MID($A534,4,3) &amp; LEFT($A534,3) &amp; RIGHT($A534,4)) + TIMEVALUE($B534), "")</f>
        <v/>
      </c>
      <c r="P534" s="36" t="str">
        <f>IF(Account!$F534&lt;&gt;"", DATEVALUE(MID($C534,4,3) &amp; LEFT($C534,3) &amp; RIGHT($C534,4)), "")</f>
        <v/>
      </c>
      <c r="Q534" s="37" t="str">
        <f t="array" ref="Q534">IF($R534&lt;&gt;"",IFERROR(INDEX(ISIN!$B:$B,MATCH($R534,ISIN!$C:$C,0))),)</f>
        <v/>
      </c>
      <c r="R534" s="38" t="str">
        <f t="array" ref="R534">IF($E534&lt;&gt;"",IFERROR(INDEX(ISIN!$C:$C,MATCH($E534,ISIN!$A:$A,0)),IFERROR(INDEX($R535:$R1200,MATCH($K534,$K535:$K1200,0)))),IF(AND($Y534="change",$H534="EUR"),IF($O534=$O535,$R535,IF($O534=$O533,$R533)),IFERROR(INDEX($R535:$R1200,MATCH(SUBSTITUTE($I534,"-","",1),$K535:$K1200,0)))))</f>
        <v/>
      </c>
      <c r="S534" s="37" t="str">
        <f t="shared" si="1"/>
        <v/>
      </c>
      <c r="T534" s="39" t="str">
        <f t="shared" si="2"/>
        <v/>
      </c>
      <c r="U534" s="40" t="str">
        <f t="shared" si="3"/>
        <v/>
      </c>
      <c r="V534" s="34" t="str">
        <f t="shared" si="4"/>
        <v/>
      </c>
      <c r="W534" s="41" t="str">
        <f>IFERROR(__xludf.DUMMYFUNCTION(" IF(Account!$F534&lt;&gt;"""", SPLIT(Account!$F534, "" ""), """")"),"")</f>
        <v/>
      </c>
      <c r="X534" s="42"/>
      <c r="Y534" s="42"/>
      <c r="Z534" s="42"/>
      <c r="AA534" s="42"/>
      <c r="AB534" s="42"/>
      <c r="AC534" s="42"/>
      <c r="AD534" s="42"/>
      <c r="AE534" s="42"/>
      <c r="AF534" s="42"/>
      <c r="AG534" s="42"/>
      <c r="AH534" s="42"/>
      <c r="AI534" s="42"/>
      <c r="AJ534" s="42"/>
      <c r="AK534" s="42"/>
    </row>
    <row r="535">
      <c r="A535" s="20"/>
      <c r="B535" s="20"/>
      <c r="C535" s="20"/>
      <c r="D535" s="20"/>
      <c r="E535" s="20"/>
      <c r="F535" s="21"/>
      <c r="G535" s="20"/>
      <c r="H535" s="20"/>
      <c r="I535" s="20"/>
      <c r="J535" s="20"/>
      <c r="K535" s="20"/>
      <c r="L535" s="21"/>
      <c r="M535" s="33" t="str">
        <f>IFERROR(__xludf.DUMMYFUNCTION("IFS(W535=""Achat"",IFERROR(VALUE(X535),VALUE(REGEXREPLACE(T(X535),""[^0-9]"",""""))),W535=""Vente"",-IFERROR(VALUE(X535),VALUE(REGEXREPLACE(T(X535),""[^0-9]"",""""))),Y535=""Change"",0,Y535&lt;&gt;""Change"","""")"),"")</f>
        <v/>
      </c>
      <c r="N535" s="34" t="str">
        <f>IFERROR(__xludf.DUMMYFUNCTION("IF(Account!$F535&lt;&gt;"""", VALUE(REGEXREPLACE($I535, ""\,"", ""."")), """")"),"")</f>
        <v/>
      </c>
      <c r="O535" s="35" t="str">
        <f>IF(Account!$F535&lt;&gt;"", DATEVALUE(MID($A535,4,3) &amp; LEFT($A535,3) &amp; RIGHT($A535,4)) + TIMEVALUE($B535), "")</f>
        <v/>
      </c>
      <c r="P535" s="36" t="str">
        <f>IF(Account!$F535&lt;&gt;"", DATEVALUE(MID($C535,4,3) &amp; LEFT($C535,3) &amp; RIGHT($C535,4)), "")</f>
        <v/>
      </c>
      <c r="Q535" s="37" t="str">
        <f t="array" ref="Q535">IF($R535&lt;&gt;"",IFERROR(INDEX(ISIN!$B:$B,MATCH($R535,ISIN!$C:$C,0))),)</f>
        <v/>
      </c>
      <c r="R535" s="38" t="str">
        <f t="array" ref="R535">IF($E535&lt;&gt;"",IFERROR(INDEX(ISIN!$C:$C,MATCH($E535,ISIN!$A:$A,0)),IFERROR(INDEX($R536:$R1200,MATCH($K535,$K536:$K1200,0)))),IF(AND($Y535="change",$H535="EUR"),IF($O535=$O536,$R536,IF($O535=$O534,$R534)),IFERROR(INDEX($R536:$R1200,MATCH(SUBSTITUTE($I535,"-","",1),$K536:$K1200,0)))))</f>
        <v/>
      </c>
      <c r="S535" s="37" t="str">
        <f t="shared" si="1"/>
        <v/>
      </c>
      <c r="T535" s="39" t="str">
        <f t="shared" si="2"/>
        <v/>
      </c>
      <c r="U535" s="40" t="str">
        <f t="shared" si="3"/>
        <v/>
      </c>
      <c r="V535" s="34" t="str">
        <f t="shared" si="4"/>
        <v/>
      </c>
      <c r="W535" s="41" t="str">
        <f>IFERROR(__xludf.DUMMYFUNCTION(" IF(Account!$F535&lt;&gt;"""", SPLIT(Account!$F535, "" ""), """")"),"")</f>
        <v/>
      </c>
      <c r="X535" s="42"/>
      <c r="Y535" s="42"/>
      <c r="Z535" s="42"/>
      <c r="AA535" s="42"/>
      <c r="AB535" s="42"/>
      <c r="AC535" s="42"/>
      <c r="AD535" s="42"/>
      <c r="AE535" s="42"/>
      <c r="AF535" s="42"/>
      <c r="AG535" s="42"/>
      <c r="AH535" s="42"/>
      <c r="AI535" s="42"/>
      <c r="AJ535" s="42"/>
      <c r="AK535" s="42"/>
    </row>
    <row r="536">
      <c r="A536" s="20"/>
      <c r="B536" s="20"/>
      <c r="C536" s="20"/>
      <c r="D536" s="20"/>
      <c r="E536" s="20"/>
      <c r="F536" s="21"/>
      <c r="G536" s="45"/>
      <c r="H536" s="20"/>
      <c r="I536" s="20"/>
      <c r="J536" s="20"/>
      <c r="K536" s="20"/>
      <c r="L536" s="21"/>
      <c r="M536" s="33" t="str">
        <f>IFERROR(__xludf.DUMMYFUNCTION("IFS(W536=""Achat"",IFERROR(VALUE(X536),VALUE(REGEXREPLACE(T(X536),""[^0-9]"",""""))),W536=""Vente"",-IFERROR(VALUE(X536),VALUE(REGEXREPLACE(T(X536),""[^0-9]"",""""))),Y536=""Change"",0,Y536&lt;&gt;""Change"","""")"),"")</f>
        <v/>
      </c>
      <c r="N536" s="34" t="str">
        <f>IFERROR(__xludf.DUMMYFUNCTION("IF(Account!$F536&lt;&gt;"""", VALUE(REGEXREPLACE($I536, ""\,"", ""."")), """")"),"")</f>
        <v/>
      </c>
      <c r="O536" s="35" t="str">
        <f>IF(Account!$F536&lt;&gt;"", DATEVALUE(MID($A536,4,3) &amp; LEFT($A536,3) &amp; RIGHT($A536,4)) + TIMEVALUE($B536), "")</f>
        <v/>
      </c>
      <c r="P536" s="36" t="str">
        <f>IF(Account!$F536&lt;&gt;"", DATEVALUE(MID($C536,4,3) &amp; LEFT($C536,3) &amp; RIGHT($C536,4)), "")</f>
        <v/>
      </c>
      <c r="Q536" s="37" t="str">
        <f t="array" ref="Q536">IF($R536&lt;&gt;"",IFERROR(INDEX(ISIN!$B:$B,MATCH($R536,ISIN!$C:$C,0))),)</f>
        <v/>
      </c>
      <c r="R536" s="38" t="str">
        <f t="array" ref="R536">IF($E536&lt;&gt;"",IFERROR(INDEX(ISIN!$C:$C,MATCH($E536,ISIN!$A:$A,0)),IFERROR(INDEX($R537:$R1200,MATCH($K536,$K537:$K1200,0)))),IF(AND($Y536="change",$H536="EUR"),IF($O536=$O537,$R537,IF($O536=$O535,$R535)),IFERROR(INDEX($R537:$R1200,MATCH(SUBSTITUTE($I536,"-","",1),$K537:$K1200,0)))))</f>
        <v/>
      </c>
      <c r="S536" s="37" t="str">
        <f t="shared" si="1"/>
        <v/>
      </c>
      <c r="T536" s="39" t="str">
        <f t="shared" si="2"/>
        <v/>
      </c>
      <c r="U536" s="40" t="str">
        <f t="shared" si="3"/>
        <v/>
      </c>
      <c r="V536" s="34" t="str">
        <f t="shared" si="4"/>
        <v/>
      </c>
      <c r="W536" s="41" t="str">
        <f>IFERROR(__xludf.DUMMYFUNCTION(" IF(Account!$F536&lt;&gt;"""", SPLIT(Account!$F536, "" ""), """")"),"")</f>
        <v/>
      </c>
      <c r="X536" s="42"/>
      <c r="Y536" s="42"/>
      <c r="Z536" s="42"/>
      <c r="AA536" s="42"/>
      <c r="AB536" s="42"/>
      <c r="AC536" s="42"/>
      <c r="AD536" s="42"/>
      <c r="AE536" s="42"/>
      <c r="AF536" s="42"/>
      <c r="AG536" s="42"/>
      <c r="AH536" s="42"/>
      <c r="AI536" s="42"/>
      <c r="AJ536" s="42"/>
      <c r="AK536" s="42"/>
    </row>
    <row r="537">
      <c r="A537" s="20"/>
      <c r="B537" s="20"/>
      <c r="C537" s="20"/>
      <c r="D537" s="20"/>
      <c r="E537" s="20"/>
      <c r="F537" s="21"/>
      <c r="G537" s="45"/>
      <c r="H537" s="20"/>
      <c r="I537" s="20"/>
      <c r="J537" s="20"/>
      <c r="K537" s="20"/>
      <c r="L537" s="21"/>
      <c r="M537" s="33" t="str">
        <f>IFERROR(__xludf.DUMMYFUNCTION("IFS(W537=""Achat"",IFERROR(VALUE(X537),VALUE(REGEXREPLACE(T(X537),""[^0-9]"",""""))),W537=""Vente"",-IFERROR(VALUE(X537),VALUE(REGEXREPLACE(T(X537),""[^0-9]"",""""))),Y537=""Change"",0,Y537&lt;&gt;""Change"","""")"),"")</f>
        <v/>
      </c>
      <c r="N537" s="34" t="str">
        <f>IFERROR(__xludf.DUMMYFUNCTION("IF(Account!$F537&lt;&gt;"""", VALUE(REGEXREPLACE($I537, ""\,"", ""."")), """")"),"")</f>
        <v/>
      </c>
      <c r="O537" s="35" t="str">
        <f>IF(Account!$F537&lt;&gt;"", DATEVALUE(MID($A537,4,3) &amp; LEFT($A537,3) &amp; RIGHT($A537,4)) + TIMEVALUE($B537), "")</f>
        <v/>
      </c>
      <c r="P537" s="36" t="str">
        <f>IF(Account!$F537&lt;&gt;"", DATEVALUE(MID($C537,4,3) &amp; LEFT($C537,3) &amp; RIGHT($C537,4)), "")</f>
        <v/>
      </c>
      <c r="Q537" s="37" t="str">
        <f t="array" ref="Q537">IF($R537&lt;&gt;"",IFERROR(INDEX(ISIN!$B:$B,MATCH($R537,ISIN!$C:$C,0))),)</f>
        <v/>
      </c>
      <c r="R537" s="38" t="str">
        <f t="array" ref="R537">IF($E537&lt;&gt;"",IFERROR(INDEX(ISIN!$C:$C,MATCH($E537,ISIN!$A:$A,0)),IFERROR(INDEX($R538:$R1200,MATCH($K537,$K538:$K1200,0)))),IF(AND($Y537="change",$H537="EUR"),IF($O537=$O538,$R538,IF($O537=$O536,$R536)),IFERROR(INDEX($R538:$R1200,MATCH(SUBSTITUTE($I537,"-","",1),$K538:$K1200,0)))))</f>
        <v/>
      </c>
      <c r="S537" s="37" t="str">
        <f t="shared" si="1"/>
        <v/>
      </c>
      <c r="T537" s="39" t="str">
        <f t="shared" si="2"/>
        <v/>
      </c>
      <c r="U537" s="40" t="str">
        <f t="shared" si="3"/>
        <v/>
      </c>
      <c r="V537" s="34" t="str">
        <f t="shared" si="4"/>
        <v/>
      </c>
      <c r="W537" s="41" t="str">
        <f>IFERROR(__xludf.DUMMYFUNCTION(" IF(Account!$F537&lt;&gt;"""", SPLIT(Account!$F537, "" ""), """")"),"")</f>
        <v/>
      </c>
      <c r="X537" s="42"/>
      <c r="Y537" s="42"/>
      <c r="Z537" s="42"/>
      <c r="AA537" s="42"/>
      <c r="AB537" s="42"/>
      <c r="AC537" s="42"/>
      <c r="AD537" s="42"/>
      <c r="AE537" s="42"/>
      <c r="AF537" s="42"/>
      <c r="AG537" s="42"/>
      <c r="AH537" s="42"/>
      <c r="AI537" s="42"/>
      <c r="AJ537" s="42"/>
      <c r="AK537" s="42"/>
    </row>
    <row r="538">
      <c r="A538" s="20"/>
      <c r="B538" s="20"/>
      <c r="C538" s="20"/>
      <c r="D538" s="20"/>
      <c r="E538" s="20"/>
      <c r="F538" s="21"/>
      <c r="G538" s="20"/>
      <c r="H538" s="20"/>
      <c r="I538" s="20"/>
      <c r="J538" s="20"/>
      <c r="K538" s="20"/>
      <c r="L538" s="21"/>
      <c r="M538" s="33" t="str">
        <f>IFERROR(__xludf.DUMMYFUNCTION("IFS(W538=""Achat"",IFERROR(VALUE(X538),VALUE(REGEXREPLACE(T(X538),""[^0-9]"",""""))),W538=""Vente"",-IFERROR(VALUE(X538),VALUE(REGEXREPLACE(T(X538),""[^0-9]"",""""))),Y538=""Change"",0,Y538&lt;&gt;""Change"","""")"),"")</f>
        <v/>
      </c>
      <c r="N538" s="34" t="str">
        <f>IFERROR(__xludf.DUMMYFUNCTION("IF(Account!$F538&lt;&gt;"""", VALUE(REGEXREPLACE($I538, ""\,"", ""."")), """")"),"")</f>
        <v/>
      </c>
      <c r="O538" s="35" t="str">
        <f>IF(Account!$F538&lt;&gt;"", DATEVALUE(MID($A538,4,3) &amp; LEFT($A538,3) &amp; RIGHT($A538,4)) + TIMEVALUE($B538), "")</f>
        <v/>
      </c>
      <c r="P538" s="36" t="str">
        <f>IF(Account!$F538&lt;&gt;"", DATEVALUE(MID($C538,4,3) &amp; LEFT($C538,3) &amp; RIGHT($C538,4)), "")</f>
        <v/>
      </c>
      <c r="Q538" s="37" t="str">
        <f t="array" ref="Q538">IF($R538&lt;&gt;"",IFERROR(INDEX(ISIN!$B:$B,MATCH($R538,ISIN!$C:$C,0))),)</f>
        <v/>
      </c>
      <c r="R538" s="38" t="str">
        <f t="array" ref="R538">IF($E538&lt;&gt;"",IFERROR(INDEX(ISIN!$C:$C,MATCH($E538,ISIN!$A:$A,0)),IFERROR(INDEX($R539:$R1200,MATCH($K538,$K539:$K1200,0)))),IF(AND($Y538="change",$H538="EUR"),IF($O538=$O539,$R539,IF($O538=$O537,$R537)),IFERROR(INDEX($R539:$R1200,MATCH(SUBSTITUTE($I538,"-","",1),$K539:$K1200,0)))))</f>
        <v/>
      </c>
      <c r="S538" s="37" t="str">
        <f t="shared" si="1"/>
        <v/>
      </c>
      <c r="T538" s="39" t="str">
        <f t="shared" si="2"/>
        <v/>
      </c>
      <c r="U538" s="40" t="str">
        <f t="shared" si="3"/>
        <v/>
      </c>
      <c r="V538" s="34" t="str">
        <f t="shared" si="4"/>
        <v/>
      </c>
      <c r="W538" s="41" t="str">
        <f>IFERROR(__xludf.DUMMYFUNCTION(" IF(Account!$F538&lt;&gt;"""", SPLIT(Account!$F538, "" ""), """")"),"")</f>
        <v/>
      </c>
      <c r="X538" s="42"/>
      <c r="Y538" s="42"/>
      <c r="Z538" s="42"/>
      <c r="AA538" s="42"/>
      <c r="AB538" s="42"/>
      <c r="AC538" s="42"/>
      <c r="AD538" s="42"/>
      <c r="AE538" s="42"/>
      <c r="AF538" s="42"/>
      <c r="AG538" s="42"/>
      <c r="AH538" s="42"/>
      <c r="AI538" s="42"/>
      <c r="AJ538" s="42"/>
      <c r="AK538" s="42"/>
    </row>
    <row r="539">
      <c r="A539" s="20"/>
      <c r="B539" s="20"/>
      <c r="C539" s="20"/>
      <c r="D539" s="20"/>
      <c r="E539" s="20"/>
      <c r="F539" s="21"/>
      <c r="G539" s="45"/>
      <c r="H539" s="20"/>
      <c r="I539" s="20"/>
      <c r="J539" s="20"/>
      <c r="K539" s="20"/>
      <c r="L539" s="21"/>
      <c r="M539" s="33" t="str">
        <f>IFERROR(__xludf.DUMMYFUNCTION("IFS(W539=""Achat"",IFERROR(VALUE(X539),VALUE(REGEXREPLACE(T(X539),""[^0-9]"",""""))),W539=""Vente"",-IFERROR(VALUE(X539),VALUE(REGEXREPLACE(T(X539),""[^0-9]"",""""))),Y539=""Change"",0,Y539&lt;&gt;""Change"","""")"),"")</f>
        <v/>
      </c>
      <c r="N539" s="34" t="str">
        <f>IFERROR(__xludf.DUMMYFUNCTION("IF(Account!$F539&lt;&gt;"""", VALUE(REGEXREPLACE($I539, ""\,"", ""."")), """")"),"")</f>
        <v/>
      </c>
      <c r="O539" s="35" t="str">
        <f>IF(Account!$F539&lt;&gt;"", DATEVALUE(MID($A539,4,3) &amp; LEFT($A539,3) &amp; RIGHT($A539,4)) + TIMEVALUE($B539), "")</f>
        <v/>
      </c>
      <c r="P539" s="36" t="str">
        <f>IF(Account!$F539&lt;&gt;"", DATEVALUE(MID($C539,4,3) &amp; LEFT($C539,3) &amp; RIGHT($C539,4)), "")</f>
        <v/>
      </c>
      <c r="Q539" s="37" t="str">
        <f t="array" ref="Q539">IF($R539&lt;&gt;"",IFERROR(INDEX(ISIN!$B:$B,MATCH($R539,ISIN!$C:$C,0))),)</f>
        <v/>
      </c>
      <c r="R539" s="38" t="str">
        <f t="array" ref="R539">IF($E539&lt;&gt;"",IFERROR(INDEX(ISIN!$C:$C,MATCH($E539,ISIN!$A:$A,0)),IFERROR(INDEX($R540:$R1200,MATCH($K539,$K540:$K1200,0)))),IF(AND($Y539="change",$H539="EUR"),IF($O539=$O540,$R540,IF($O539=$O538,$R538)),IFERROR(INDEX($R540:$R1200,MATCH(SUBSTITUTE($I539,"-","",1),$K540:$K1200,0)))))</f>
        <v/>
      </c>
      <c r="S539" s="37" t="str">
        <f t="shared" si="1"/>
        <v/>
      </c>
      <c r="T539" s="39" t="str">
        <f t="shared" si="2"/>
        <v/>
      </c>
      <c r="U539" s="40" t="str">
        <f t="shared" si="3"/>
        <v/>
      </c>
      <c r="V539" s="34" t="str">
        <f t="shared" si="4"/>
        <v/>
      </c>
      <c r="W539" s="41" t="str">
        <f>IFERROR(__xludf.DUMMYFUNCTION(" IF(Account!$F539&lt;&gt;"""", SPLIT(Account!$F539, "" ""), """")"),"")</f>
        <v/>
      </c>
      <c r="X539" s="42"/>
      <c r="Y539" s="42"/>
      <c r="Z539" s="42"/>
      <c r="AA539" s="42"/>
      <c r="AB539" s="42"/>
      <c r="AC539" s="42"/>
      <c r="AD539" s="42"/>
      <c r="AE539" s="42"/>
      <c r="AF539" s="42"/>
      <c r="AG539" s="42"/>
      <c r="AH539" s="42"/>
      <c r="AI539" s="42"/>
      <c r="AJ539" s="42"/>
      <c r="AK539" s="42"/>
    </row>
    <row r="540">
      <c r="A540" s="20"/>
      <c r="B540" s="20"/>
      <c r="C540" s="20"/>
      <c r="D540" s="20"/>
      <c r="E540" s="20"/>
      <c r="F540" s="21"/>
      <c r="G540" s="20"/>
      <c r="H540" s="20"/>
      <c r="I540" s="20"/>
      <c r="J540" s="20"/>
      <c r="K540" s="20"/>
      <c r="L540" s="21"/>
      <c r="M540" s="33" t="str">
        <f>IFERROR(__xludf.DUMMYFUNCTION("IFS(W540=""Achat"",IFERROR(VALUE(X540),VALUE(REGEXREPLACE(T(X540),""[^0-9]"",""""))),W540=""Vente"",-IFERROR(VALUE(X540),VALUE(REGEXREPLACE(T(X540),""[^0-9]"",""""))),Y540=""Change"",0,Y540&lt;&gt;""Change"","""")"),"")</f>
        <v/>
      </c>
      <c r="N540" s="34" t="str">
        <f>IFERROR(__xludf.DUMMYFUNCTION("IF(Account!$F540&lt;&gt;"""", VALUE(REGEXREPLACE($I540, ""\,"", ""."")), """")"),"")</f>
        <v/>
      </c>
      <c r="O540" s="35" t="str">
        <f>IF(Account!$F540&lt;&gt;"", DATEVALUE(MID($A540,4,3) &amp; LEFT($A540,3) &amp; RIGHT($A540,4)) + TIMEVALUE($B540), "")</f>
        <v/>
      </c>
      <c r="P540" s="36" t="str">
        <f>IF(Account!$F540&lt;&gt;"", DATEVALUE(MID($C540,4,3) &amp; LEFT($C540,3) &amp; RIGHT($C540,4)), "")</f>
        <v/>
      </c>
      <c r="Q540" s="37" t="str">
        <f t="array" ref="Q540">IF($R540&lt;&gt;"",IFERROR(INDEX(ISIN!$B:$B,MATCH($R540,ISIN!$C:$C,0))),)</f>
        <v/>
      </c>
      <c r="R540" s="38" t="str">
        <f t="array" ref="R540">IF($E540&lt;&gt;"",IFERROR(INDEX(ISIN!$C:$C,MATCH($E540,ISIN!$A:$A,0)),IFERROR(INDEX($R541:$R1200,MATCH($K540,$K541:$K1200,0)))),IF(AND($Y540="change",$H540="EUR"),IF($O540=$O541,$R541,IF($O540=$O539,$R539)),IFERROR(INDEX($R541:$R1200,MATCH(SUBSTITUTE($I540,"-","",1),$K541:$K1200,0)))))</f>
        <v/>
      </c>
      <c r="S540" s="37" t="str">
        <f t="shared" si="1"/>
        <v/>
      </c>
      <c r="T540" s="39" t="str">
        <f t="shared" si="2"/>
        <v/>
      </c>
      <c r="U540" s="40" t="str">
        <f t="shared" si="3"/>
        <v/>
      </c>
      <c r="V540" s="34" t="str">
        <f t="shared" si="4"/>
        <v/>
      </c>
      <c r="W540" s="41" t="str">
        <f>IFERROR(__xludf.DUMMYFUNCTION(" IF(Account!$F540&lt;&gt;"""", SPLIT(Account!$F540, "" ""), """")"),"")</f>
        <v/>
      </c>
      <c r="X540" s="42"/>
      <c r="Y540" s="42"/>
      <c r="Z540" s="42"/>
      <c r="AA540" s="42"/>
      <c r="AB540" s="42"/>
      <c r="AC540" s="42"/>
      <c r="AD540" s="42"/>
      <c r="AE540" s="42"/>
      <c r="AF540" s="42"/>
      <c r="AG540" s="42"/>
      <c r="AH540" s="42"/>
      <c r="AI540" s="42"/>
      <c r="AJ540" s="42"/>
      <c r="AK540" s="42"/>
    </row>
    <row r="541">
      <c r="A541" s="20"/>
      <c r="B541" s="20"/>
      <c r="C541" s="20"/>
      <c r="D541" s="20"/>
      <c r="E541" s="20"/>
      <c r="F541" s="21"/>
      <c r="G541" s="45"/>
      <c r="H541" s="20"/>
      <c r="I541" s="20"/>
      <c r="J541" s="20"/>
      <c r="K541" s="20"/>
      <c r="L541" s="21"/>
      <c r="M541" s="33" t="str">
        <f>IFERROR(__xludf.DUMMYFUNCTION("IFS(W541=""Achat"",IFERROR(VALUE(X541),VALUE(REGEXREPLACE(T(X541),""[^0-9]"",""""))),W541=""Vente"",-IFERROR(VALUE(X541),VALUE(REGEXREPLACE(T(X541),""[^0-9]"",""""))),Y541=""Change"",0,Y541&lt;&gt;""Change"","""")"),"")</f>
        <v/>
      </c>
      <c r="N541" s="34" t="str">
        <f>IFERROR(__xludf.DUMMYFUNCTION("IF(Account!$F541&lt;&gt;"""", VALUE(REGEXREPLACE($I541, ""\,"", ""."")), """")"),"")</f>
        <v/>
      </c>
      <c r="O541" s="35" t="str">
        <f>IF(Account!$F541&lt;&gt;"", DATEVALUE(MID($A541,4,3) &amp; LEFT($A541,3) &amp; RIGHT($A541,4)) + TIMEVALUE($B541), "")</f>
        <v/>
      </c>
      <c r="P541" s="36" t="str">
        <f>IF(Account!$F541&lt;&gt;"", DATEVALUE(MID($C541,4,3) &amp; LEFT($C541,3) &amp; RIGHT($C541,4)), "")</f>
        <v/>
      </c>
      <c r="Q541" s="37" t="str">
        <f t="array" ref="Q541">IF($R541&lt;&gt;"",IFERROR(INDEX(ISIN!$B:$B,MATCH($R541,ISIN!$C:$C,0))),)</f>
        <v/>
      </c>
      <c r="R541" s="38" t="str">
        <f t="array" ref="R541">IF($E541&lt;&gt;"",IFERROR(INDEX(ISIN!$C:$C,MATCH($E541,ISIN!$A:$A,0)),IFERROR(INDEX($R542:$R1200,MATCH($K541,$K542:$K1200,0)))),IF(AND($Y541="change",$H541="EUR"),IF($O541=$O542,$R542,IF($O541=$O540,$R540)),IFERROR(INDEX($R542:$R1200,MATCH(SUBSTITUTE($I541,"-","",1),$K542:$K1200,0)))))</f>
        <v/>
      </c>
      <c r="S541" s="37" t="str">
        <f t="shared" si="1"/>
        <v/>
      </c>
      <c r="T541" s="39" t="str">
        <f t="shared" si="2"/>
        <v/>
      </c>
      <c r="U541" s="40" t="str">
        <f t="shared" si="3"/>
        <v/>
      </c>
      <c r="V541" s="34" t="str">
        <f t="shared" si="4"/>
        <v/>
      </c>
      <c r="W541" s="41" t="str">
        <f>IFERROR(__xludf.DUMMYFUNCTION(" IF(Account!$F541&lt;&gt;"""", SPLIT(Account!$F541, "" ""), """")"),"")</f>
        <v/>
      </c>
      <c r="X541" s="42"/>
      <c r="Y541" s="42"/>
      <c r="Z541" s="42"/>
      <c r="AA541" s="42"/>
      <c r="AB541" s="42"/>
      <c r="AC541" s="42"/>
      <c r="AD541" s="42"/>
      <c r="AE541" s="42"/>
      <c r="AF541" s="42"/>
      <c r="AG541" s="42"/>
      <c r="AH541" s="42"/>
      <c r="AI541" s="42"/>
      <c r="AJ541" s="42"/>
      <c r="AK541" s="42"/>
    </row>
    <row r="542">
      <c r="A542" s="20"/>
      <c r="B542" s="20"/>
      <c r="C542" s="20"/>
      <c r="D542" s="20"/>
      <c r="E542" s="20"/>
      <c r="F542" s="21"/>
      <c r="G542" s="20"/>
      <c r="H542" s="20"/>
      <c r="I542" s="20"/>
      <c r="J542" s="20"/>
      <c r="K542" s="20"/>
      <c r="L542" s="21"/>
      <c r="M542" s="33" t="str">
        <f>IFERROR(__xludf.DUMMYFUNCTION("IFS(W542=""Achat"",IFERROR(VALUE(X542),VALUE(REGEXREPLACE(T(X542),""[^0-9]"",""""))),W542=""Vente"",-IFERROR(VALUE(X542),VALUE(REGEXREPLACE(T(X542),""[^0-9]"",""""))),Y542=""Change"",0,Y542&lt;&gt;""Change"","""")"),"")</f>
        <v/>
      </c>
      <c r="N542" s="34" t="str">
        <f>IFERROR(__xludf.DUMMYFUNCTION("IF(Account!$F542&lt;&gt;"""", VALUE(REGEXREPLACE($I542, ""\,"", ""."")), """")"),"")</f>
        <v/>
      </c>
      <c r="O542" s="35" t="str">
        <f>IF(Account!$F542&lt;&gt;"", DATEVALUE(MID($A542,4,3) &amp; LEFT($A542,3) &amp; RIGHT($A542,4)) + TIMEVALUE($B542), "")</f>
        <v/>
      </c>
      <c r="P542" s="36" t="str">
        <f>IF(Account!$F542&lt;&gt;"", DATEVALUE(MID($C542,4,3) &amp; LEFT($C542,3) &amp; RIGHT($C542,4)), "")</f>
        <v/>
      </c>
      <c r="Q542" s="37" t="str">
        <f t="array" ref="Q542">IF($R542&lt;&gt;"",IFERROR(INDEX(ISIN!$B:$B,MATCH($R542,ISIN!$C:$C,0))),)</f>
        <v/>
      </c>
      <c r="R542" s="38" t="str">
        <f t="array" ref="R542">IF($E542&lt;&gt;"",IFERROR(INDEX(ISIN!$C:$C,MATCH($E542,ISIN!$A:$A,0)),IFERROR(INDEX($R543:$R1200,MATCH($K542,$K543:$K1200,0)))),IF(AND($Y542="change",$H542="EUR"),IF($O542=$O543,$R543,IF($O542=$O541,$R541)),IFERROR(INDEX($R543:$R1200,MATCH(SUBSTITUTE($I542,"-","",1),$K543:$K1200,0)))))</f>
        <v/>
      </c>
      <c r="S542" s="37" t="str">
        <f t="shared" si="1"/>
        <v/>
      </c>
      <c r="T542" s="39" t="str">
        <f t="shared" si="2"/>
        <v/>
      </c>
      <c r="U542" s="40" t="str">
        <f t="shared" si="3"/>
        <v/>
      </c>
      <c r="V542" s="34" t="str">
        <f t="shared" si="4"/>
        <v/>
      </c>
      <c r="W542" s="41" t="str">
        <f>IFERROR(__xludf.DUMMYFUNCTION(" IF(Account!$F542&lt;&gt;"""", SPLIT(Account!$F542, "" ""), """")"),"")</f>
        <v/>
      </c>
      <c r="X542" s="42"/>
      <c r="Y542" s="42"/>
      <c r="Z542" s="42"/>
      <c r="AA542" s="42"/>
      <c r="AB542" s="42"/>
      <c r="AC542" s="42"/>
      <c r="AD542" s="42"/>
      <c r="AE542" s="42"/>
      <c r="AF542" s="42"/>
      <c r="AG542" s="42"/>
      <c r="AH542" s="42"/>
      <c r="AI542" s="42"/>
      <c r="AJ542" s="42"/>
      <c r="AK542" s="42"/>
    </row>
    <row r="543">
      <c r="A543" s="20"/>
      <c r="B543" s="20"/>
      <c r="C543" s="20"/>
      <c r="D543" s="20"/>
      <c r="E543" s="20"/>
      <c r="F543" s="21"/>
      <c r="G543" s="45"/>
      <c r="H543" s="20"/>
      <c r="I543" s="20"/>
      <c r="J543" s="20"/>
      <c r="K543" s="20"/>
      <c r="L543" s="21"/>
      <c r="M543" s="33" t="str">
        <f>IFERROR(__xludf.DUMMYFUNCTION("IFS(W543=""Achat"",IFERROR(VALUE(X543),VALUE(REGEXREPLACE(T(X543),""[^0-9]"",""""))),W543=""Vente"",-IFERROR(VALUE(X543),VALUE(REGEXREPLACE(T(X543),""[^0-9]"",""""))),Y543=""Change"",0,Y543&lt;&gt;""Change"","""")"),"")</f>
        <v/>
      </c>
      <c r="N543" s="34" t="str">
        <f>IFERROR(__xludf.DUMMYFUNCTION("IF(Account!$F543&lt;&gt;"""", VALUE(REGEXREPLACE($I543, ""\,"", ""."")), """")"),"")</f>
        <v/>
      </c>
      <c r="O543" s="35" t="str">
        <f>IF(Account!$F543&lt;&gt;"", DATEVALUE(MID($A543,4,3) &amp; LEFT($A543,3) &amp; RIGHT($A543,4)) + TIMEVALUE($B543), "")</f>
        <v/>
      </c>
      <c r="P543" s="36" t="str">
        <f>IF(Account!$F543&lt;&gt;"", DATEVALUE(MID($C543,4,3) &amp; LEFT($C543,3) &amp; RIGHT($C543,4)), "")</f>
        <v/>
      </c>
      <c r="Q543" s="37" t="str">
        <f t="array" ref="Q543">IF($R543&lt;&gt;"",IFERROR(INDEX(ISIN!$B:$B,MATCH($R543,ISIN!$C:$C,0))),)</f>
        <v/>
      </c>
      <c r="R543" s="38" t="str">
        <f t="array" ref="R543">IF($E543&lt;&gt;"",IFERROR(INDEX(ISIN!$C:$C,MATCH($E543,ISIN!$A:$A,0)),IFERROR(INDEX($R544:$R1200,MATCH($K543,$K544:$K1200,0)))),IF(AND($Y543="change",$H543="EUR"),IF($O543=$O544,$R544,IF($O543=$O542,$R542)),IFERROR(INDEX($R544:$R1200,MATCH(SUBSTITUTE($I543,"-","",1),$K544:$K1200,0)))))</f>
        <v/>
      </c>
      <c r="S543" s="37" t="str">
        <f t="shared" si="1"/>
        <v/>
      </c>
      <c r="T543" s="39" t="str">
        <f t="shared" si="2"/>
        <v/>
      </c>
      <c r="U543" s="40" t="str">
        <f t="shared" si="3"/>
        <v/>
      </c>
      <c r="V543" s="34" t="str">
        <f t="shared" si="4"/>
        <v/>
      </c>
      <c r="W543" s="41" t="str">
        <f>IFERROR(__xludf.DUMMYFUNCTION(" IF(Account!$F543&lt;&gt;"""", SPLIT(Account!$F543, "" ""), """")"),"")</f>
        <v/>
      </c>
      <c r="X543" s="42"/>
      <c r="Y543" s="42"/>
      <c r="Z543" s="42"/>
      <c r="AA543" s="42"/>
      <c r="AB543" s="42"/>
      <c r="AC543" s="42"/>
      <c r="AD543" s="42"/>
      <c r="AE543" s="42"/>
      <c r="AF543" s="42"/>
      <c r="AG543" s="42"/>
      <c r="AH543" s="42"/>
      <c r="AI543" s="42"/>
      <c r="AJ543" s="42"/>
      <c r="AK543" s="42"/>
    </row>
    <row r="544">
      <c r="A544" s="20"/>
      <c r="B544" s="20"/>
      <c r="C544" s="20"/>
      <c r="D544" s="20"/>
      <c r="E544" s="20"/>
      <c r="F544" s="21"/>
      <c r="G544" s="20"/>
      <c r="H544" s="20"/>
      <c r="I544" s="20"/>
      <c r="J544" s="20"/>
      <c r="K544" s="20"/>
      <c r="L544" s="21"/>
      <c r="M544" s="33" t="str">
        <f>IFERROR(__xludf.DUMMYFUNCTION("IFS(W544=""Achat"",IFERROR(VALUE(X544),VALUE(REGEXREPLACE(T(X544),""[^0-9]"",""""))),W544=""Vente"",-IFERROR(VALUE(X544),VALUE(REGEXREPLACE(T(X544),""[^0-9]"",""""))),Y544=""Change"",0,Y544&lt;&gt;""Change"","""")"),"")</f>
        <v/>
      </c>
      <c r="N544" s="34" t="str">
        <f>IFERROR(__xludf.DUMMYFUNCTION("IF(Account!$F544&lt;&gt;"""", VALUE(REGEXREPLACE($I544, ""\,"", ""."")), """")"),"")</f>
        <v/>
      </c>
      <c r="O544" s="35" t="str">
        <f>IF(Account!$F544&lt;&gt;"", DATEVALUE(MID($A544,4,3) &amp; LEFT($A544,3) &amp; RIGHT($A544,4)) + TIMEVALUE($B544), "")</f>
        <v/>
      </c>
      <c r="P544" s="36" t="str">
        <f>IF(Account!$F544&lt;&gt;"", DATEVALUE(MID($C544,4,3) &amp; LEFT($C544,3) &amp; RIGHT($C544,4)), "")</f>
        <v/>
      </c>
      <c r="Q544" s="37" t="str">
        <f t="array" ref="Q544">IF($R544&lt;&gt;"",IFERROR(INDEX(ISIN!$B:$B,MATCH($R544,ISIN!$C:$C,0))),)</f>
        <v/>
      </c>
      <c r="R544" s="38" t="str">
        <f t="array" ref="R544">IF($E544&lt;&gt;"",IFERROR(INDEX(ISIN!$C:$C,MATCH($E544,ISIN!$A:$A,0)),IFERROR(INDEX($R545:$R1200,MATCH($K544,$K545:$K1200,0)))),IF(AND($Y544="change",$H544="EUR"),IF($O544=$O545,$R545,IF($O544=$O543,$R543)),IFERROR(INDEX($R545:$R1200,MATCH(SUBSTITUTE($I544,"-","",1),$K545:$K1200,0)))))</f>
        <v/>
      </c>
      <c r="S544" s="37" t="str">
        <f t="shared" si="1"/>
        <v/>
      </c>
      <c r="T544" s="39" t="str">
        <f t="shared" si="2"/>
        <v/>
      </c>
      <c r="U544" s="40" t="str">
        <f t="shared" si="3"/>
        <v/>
      </c>
      <c r="V544" s="34" t="str">
        <f t="shared" si="4"/>
        <v/>
      </c>
      <c r="W544" s="41" t="str">
        <f>IFERROR(__xludf.DUMMYFUNCTION(" IF(Account!$F544&lt;&gt;"""", SPLIT(Account!$F544, "" ""), """")"),"")</f>
        <v/>
      </c>
      <c r="X544" s="42"/>
      <c r="Y544" s="42"/>
      <c r="Z544" s="42"/>
      <c r="AA544" s="42"/>
      <c r="AB544" s="42"/>
      <c r="AC544" s="42"/>
      <c r="AD544" s="42"/>
      <c r="AE544" s="42"/>
      <c r="AF544" s="42"/>
      <c r="AG544" s="42"/>
      <c r="AH544" s="42"/>
      <c r="AI544" s="42"/>
      <c r="AJ544" s="42"/>
      <c r="AK544" s="42"/>
    </row>
    <row r="545">
      <c r="A545" s="20"/>
      <c r="B545" s="20"/>
      <c r="C545" s="20"/>
      <c r="D545" s="20"/>
      <c r="E545" s="20"/>
      <c r="F545" s="21"/>
      <c r="G545" s="45"/>
      <c r="H545" s="20"/>
      <c r="I545" s="20"/>
      <c r="J545" s="20"/>
      <c r="K545" s="20"/>
      <c r="L545" s="21"/>
      <c r="M545" s="33" t="str">
        <f>IFERROR(__xludf.DUMMYFUNCTION("IFS(W545=""Achat"",IFERROR(VALUE(X545),VALUE(REGEXREPLACE(T(X545),""[^0-9]"",""""))),W545=""Vente"",-IFERROR(VALUE(X545),VALUE(REGEXREPLACE(T(X545),""[^0-9]"",""""))),Y545=""Change"",0,Y545&lt;&gt;""Change"","""")"),"")</f>
        <v/>
      </c>
      <c r="N545" s="34" t="str">
        <f>IFERROR(__xludf.DUMMYFUNCTION("IF(Account!$F545&lt;&gt;"""", VALUE(REGEXREPLACE($I545, ""\,"", ""."")), """")"),"")</f>
        <v/>
      </c>
      <c r="O545" s="35" t="str">
        <f>IF(Account!$F545&lt;&gt;"", DATEVALUE(MID($A545,4,3) &amp; LEFT($A545,3) &amp; RIGHT($A545,4)) + TIMEVALUE($B545), "")</f>
        <v/>
      </c>
      <c r="P545" s="36" t="str">
        <f>IF(Account!$F545&lt;&gt;"", DATEVALUE(MID($C545,4,3) &amp; LEFT($C545,3) &amp; RIGHT($C545,4)), "")</f>
        <v/>
      </c>
      <c r="Q545" s="37" t="str">
        <f t="array" ref="Q545">IF($R545&lt;&gt;"",IFERROR(INDEX(ISIN!$B:$B,MATCH($R545,ISIN!$C:$C,0))),)</f>
        <v/>
      </c>
      <c r="R545" s="38" t="str">
        <f t="array" ref="R545">IF($E545&lt;&gt;"",IFERROR(INDEX(ISIN!$C:$C,MATCH($E545,ISIN!$A:$A,0)),IFERROR(INDEX($R546:$R1200,MATCH($K545,$K546:$K1200,0)))),IF(AND($Y545="change",$H545="EUR"),IF($O545=$O546,$R546,IF($O545=$O544,$R544)),IFERROR(INDEX($R546:$R1200,MATCH(SUBSTITUTE($I545,"-","",1),$K546:$K1200,0)))))</f>
        <v/>
      </c>
      <c r="S545" s="37" t="str">
        <f t="shared" si="1"/>
        <v/>
      </c>
      <c r="T545" s="39" t="str">
        <f t="shared" si="2"/>
        <v/>
      </c>
      <c r="U545" s="40" t="str">
        <f t="shared" si="3"/>
        <v/>
      </c>
      <c r="V545" s="34" t="str">
        <f t="shared" si="4"/>
        <v/>
      </c>
      <c r="W545" s="41" t="str">
        <f>IFERROR(__xludf.DUMMYFUNCTION(" IF(Account!$F545&lt;&gt;"""", SPLIT(Account!$F545, "" ""), """")"),"")</f>
        <v/>
      </c>
      <c r="X545" s="42"/>
      <c r="Y545" s="42"/>
      <c r="Z545" s="42"/>
      <c r="AA545" s="42"/>
      <c r="AB545" s="42"/>
      <c r="AC545" s="42"/>
      <c r="AD545" s="42"/>
      <c r="AE545" s="42"/>
      <c r="AF545" s="42"/>
      <c r="AG545" s="42"/>
      <c r="AH545" s="42"/>
      <c r="AI545" s="42"/>
      <c r="AJ545" s="42"/>
      <c r="AK545" s="42"/>
    </row>
    <row r="546">
      <c r="A546" s="20"/>
      <c r="B546" s="20"/>
      <c r="C546" s="20"/>
      <c r="D546" s="20"/>
      <c r="E546" s="20"/>
      <c r="F546" s="21"/>
      <c r="G546" s="20"/>
      <c r="H546" s="20"/>
      <c r="I546" s="20"/>
      <c r="J546" s="20"/>
      <c r="K546" s="20"/>
      <c r="L546" s="21"/>
      <c r="M546" s="33" t="str">
        <f>IFERROR(__xludf.DUMMYFUNCTION("IFS(W546=""Achat"",IFERROR(VALUE(X546),VALUE(REGEXREPLACE(T(X546),""[^0-9]"",""""))),W546=""Vente"",-IFERROR(VALUE(X546),VALUE(REGEXREPLACE(T(X546),""[^0-9]"",""""))),Y546=""Change"",0,Y546&lt;&gt;""Change"","""")"),"")</f>
        <v/>
      </c>
      <c r="N546" s="34" t="str">
        <f>IFERROR(__xludf.DUMMYFUNCTION("IF(Account!$F546&lt;&gt;"""", VALUE(REGEXREPLACE($I546, ""\,"", ""."")), """")"),"")</f>
        <v/>
      </c>
      <c r="O546" s="35" t="str">
        <f>IF(Account!$F546&lt;&gt;"", DATEVALUE(MID($A546,4,3) &amp; LEFT($A546,3) &amp; RIGHT($A546,4)) + TIMEVALUE($B546), "")</f>
        <v/>
      </c>
      <c r="P546" s="36" t="str">
        <f>IF(Account!$F546&lt;&gt;"", DATEVALUE(MID($C546,4,3) &amp; LEFT($C546,3) &amp; RIGHT($C546,4)), "")</f>
        <v/>
      </c>
      <c r="Q546" s="37" t="str">
        <f t="array" ref="Q546">IF($R546&lt;&gt;"",IFERROR(INDEX(ISIN!$B:$B,MATCH($R546,ISIN!$C:$C,0))),)</f>
        <v/>
      </c>
      <c r="R546" s="38" t="str">
        <f t="array" ref="R546">IF($E546&lt;&gt;"",IFERROR(INDEX(ISIN!$C:$C,MATCH($E546,ISIN!$A:$A,0)),IFERROR(INDEX($R547:$R1200,MATCH($K546,$K547:$K1200,0)))),IF(AND($Y546="change",$H546="EUR"),IF($O546=$O547,$R547,IF($O546=$O545,$R545)),IFERROR(INDEX($R547:$R1200,MATCH(SUBSTITUTE($I546,"-","",1),$K547:$K1200,0)))))</f>
        <v/>
      </c>
      <c r="S546" s="37" t="str">
        <f t="shared" si="1"/>
        <v/>
      </c>
      <c r="T546" s="39" t="str">
        <f t="shared" si="2"/>
        <v/>
      </c>
      <c r="U546" s="40" t="str">
        <f t="shared" si="3"/>
        <v/>
      </c>
      <c r="V546" s="34" t="str">
        <f t="shared" si="4"/>
        <v/>
      </c>
      <c r="W546" s="41" t="str">
        <f>IFERROR(__xludf.DUMMYFUNCTION(" IF(Account!$F546&lt;&gt;"""", SPLIT(Account!$F546, "" ""), """")"),"")</f>
        <v/>
      </c>
      <c r="X546" s="42"/>
      <c r="Y546" s="42"/>
      <c r="Z546" s="42"/>
      <c r="AA546" s="42"/>
      <c r="AB546" s="42"/>
      <c r="AC546" s="42"/>
      <c r="AD546" s="42"/>
      <c r="AE546" s="42"/>
      <c r="AF546" s="42"/>
      <c r="AG546" s="42"/>
      <c r="AH546" s="42"/>
      <c r="AI546" s="42"/>
      <c r="AJ546" s="42"/>
      <c r="AK546" s="42"/>
    </row>
    <row r="547">
      <c r="A547" s="20"/>
      <c r="B547" s="20"/>
      <c r="C547" s="20"/>
      <c r="D547" s="20"/>
      <c r="E547" s="20"/>
      <c r="F547" s="21"/>
      <c r="G547" s="45"/>
      <c r="H547" s="20"/>
      <c r="I547" s="20"/>
      <c r="J547" s="20"/>
      <c r="K547" s="20"/>
      <c r="L547" s="21"/>
      <c r="M547" s="33" t="str">
        <f>IFERROR(__xludf.DUMMYFUNCTION("IFS(W547=""Achat"",IFERROR(VALUE(X547),VALUE(REGEXREPLACE(T(X547),""[^0-9]"",""""))),W547=""Vente"",-IFERROR(VALUE(X547),VALUE(REGEXREPLACE(T(X547),""[^0-9]"",""""))),Y547=""Change"",0,Y547&lt;&gt;""Change"","""")"),"")</f>
        <v/>
      </c>
      <c r="N547" s="34" t="str">
        <f>IFERROR(__xludf.DUMMYFUNCTION("IF(Account!$F547&lt;&gt;"""", VALUE(REGEXREPLACE($I547, ""\,"", ""."")), """")"),"")</f>
        <v/>
      </c>
      <c r="O547" s="35" t="str">
        <f>IF(Account!$F547&lt;&gt;"", DATEVALUE(MID($A547,4,3) &amp; LEFT($A547,3) &amp; RIGHT($A547,4)) + TIMEVALUE($B547), "")</f>
        <v/>
      </c>
      <c r="P547" s="36" t="str">
        <f>IF(Account!$F547&lt;&gt;"", DATEVALUE(MID($C547,4,3) &amp; LEFT($C547,3) &amp; RIGHT($C547,4)), "")</f>
        <v/>
      </c>
      <c r="Q547" s="37" t="str">
        <f t="array" ref="Q547">IF($R547&lt;&gt;"",IFERROR(INDEX(ISIN!$B:$B,MATCH($R547,ISIN!$C:$C,0))),)</f>
        <v/>
      </c>
      <c r="R547" s="38" t="str">
        <f t="array" ref="R547">IF($E547&lt;&gt;"",IFERROR(INDEX(ISIN!$C:$C,MATCH($E547,ISIN!$A:$A,0)),IFERROR(INDEX($R548:$R1200,MATCH($K547,$K548:$K1200,0)))),IF(AND($Y547="change",$H547="EUR"),IF($O547=$O548,$R548,IF($O547=$O546,$R546)),IFERROR(INDEX($R548:$R1200,MATCH(SUBSTITUTE($I547,"-","",1),$K548:$K1200,0)))))</f>
        <v/>
      </c>
      <c r="S547" s="37" t="str">
        <f t="shared" si="1"/>
        <v/>
      </c>
      <c r="T547" s="39" t="str">
        <f t="shared" si="2"/>
        <v/>
      </c>
      <c r="U547" s="40" t="str">
        <f t="shared" si="3"/>
        <v/>
      </c>
      <c r="V547" s="34" t="str">
        <f t="shared" si="4"/>
        <v/>
      </c>
      <c r="W547" s="41" t="str">
        <f>IFERROR(__xludf.DUMMYFUNCTION(" IF(Account!$F547&lt;&gt;"""", SPLIT(Account!$F547, "" ""), """")"),"")</f>
        <v/>
      </c>
      <c r="X547" s="42"/>
      <c r="Y547" s="42"/>
      <c r="Z547" s="42"/>
      <c r="AA547" s="42"/>
      <c r="AB547" s="42"/>
      <c r="AC547" s="42"/>
      <c r="AD547" s="42"/>
      <c r="AE547" s="42"/>
      <c r="AF547" s="42"/>
      <c r="AG547" s="42"/>
      <c r="AH547" s="42"/>
      <c r="AI547" s="42"/>
      <c r="AJ547" s="42"/>
      <c r="AK547" s="42"/>
    </row>
    <row r="548">
      <c r="A548" s="20"/>
      <c r="B548" s="20"/>
      <c r="C548" s="20"/>
      <c r="D548" s="20"/>
      <c r="E548" s="20"/>
      <c r="F548" s="21"/>
      <c r="G548" s="45"/>
      <c r="H548" s="20"/>
      <c r="I548" s="20"/>
      <c r="J548" s="20"/>
      <c r="K548" s="20"/>
      <c r="L548" s="21"/>
      <c r="M548" s="33" t="str">
        <f>IFERROR(__xludf.DUMMYFUNCTION("IFS(W548=""Achat"",IFERROR(VALUE(X548),VALUE(REGEXREPLACE(T(X548),""[^0-9]"",""""))),W548=""Vente"",-IFERROR(VALUE(X548),VALUE(REGEXREPLACE(T(X548),""[^0-9]"",""""))),Y548=""Change"",0,Y548&lt;&gt;""Change"","""")"),"")</f>
        <v/>
      </c>
      <c r="N548" s="34" t="str">
        <f>IFERROR(__xludf.DUMMYFUNCTION("IF(Account!$F548&lt;&gt;"""", VALUE(REGEXREPLACE($I548, ""\,"", ""."")), """")"),"")</f>
        <v/>
      </c>
      <c r="O548" s="35" t="str">
        <f>IF(Account!$F548&lt;&gt;"", DATEVALUE(MID($A548,4,3) &amp; LEFT($A548,3) &amp; RIGHT($A548,4)) + TIMEVALUE($B548), "")</f>
        <v/>
      </c>
      <c r="P548" s="36" t="str">
        <f>IF(Account!$F548&lt;&gt;"", DATEVALUE(MID($C548,4,3) &amp; LEFT($C548,3) &amp; RIGHT($C548,4)), "")</f>
        <v/>
      </c>
      <c r="Q548" s="37" t="str">
        <f t="array" ref="Q548">IF($R548&lt;&gt;"",IFERROR(INDEX(ISIN!$B:$B,MATCH($R548,ISIN!$C:$C,0))),)</f>
        <v/>
      </c>
      <c r="R548" s="38" t="str">
        <f t="array" ref="R548">IF($E548&lt;&gt;"",IFERROR(INDEX(ISIN!$C:$C,MATCH($E548,ISIN!$A:$A,0)),IFERROR(INDEX($R549:$R1200,MATCH($K548,$K549:$K1200,0)))),IF(AND($Y548="change",$H548="EUR"),IF($O548=$O549,$R549,IF($O548=$O547,$R547)),IFERROR(INDEX($R549:$R1200,MATCH(SUBSTITUTE($I548,"-","",1),$K549:$K1200,0)))))</f>
        <v/>
      </c>
      <c r="S548" s="37" t="str">
        <f t="shared" si="1"/>
        <v/>
      </c>
      <c r="T548" s="39" t="str">
        <f t="shared" si="2"/>
        <v/>
      </c>
      <c r="U548" s="40" t="str">
        <f t="shared" si="3"/>
        <v/>
      </c>
      <c r="V548" s="34" t="str">
        <f t="shared" si="4"/>
        <v/>
      </c>
      <c r="W548" s="41" t="str">
        <f>IFERROR(__xludf.DUMMYFUNCTION(" IF(Account!$F548&lt;&gt;"""", SPLIT(Account!$F548, "" ""), """")"),"")</f>
        <v/>
      </c>
      <c r="X548" s="42"/>
      <c r="Y548" s="42"/>
      <c r="Z548" s="42"/>
      <c r="AA548" s="42"/>
      <c r="AB548" s="42"/>
      <c r="AC548" s="42"/>
      <c r="AD548" s="42"/>
      <c r="AE548" s="42"/>
      <c r="AF548" s="42"/>
      <c r="AG548" s="42"/>
      <c r="AH548" s="42"/>
      <c r="AI548" s="42"/>
      <c r="AJ548" s="42"/>
      <c r="AK548" s="42"/>
    </row>
    <row r="549">
      <c r="A549" s="20"/>
      <c r="B549" s="20"/>
      <c r="C549" s="20"/>
      <c r="D549" s="20"/>
      <c r="E549" s="20"/>
      <c r="F549" s="21"/>
      <c r="G549" s="20"/>
      <c r="H549" s="20"/>
      <c r="I549" s="20"/>
      <c r="J549" s="20"/>
      <c r="K549" s="20"/>
      <c r="L549" s="21"/>
      <c r="M549" s="33" t="str">
        <f>IFERROR(__xludf.DUMMYFUNCTION("IFS(W549=""Achat"",IFERROR(VALUE(X549),VALUE(REGEXREPLACE(T(X549),""[^0-9]"",""""))),W549=""Vente"",-IFERROR(VALUE(X549),VALUE(REGEXREPLACE(T(X549),""[^0-9]"",""""))),Y549=""Change"",0,Y549&lt;&gt;""Change"","""")"),"")</f>
        <v/>
      </c>
      <c r="N549" s="34" t="str">
        <f>IFERROR(__xludf.DUMMYFUNCTION("IF(Account!$F549&lt;&gt;"""", VALUE(REGEXREPLACE($I549, ""\,"", ""."")), """")"),"")</f>
        <v/>
      </c>
      <c r="O549" s="35" t="str">
        <f>IF(Account!$F549&lt;&gt;"", DATEVALUE(MID($A549,4,3) &amp; LEFT($A549,3) &amp; RIGHT($A549,4)) + TIMEVALUE($B549), "")</f>
        <v/>
      </c>
      <c r="P549" s="36" t="str">
        <f>IF(Account!$F549&lt;&gt;"", DATEVALUE(MID($C549,4,3) &amp; LEFT($C549,3) &amp; RIGHT($C549,4)), "")</f>
        <v/>
      </c>
      <c r="Q549" s="37" t="str">
        <f t="array" ref="Q549">IF($R549&lt;&gt;"",IFERROR(INDEX(ISIN!$B:$B,MATCH($R549,ISIN!$C:$C,0))),)</f>
        <v/>
      </c>
      <c r="R549" s="38" t="str">
        <f t="array" ref="R549">IF($E549&lt;&gt;"",IFERROR(INDEX(ISIN!$C:$C,MATCH($E549,ISIN!$A:$A,0)),IFERROR(INDEX($R550:$R1200,MATCH($K549,$K550:$K1200,0)))),IF(AND($Y549="change",$H549="EUR"),IF($O549=$O550,$R550,IF($O549=$O548,$R548)),IFERROR(INDEX($R550:$R1200,MATCH(SUBSTITUTE($I549,"-","",1),$K550:$K1200,0)))))</f>
        <v/>
      </c>
      <c r="S549" s="37" t="str">
        <f t="shared" si="1"/>
        <v/>
      </c>
      <c r="T549" s="39" t="str">
        <f t="shared" si="2"/>
        <v/>
      </c>
      <c r="U549" s="40" t="str">
        <f t="shared" si="3"/>
        <v/>
      </c>
      <c r="V549" s="34" t="str">
        <f t="shared" si="4"/>
        <v/>
      </c>
      <c r="W549" s="41" t="str">
        <f>IFERROR(__xludf.DUMMYFUNCTION(" IF(Account!$F549&lt;&gt;"""", SPLIT(Account!$F549, "" ""), """")"),"")</f>
        <v/>
      </c>
      <c r="X549" s="42"/>
      <c r="Y549" s="42"/>
      <c r="Z549" s="42"/>
      <c r="AA549" s="42"/>
      <c r="AB549" s="42"/>
      <c r="AC549" s="42"/>
      <c r="AD549" s="42"/>
      <c r="AE549" s="42"/>
      <c r="AF549" s="42"/>
      <c r="AG549" s="42"/>
      <c r="AH549" s="42"/>
      <c r="AI549" s="42"/>
      <c r="AJ549" s="42"/>
      <c r="AK549" s="42"/>
    </row>
    <row r="550">
      <c r="A550" s="20"/>
      <c r="B550" s="20"/>
      <c r="C550" s="20"/>
      <c r="D550" s="20"/>
      <c r="E550" s="20"/>
      <c r="F550" s="21"/>
      <c r="G550" s="20"/>
      <c r="H550" s="20"/>
      <c r="I550" s="20"/>
      <c r="J550" s="20"/>
      <c r="K550" s="20"/>
      <c r="L550" s="21"/>
      <c r="M550" s="33" t="str">
        <f>IFERROR(__xludf.DUMMYFUNCTION("IFS(W550=""Achat"",IFERROR(VALUE(X550),VALUE(REGEXREPLACE(T(X550),""[^0-9]"",""""))),W550=""Vente"",-IFERROR(VALUE(X550),VALUE(REGEXREPLACE(T(X550),""[^0-9]"",""""))),Y550=""Change"",0,Y550&lt;&gt;""Change"","""")"),"")</f>
        <v/>
      </c>
      <c r="N550" s="34" t="str">
        <f>IFERROR(__xludf.DUMMYFUNCTION("IF(Account!$F550&lt;&gt;"""", VALUE(REGEXREPLACE($I550, ""\,"", ""."")), """")"),"")</f>
        <v/>
      </c>
      <c r="O550" s="35" t="str">
        <f>IF(Account!$F550&lt;&gt;"", DATEVALUE(MID($A550,4,3) &amp; LEFT($A550,3) &amp; RIGHT($A550,4)) + TIMEVALUE($B550), "")</f>
        <v/>
      </c>
      <c r="P550" s="36" t="str">
        <f>IF(Account!$F550&lt;&gt;"", DATEVALUE(MID($C550,4,3) &amp; LEFT($C550,3) &amp; RIGHT($C550,4)), "")</f>
        <v/>
      </c>
      <c r="Q550" s="37" t="str">
        <f t="array" ref="Q550">IF($R550&lt;&gt;"",IFERROR(INDEX(ISIN!$B:$B,MATCH($R550,ISIN!$C:$C,0))),)</f>
        <v/>
      </c>
      <c r="R550" s="38" t="str">
        <f t="array" ref="R550">IF($E550&lt;&gt;"",IFERROR(INDEX(ISIN!$C:$C,MATCH($E550,ISIN!$A:$A,0)),IFERROR(INDEX($R551:$R1200,MATCH($K550,$K551:$K1200,0)))),IF(AND($Y550="change",$H550="EUR"),IF($O550=$O551,$R551,IF($O550=$O549,$R549)),IFERROR(INDEX($R551:$R1200,MATCH(SUBSTITUTE($I550,"-","",1),$K551:$K1200,0)))))</f>
        <v/>
      </c>
      <c r="S550" s="37" t="str">
        <f t="shared" si="1"/>
        <v/>
      </c>
      <c r="T550" s="39" t="str">
        <f t="shared" si="2"/>
        <v/>
      </c>
      <c r="U550" s="40" t="str">
        <f t="shared" si="3"/>
        <v/>
      </c>
      <c r="V550" s="34" t="str">
        <f t="shared" si="4"/>
        <v/>
      </c>
      <c r="W550" s="41" t="str">
        <f>IFERROR(__xludf.DUMMYFUNCTION(" IF(Account!$F550&lt;&gt;"""", SPLIT(Account!$F550, "" ""), """")"),"")</f>
        <v/>
      </c>
      <c r="X550" s="42"/>
      <c r="Y550" s="42"/>
      <c r="Z550" s="42"/>
      <c r="AA550" s="42"/>
      <c r="AB550" s="42"/>
      <c r="AC550" s="42"/>
      <c r="AD550" s="42"/>
      <c r="AE550" s="42"/>
      <c r="AF550" s="42"/>
      <c r="AG550" s="42"/>
      <c r="AH550" s="42"/>
      <c r="AI550" s="42"/>
      <c r="AJ550" s="42"/>
      <c r="AK550" s="42"/>
    </row>
    <row r="551">
      <c r="A551" s="20"/>
      <c r="B551" s="20"/>
      <c r="C551" s="20"/>
      <c r="D551" s="20"/>
      <c r="E551" s="20"/>
      <c r="F551" s="21"/>
      <c r="G551" s="45"/>
      <c r="H551" s="20"/>
      <c r="I551" s="20"/>
      <c r="J551" s="20"/>
      <c r="K551" s="20"/>
      <c r="L551" s="21"/>
      <c r="M551" s="33" t="str">
        <f>IFERROR(__xludf.DUMMYFUNCTION("IFS(W551=""Achat"",IFERROR(VALUE(X551),VALUE(REGEXREPLACE(T(X551),""[^0-9]"",""""))),W551=""Vente"",-IFERROR(VALUE(X551),VALUE(REGEXREPLACE(T(X551),""[^0-9]"",""""))),Y551=""Change"",0,Y551&lt;&gt;""Change"","""")"),"")</f>
        <v/>
      </c>
      <c r="N551" s="34" t="str">
        <f>IFERROR(__xludf.DUMMYFUNCTION("IF(Account!$F551&lt;&gt;"""", VALUE(REGEXREPLACE($I551, ""\,"", ""."")), """")"),"")</f>
        <v/>
      </c>
      <c r="O551" s="35" t="str">
        <f>IF(Account!$F551&lt;&gt;"", DATEVALUE(MID($A551,4,3) &amp; LEFT($A551,3) &amp; RIGHT($A551,4)) + TIMEVALUE($B551), "")</f>
        <v/>
      </c>
      <c r="P551" s="36" t="str">
        <f>IF(Account!$F551&lt;&gt;"", DATEVALUE(MID($C551,4,3) &amp; LEFT($C551,3) &amp; RIGHT($C551,4)), "")</f>
        <v/>
      </c>
      <c r="Q551" s="37" t="str">
        <f t="array" ref="Q551">IF($R551&lt;&gt;"",IFERROR(INDEX(ISIN!$B:$B,MATCH($R551,ISIN!$C:$C,0))),)</f>
        <v/>
      </c>
      <c r="R551" s="38" t="str">
        <f t="array" ref="R551">IF($E551&lt;&gt;"",IFERROR(INDEX(ISIN!$C:$C,MATCH($E551,ISIN!$A:$A,0)),IFERROR(INDEX($R552:$R1200,MATCH($K551,$K552:$K1200,0)))),IF(AND($Y551="change",$H551="EUR"),IF($O551=$O552,$R552,IF($O551=$O550,$R550)),IFERROR(INDEX($R552:$R1200,MATCH(SUBSTITUTE($I551,"-","",1),$K552:$K1200,0)))))</f>
        <v/>
      </c>
      <c r="S551" s="37" t="str">
        <f t="shared" si="1"/>
        <v/>
      </c>
      <c r="T551" s="39" t="str">
        <f t="shared" si="2"/>
        <v/>
      </c>
      <c r="U551" s="40" t="str">
        <f t="shared" si="3"/>
        <v/>
      </c>
      <c r="V551" s="34" t="str">
        <f t="shared" si="4"/>
        <v/>
      </c>
      <c r="W551" s="41" t="str">
        <f>IFERROR(__xludf.DUMMYFUNCTION(" IF(Account!$F551&lt;&gt;"""", SPLIT(Account!$F551, "" ""), """")"),"")</f>
        <v/>
      </c>
      <c r="X551" s="42"/>
      <c r="Y551" s="42"/>
      <c r="Z551" s="42"/>
      <c r="AA551" s="42"/>
      <c r="AB551" s="42"/>
      <c r="AC551" s="42"/>
      <c r="AD551" s="42"/>
      <c r="AE551" s="42"/>
      <c r="AF551" s="42"/>
      <c r="AG551" s="42"/>
      <c r="AH551" s="42"/>
      <c r="AI551" s="42"/>
      <c r="AJ551" s="42"/>
      <c r="AK551" s="42"/>
    </row>
    <row r="552">
      <c r="A552" s="20"/>
      <c r="B552" s="20"/>
      <c r="C552" s="20"/>
      <c r="D552" s="20"/>
      <c r="E552" s="20"/>
      <c r="F552" s="21"/>
      <c r="G552" s="20"/>
      <c r="H552" s="20"/>
      <c r="I552" s="20"/>
      <c r="J552" s="20"/>
      <c r="K552" s="20"/>
      <c r="L552" s="21"/>
      <c r="M552" s="33" t="str">
        <f>IFERROR(__xludf.DUMMYFUNCTION("IFS(W552=""Achat"",IFERROR(VALUE(X552),VALUE(REGEXREPLACE(T(X552),""[^0-9]"",""""))),W552=""Vente"",-IFERROR(VALUE(X552),VALUE(REGEXREPLACE(T(X552),""[^0-9]"",""""))),Y552=""Change"",0,Y552&lt;&gt;""Change"","""")"),"")</f>
        <v/>
      </c>
      <c r="N552" s="34" t="str">
        <f>IFERROR(__xludf.DUMMYFUNCTION("IF(Account!$F552&lt;&gt;"""", VALUE(REGEXREPLACE($I552, ""\,"", ""."")), """")"),"")</f>
        <v/>
      </c>
      <c r="O552" s="35" t="str">
        <f>IF(Account!$F552&lt;&gt;"", DATEVALUE(MID($A552,4,3) &amp; LEFT($A552,3) &amp; RIGHT($A552,4)) + TIMEVALUE($B552), "")</f>
        <v/>
      </c>
      <c r="P552" s="36" t="str">
        <f>IF(Account!$F552&lt;&gt;"", DATEVALUE(MID($C552,4,3) &amp; LEFT($C552,3) &amp; RIGHT($C552,4)), "")</f>
        <v/>
      </c>
      <c r="Q552" s="37" t="str">
        <f t="array" ref="Q552">IF($R552&lt;&gt;"",IFERROR(INDEX(ISIN!$B:$B,MATCH($R552,ISIN!$C:$C,0))),)</f>
        <v/>
      </c>
      <c r="R552" s="38" t="str">
        <f t="array" ref="R552">IF($E552&lt;&gt;"",IFERROR(INDEX(ISIN!$C:$C,MATCH($E552,ISIN!$A:$A,0)),IFERROR(INDEX($R553:$R1200,MATCH($K552,$K553:$K1200,0)))),IF(AND($Y552="change",$H552="EUR"),IF($O552=$O553,$R553,IF($O552=$O551,$R551)),IFERROR(INDEX($R553:$R1200,MATCH(SUBSTITUTE($I552,"-","",1),$K553:$K1200,0)))))</f>
        <v/>
      </c>
      <c r="S552" s="37" t="str">
        <f t="shared" si="1"/>
        <v/>
      </c>
      <c r="T552" s="39" t="str">
        <f t="shared" si="2"/>
        <v/>
      </c>
      <c r="U552" s="40" t="str">
        <f t="shared" si="3"/>
        <v/>
      </c>
      <c r="V552" s="34" t="str">
        <f t="shared" si="4"/>
        <v/>
      </c>
      <c r="W552" s="41" t="str">
        <f>IFERROR(__xludf.DUMMYFUNCTION(" IF(Account!$F552&lt;&gt;"""", SPLIT(Account!$F552, "" ""), """")"),"")</f>
        <v/>
      </c>
      <c r="X552" s="42"/>
      <c r="Y552" s="42"/>
      <c r="Z552" s="42"/>
      <c r="AA552" s="42"/>
      <c r="AB552" s="42"/>
      <c r="AC552" s="42"/>
      <c r="AD552" s="42"/>
      <c r="AE552" s="42"/>
      <c r="AF552" s="42"/>
      <c r="AG552" s="42"/>
      <c r="AH552" s="42"/>
      <c r="AI552" s="42"/>
      <c r="AJ552" s="42"/>
      <c r="AK552" s="42"/>
    </row>
    <row r="553">
      <c r="A553" s="20"/>
      <c r="B553" s="20"/>
      <c r="C553" s="20"/>
      <c r="D553" s="20"/>
      <c r="E553" s="20"/>
      <c r="F553" s="21"/>
      <c r="G553" s="45"/>
      <c r="H553" s="20"/>
      <c r="I553" s="20"/>
      <c r="J553" s="20"/>
      <c r="K553" s="20"/>
      <c r="L553" s="21"/>
      <c r="M553" s="33" t="str">
        <f>IFERROR(__xludf.DUMMYFUNCTION("IFS(W553=""Achat"",IFERROR(VALUE(X553),VALUE(REGEXREPLACE(T(X553),""[^0-9]"",""""))),W553=""Vente"",-IFERROR(VALUE(X553),VALUE(REGEXREPLACE(T(X553),""[^0-9]"",""""))),Y553=""Change"",0,Y553&lt;&gt;""Change"","""")"),"")</f>
        <v/>
      </c>
      <c r="N553" s="34" t="str">
        <f>IFERROR(__xludf.DUMMYFUNCTION("IF(Account!$F553&lt;&gt;"""", VALUE(REGEXREPLACE($I553, ""\,"", ""."")), """")"),"")</f>
        <v/>
      </c>
      <c r="O553" s="35" t="str">
        <f>IF(Account!$F553&lt;&gt;"", DATEVALUE(MID($A553,4,3) &amp; LEFT($A553,3) &amp; RIGHT($A553,4)) + TIMEVALUE($B553), "")</f>
        <v/>
      </c>
      <c r="P553" s="36" t="str">
        <f>IF(Account!$F553&lt;&gt;"", DATEVALUE(MID($C553,4,3) &amp; LEFT($C553,3) &amp; RIGHT($C553,4)), "")</f>
        <v/>
      </c>
      <c r="Q553" s="37" t="str">
        <f t="array" ref="Q553">IF($R553&lt;&gt;"",IFERROR(INDEX(ISIN!$B:$B,MATCH($R553,ISIN!$C:$C,0))),)</f>
        <v/>
      </c>
      <c r="R553" s="38" t="str">
        <f t="array" ref="R553">IF($E553&lt;&gt;"",IFERROR(INDEX(ISIN!$C:$C,MATCH($E553,ISIN!$A:$A,0)),IFERROR(INDEX($R554:$R1200,MATCH($K553,$K554:$K1200,0)))),IF(AND($Y553="change",$H553="EUR"),IF($O553=$O554,$R554,IF($O553=$O552,$R552)),IFERROR(INDEX($R554:$R1200,MATCH(SUBSTITUTE($I553,"-","",1),$K554:$K1200,0)))))</f>
        <v/>
      </c>
      <c r="S553" s="37" t="str">
        <f t="shared" si="1"/>
        <v/>
      </c>
      <c r="T553" s="39" t="str">
        <f t="shared" si="2"/>
        <v/>
      </c>
      <c r="U553" s="40" t="str">
        <f t="shared" si="3"/>
        <v/>
      </c>
      <c r="V553" s="34" t="str">
        <f t="shared" si="4"/>
        <v/>
      </c>
      <c r="W553" s="41" t="str">
        <f>IFERROR(__xludf.DUMMYFUNCTION(" IF(Account!$F553&lt;&gt;"""", SPLIT(Account!$F553, "" ""), """")"),"")</f>
        <v/>
      </c>
      <c r="X553" s="42"/>
      <c r="Y553" s="42"/>
      <c r="Z553" s="42"/>
      <c r="AA553" s="42"/>
      <c r="AB553" s="42"/>
      <c r="AC553" s="42"/>
      <c r="AD553" s="42"/>
      <c r="AE553" s="42"/>
      <c r="AF553" s="42"/>
      <c r="AG553" s="42"/>
      <c r="AH553" s="42"/>
      <c r="AI553" s="42"/>
      <c r="AJ553" s="42"/>
      <c r="AK553" s="42"/>
    </row>
    <row r="554">
      <c r="A554" s="20"/>
      <c r="B554" s="20"/>
      <c r="C554" s="20"/>
      <c r="D554" s="20"/>
      <c r="E554" s="20"/>
      <c r="F554" s="21"/>
      <c r="G554" s="20"/>
      <c r="H554" s="20"/>
      <c r="I554" s="20"/>
      <c r="J554" s="20"/>
      <c r="K554" s="20"/>
      <c r="L554" s="21"/>
      <c r="M554" s="33" t="str">
        <f>IFERROR(__xludf.DUMMYFUNCTION("IFS(W554=""Achat"",IFERROR(VALUE(X554),VALUE(REGEXREPLACE(T(X554),""[^0-9]"",""""))),W554=""Vente"",-IFERROR(VALUE(X554),VALUE(REGEXREPLACE(T(X554),""[^0-9]"",""""))),Y554=""Change"",0,Y554&lt;&gt;""Change"","""")"),"")</f>
        <v/>
      </c>
      <c r="N554" s="34" t="str">
        <f>IFERROR(__xludf.DUMMYFUNCTION("IF(Account!$F554&lt;&gt;"""", VALUE(REGEXREPLACE($I554, ""\,"", ""."")), """")"),"")</f>
        <v/>
      </c>
      <c r="O554" s="35" t="str">
        <f>IF(Account!$F554&lt;&gt;"", DATEVALUE(MID($A554,4,3) &amp; LEFT($A554,3) &amp; RIGHT($A554,4)) + TIMEVALUE($B554), "")</f>
        <v/>
      </c>
      <c r="P554" s="36" t="str">
        <f>IF(Account!$F554&lt;&gt;"", DATEVALUE(MID($C554,4,3) &amp; LEFT($C554,3) &amp; RIGHT($C554,4)), "")</f>
        <v/>
      </c>
      <c r="Q554" s="37" t="str">
        <f t="array" ref="Q554">IF($R554&lt;&gt;"",IFERROR(INDEX(ISIN!$B:$B,MATCH($R554,ISIN!$C:$C,0))),)</f>
        <v/>
      </c>
      <c r="R554" s="38" t="str">
        <f t="array" ref="R554">IF($E554&lt;&gt;"",IFERROR(INDEX(ISIN!$C:$C,MATCH($E554,ISIN!$A:$A,0)),IFERROR(INDEX($R555:$R1200,MATCH($K554,$K555:$K1200,0)))),IF(AND($Y554="change",$H554="EUR"),IF($O554=$O555,$R555,IF($O554=$O553,$R553)),IFERROR(INDEX($R555:$R1200,MATCH(SUBSTITUTE($I554,"-","",1),$K555:$K1200,0)))))</f>
        <v/>
      </c>
      <c r="S554" s="37" t="str">
        <f t="shared" si="1"/>
        <v/>
      </c>
      <c r="T554" s="39" t="str">
        <f t="shared" si="2"/>
        <v/>
      </c>
      <c r="U554" s="40" t="str">
        <f t="shared" si="3"/>
        <v/>
      </c>
      <c r="V554" s="34" t="str">
        <f t="shared" si="4"/>
        <v/>
      </c>
      <c r="W554" s="41" t="str">
        <f>IFERROR(__xludf.DUMMYFUNCTION(" IF(Account!$F554&lt;&gt;"""", SPLIT(Account!$F554, "" ""), """")"),"")</f>
        <v/>
      </c>
      <c r="X554" s="42"/>
      <c r="Y554" s="42"/>
      <c r="Z554" s="42"/>
      <c r="AA554" s="42"/>
      <c r="AB554" s="42"/>
      <c r="AC554" s="42"/>
      <c r="AD554" s="42"/>
      <c r="AE554" s="42"/>
      <c r="AF554" s="42"/>
      <c r="AG554" s="42"/>
      <c r="AH554" s="42"/>
      <c r="AI554" s="42"/>
      <c r="AJ554" s="42"/>
      <c r="AK554" s="42"/>
    </row>
    <row r="555">
      <c r="A555" s="20"/>
      <c r="B555" s="20"/>
      <c r="C555" s="20"/>
      <c r="D555" s="20"/>
      <c r="E555" s="20"/>
      <c r="F555" s="21"/>
      <c r="G555" s="20"/>
      <c r="H555" s="20"/>
      <c r="I555" s="20"/>
      <c r="J555" s="20"/>
      <c r="K555" s="20"/>
      <c r="L555" s="21"/>
      <c r="M555" s="33" t="str">
        <f>IFERROR(__xludf.DUMMYFUNCTION("IFS(W555=""Achat"",IFERROR(VALUE(X555),VALUE(REGEXREPLACE(T(X555),""[^0-9]"",""""))),W555=""Vente"",-IFERROR(VALUE(X555),VALUE(REGEXREPLACE(T(X555),""[^0-9]"",""""))),Y555=""Change"",0,Y555&lt;&gt;""Change"","""")"),"")</f>
        <v/>
      </c>
      <c r="N555" s="34" t="str">
        <f>IFERROR(__xludf.DUMMYFUNCTION("IF(Account!$F555&lt;&gt;"""", VALUE(REGEXREPLACE($I555, ""\,"", ""."")), """")"),"")</f>
        <v/>
      </c>
      <c r="O555" s="35" t="str">
        <f>IF(Account!$F555&lt;&gt;"", DATEVALUE(MID($A555,4,3) &amp; LEFT($A555,3) &amp; RIGHT($A555,4)) + TIMEVALUE($B555), "")</f>
        <v/>
      </c>
      <c r="P555" s="36" t="str">
        <f>IF(Account!$F555&lt;&gt;"", DATEVALUE(MID($C555,4,3) &amp; LEFT($C555,3) &amp; RIGHT($C555,4)), "")</f>
        <v/>
      </c>
      <c r="Q555" s="37" t="str">
        <f t="array" ref="Q555">IF($R555&lt;&gt;"",IFERROR(INDEX(ISIN!$B:$B,MATCH($R555,ISIN!$C:$C,0))),)</f>
        <v/>
      </c>
      <c r="R555" s="38" t="str">
        <f t="array" ref="R555">IF($E555&lt;&gt;"",IFERROR(INDEX(ISIN!$C:$C,MATCH($E555,ISIN!$A:$A,0)),IFERROR(INDEX($R556:$R1200,MATCH($K555,$K556:$K1200,0)))),IF(AND($Y555="change",$H555="EUR"),IF($O555=$O556,$R556,IF($O555=$O554,$R554)),IFERROR(INDEX($R556:$R1200,MATCH(SUBSTITUTE($I555,"-","",1),$K556:$K1200,0)))))</f>
        <v/>
      </c>
      <c r="S555" s="37" t="str">
        <f t="shared" si="1"/>
        <v/>
      </c>
      <c r="T555" s="39" t="str">
        <f t="shared" si="2"/>
        <v/>
      </c>
      <c r="U555" s="40" t="str">
        <f t="shared" si="3"/>
        <v/>
      </c>
      <c r="V555" s="34" t="str">
        <f t="shared" si="4"/>
        <v/>
      </c>
      <c r="W555" s="41" t="str">
        <f>IFERROR(__xludf.DUMMYFUNCTION(" IF(Account!$F555&lt;&gt;"""", SPLIT(Account!$F555, "" ""), """")"),"")</f>
        <v/>
      </c>
      <c r="X555" s="42"/>
      <c r="Y555" s="42"/>
      <c r="Z555" s="42"/>
      <c r="AA555" s="42"/>
      <c r="AB555" s="42"/>
      <c r="AC555" s="42"/>
      <c r="AD555" s="42"/>
      <c r="AE555" s="42"/>
      <c r="AF555" s="42"/>
      <c r="AG555" s="42"/>
      <c r="AH555" s="42"/>
      <c r="AI555" s="42"/>
      <c r="AJ555" s="42"/>
      <c r="AK555" s="42"/>
    </row>
    <row r="556">
      <c r="A556" s="20"/>
      <c r="B556" s="20"/>
      <c r="C556" s="20"/>
      <c r="D556" s="20"/>
      <c r="E556" s="20"/>
      <c r="F556" s="21"/>
      <c r="G556" s="20"/>
      <c r="H556" s="20"/>
      <c r="I556" s="20"/>
      <c r="J556" s="20"/>
      <c r="K556" s="20"/>
      <c r="L556" s="21"/>
      <c r="M556" s="33" t="str">
        <f>IFERROR(__xludf.DUMMYFUNCTION("IFS(W556=""Achat"",IFERROR(VALUE(X556),VALUE(REGEXREPLACE(T(X556),""[^0-9]"",""""))),W556=""Vente"",-IFERROR(VALUE(X556),VALUE(REGEXREPLACE(T(X556),""[^0-9]"",""""))),Y556=""Change"",0,Y556&lt;&gt;""Change"","""")"),"")</f>
        <v/>
      </c>
      <c r="N556" s="34" t="str">
        <f>IFERROR(__xludf.DUMMYFUNCTION("IF(Account!$F556&lt;&gt;"""", VALUE(REGEXREPLACE($I556, ""\,"", ""."")), """")"),"")</f>
        <v/>
      </c>
      <c r="O556" s="35" t="str">
        <f>IF(Account!$F556&lt;&gt;"", DATEVALUE(MID($A556,4,3) &amp; LEFT($A556,3) &amp; RIGHT($A556,4)) + TIMEVALUE($B556), "")</f>
        <v/>
      </c>
      <c r="P556" s="36" t="str">
        <f>IF(Account!$F556&lt;&gt;"", DATEVALUE(MID($C556,4,3) &amp; LEFT($C556,3) &amp; RIGHT($C556,4)), "")</f>
        <v/>
      </c>
      <c r="Q556" s="37" t="str">
        <f t="array" ref="Q556">IF($R556&lt;&gt;"",IFERROR(INDEX(ISIN!$B:$B,MATCH($R556,ISIN!$C:$C,0))),)</f>
        <v/>
      </c>
      <c r="R556" s="38" t="str">
        <f t="array" ref="R556">IF($E556&lt;&gt;"",IFERROR(INDEX(ISIN!$C:$C,MATCH($E556,ISIN!$A:$A,0)),IFERROR(INDEX($R557:$R1200,MATCH($K556,$K557:$K1200,0)))),IF(AND($Y556="change",$H556="EUR"),IF($O556=$O557,$R557,IF($O556=$O555,$R555)),IFERROR(INDEX($R557:$R1200,MATCH(SUBSTITUTE($I556,"-","",1),$K557:$K1200,0)))))</f>
        <v/>
      </c>
      <c r="S556" s="37" t="str">
        <f t="shared" si="1"/>
        <v/>
      </c>
      <c r="T556" s="39" t="str">
        <f t="shared" si="2"/>
        <v/>
      </c>
      <c r="U556" s="40" t="str">
        <f t="shared" si="3"/>
        <v/>
      </c>
      <c r="V556" s="34" t="str">
        <f t="shared" si="4"/>
        <v/>
      </c>
      <c r="W556" s="41" t="str">
        <f>IFERROR(__xludf.DUMMYFUNCTION(" IF(Account!$F556&lt;&gt;"""", SPLIT(Account!$F556, "" ""), """")"),"")</f>
        <v/>
      </c>
      <c r="X556" s="42"/>
      <c r="Y556" s="42"/>
      <c r="Z556" s="42"/>
      <c r="AA556" s="42"/>
      <c r="AB556" s="42"/>
      <c r="AC556" s="42"/>
      <c r="AD556" s="42"/>
      <c r="AE556" s="42"/>
      <c r="AF556" s="42"/>
      <c r="AG556" s="42"/>
      <c r="AH556" s="42"/>
      <c r="AI556" s="42"/>
      <c r="AJ556" s="42"/>
      <c r="AK556" s="42"/>
    </row>
    <row r="557">
      <c r="A557" s="20"/>
      <c r="B557" s="20"/>
      <c r="C557" s="20"/>
      <c r="D557" s="20"/>
      <c r="E557" s="20"/>
      <c r="F557" s="21"/>
      <c r="G557" s="45"/>
      <c r="H557" s="20"/>
      <c r="I557" s="20"/>
      <c r="J557" s="20"/>
      <c r="K557" s="20"/>
      <c r="L557" s="21"/>
      <c r="M557" s="33" t="str">
        <f>IFERROR(__xludf.DUMMYFUNCTION("IFS(W557=""Achat"",IFERROR(VALUE(X557),VALUE(REGEXREPLACE(T(X557),""[^0-9]"",""""))),W557=""Vente"",-IFERROR(VALUE(X557),VALUE(REGEXREPLACE(T(X557),""[^0-9]"",""""))),Y557=""Change"",0,Y557&lt;&gt;""Change"","""")"),"")</f>
        <v/>
      </c>
      <c r="N557" s="34" t="str">
        <f>IFERROR(__xludf.DUMMYFUNCTION("IF(Account!$F557&lt;&gt;"""", VALUE(REGEXREPLACE($I557, ""\,"", ""."")), """")"),"")</f>
        <v/>
      </c>
      <c r="O557" s="35" t="str">
        <f>IF(Account!$F557&lt;&gt;"", DATEVALUE(MID($A557,4,3) &amp; LEFT($A557,3) &amp; RIGHT($A557,4)) + TIMEVALUE($B557), "")</f>
        <v/>
      </c>
      <c r="P557" s="36" t="str">
        <f>IF(Account!$F557&lt;&gt;"", DATEVALUE(MID($C557,4,3) &amp; LEFT($C557,3) &amp; RIGHT($C557,4)), "")</f>
        <v/>
      </c>
      <c r="Q557" s="37" t="str">
        <f t="array" ref="Q557">IF($R557&lt;&gt;"",IFERROR(INDEX(ISIN!$B:$B,MATCH($R557,ISIN!$C:$C,0))),)</f>
        <v/>
      </c>
      <c r="R557" s="38" t="str">
        <f t="array" ref="R557">IF($E557&lt;&gt;"",IFERROR(INDEX(ISIN!$C:$C,MATCH($E557,ISIN!$A:$A,0)),IFERROR(INDEX($R558:$R1200,MATCH($K557,$K558:$K1200,0)))),IF(AND($Y557="change",$H557="EUR"),IF($O557=$O558,$R558,IF($O557=$O556,$R556)),IFERROR(INDEX($R558:$R1200,MATCH(SUBSTITUTE($I557,"-","",1),$K558:$K1200,0)))))</f>
        <v/>
      </c>
      <c r="S557" s="37" t="str">
        <f t="shared" si="1"/>
        <v/>
      </c>
      <c r="T557" s="39" t="str">
        <f t="shared" si="2"/>
        <v/>
      </c>
      <c r="U557" s="40" t="str">
        <f t="shared" si="3"/>
        <v/>
      </c>
      <c r="V557" s="34" t="str">
        <f t="shared" si="4"/>
        <v/>
      </c>
      <c r="W557" s="41" t="str">
        <f>IFERROR(__xludf.DUMMYFUNCTION(" IF(Account!$F557&lt;&gt;"""", SPLIT(Account!$F557, "" ""), """")"),"")</f>
        <v/>
      </c>
      <c r="X557" s="42"/>
      <c r="Y557" s="42"/>
      <c r="Z557" s="42"/>
      <c r="AA557" s="42"/>
      <c r="AB557" s="42"/>
      <c r="AC557" s="42"/>
      <c r="AD557" s="42"/>
      <c r="AE557" s="42"/>
      <c r="AF557" s="42"/>
      <c r="AG557" s="42"/>
      <c r="AH557" s="42"/>
      <c r="AI557" s="42"/>
      <c r="AJ557" s="42"/>
      <c r="AK557" s="42"/>
    </row>
    <row r="558">
      <c r="A558" s="20"/>
      <c r="B558" s="20"/>
      <c r="C558" s="20"/>
      <c r="D558" s="20"/>
      <c r="E558" s="20"/>
      <c r="F558" s="21"/>
      <c r="G558" s="20"/>
      <c r="H558" s="20"/>
      <c r="I558" s="20"/>
      <c r="J558" s="20"/>
      <c r="K558" s="20"/>
      <c r="L558" s="21"/>
      <c r="M558" s="33" t="str">
        <f>IFERROR(__xludf.DUMMYFUNCTION("IFS(W558=""Achat"",IFERROR(VALUE(X558),VALUE(REGEXREPLACE(T(X558),""[^0-9]"",""""))),W558=""Vente"",-IFERROR(VALUE(X558),VALUE(REGEXREPLACE(T(X558),""[^0-9]"",""""))),Y558=""Change"",0,Y558&lt;&gt;""Change"","""")"),"")</f>
        <v/>
      </c>
      <c r="N558" s="34" t="str">
        <f>IFERROR(__xludf.DUMMYFUNCTION("IF(Account!$F558&lt;&gt;"""", VALUE(REGEXREPLACE($I558, ""\,"", ""."")), """")"),"")</f>
        <v/>
      </c>
      <c r="O558" s="35" t="str">
        <f>IF(Account!$F558&lt;&gt;"", DATEVALUE(MID($A558,4,3) &amp; LEFT($A558,3) &amp; RIGHT($A558,4)) + TIMEVALUE($B558), "")</f>
        <v/>
      </c>
      <c r="P558" s="36" t="str">
        <f>IF(Account!$F558&lt;&gt;"", DATEVALUE(MID($C558,4,3) &amp; LEFT($C558,3) &amp; RIGHT($C558,4)), "")</f>
        <v/>
      </c>
      <c r="Q558" s="37" t="str">
        <f t="array" ref="Q558">IF($R558&lt;&gt;"",IFERROR(INDEX(ISIN!$B:$B,MATCH($R558,ISIN!$C:$C,0))),)</f>
        <v/>
      </c>
      <c r="R558" s="38" t="str">
        <f t="array" ref="R558">IF($E558&lt;&gt;"",IFERROR(INDEX(ISIN!$C:$C,MATCH($E558,ISIN!$A:$A,0)),IFERROR(INDEX($R559:$R1200,MATCH($K558,$K559:$K1200,0)))),IF(AND($Y558="change",$H558="EUR"),IF($O558=$O559,$R559,IF($O558=$O557,$R557)),IFERROR(INDEX($R559:$R1200,MATCH(SUBSTITUTE($I558,"-","",1),$K559:$K1200,0)))))</f>
        <v/>
      </c>
      <c r="S558" s="37" t="str">
        <f t="shared" si="1"/>
        <v/>
      </c>
      <c r="T558" s="39" t="str">
        <f t="shared" si="2"/>
        <v/>
      </c>
      <c r="U558" s="40" t="str">
        <f t="shared" si="3"/>
        <v/>
      </c>
      <c r="V558" s="34" t="str">
        <f t="shared" si="4"/>
        <v/>
      </c>
      <c r="W558" s="41" t="str">
        <f>IFERROR(__xludf.DUMMYFUNCTION(" IF(Account!$F558&lt;&gt;"""", SPLIT(Account!$F558, "" ""), """")"),"")</f>
        <v/>
      </c>
      <c r="X558" s="42"/>
      <c r="Y558" s="42"/>
      <c r="Z558" s="42"/>
      <c r="AA558" s="42"/>
      <c r="AB558" s="42"/>
      <c r="AC558" s="42"/>
      <c r="AD558" s="42"/>
      <c r="AE558" s="42"/>
      <c r="AF558" s="42"/>
      <c r="AG558" s="42"/>
      <c r="AH558" s="42"/>
      <c r="AI558" s="42"/>
      <c r="AJ558" s="42"/>
      <c r="AK558" s="42"/>
    </row>
    <row r="559">
      <c r="A559" s="20"/>
      <c r="B559" s="20"/>
      <c r="C559" s="20"/>
      <c r="D559" s="20"/>
      <c r="E559" s="20"/>
      <c r="F559" s="21"/>
      <c r="G559" s="45"/>
      <c r="H559" s="20"/>
      <c r="I559" s="20"/>
      <c r="J559" s="20"/>
      <c r="K559" s="20"/>
      <c r="L559" s="21"/>
      <c r="M559" s="33" t="str">
        <f>IFERROR(__xludf.DUMMYFUNCTION("IFS(W559=""Achat"",IFERROR(VALUE(X559),VALUE(REGEXREPLACE(T(X559),""[^0-9]"",""""))),W559=""Vente"",-IFERROR(VALUE(X559),VALUE(REGEXREPLACE(T(X559),""[^0-9]"",""""))),Y559=""Change"",0,Y559&lt;&gt;""Change"","""")"),"")</f>
        <v/>
      </c>
      <c r="N559" s="34" t="str">
        <f>IFERROR(__xludf.DUMMYFUNCTION("IF(Account!$F559&lt;&gt;"""", VALUE(REGEXREPLACE($I559, ""\,"", ""."")), """")"),"")</f>
        <v/>
      </c>
      <c r="O559" s="35" t="str">
        <f>IF(Account!$F559&lt;&gt;"", DATEVALUE(MID($A559,4,3) &amp; LEFT($A559,3) &amp; RIGHT($A559,4)) + TIMEVALUE($B559), "")</f>
        <v/>
      </c>
      <c r="P559" s="36" t="str">
        <f>IF(Account!$F559&lt;&gt;"", DATEVALUE(MID($C559,4,3) &amp; LEFT($C559,3) &amp; RIGHT($C559,4)), "")</f>
        <v/>
      </c>
      <c r="Q559" s="37" t="str">
        <f t="array" ref="Q559">IF($R559&lt;&gt;"",IFERROR(INDEX(ISIN!$B:$B,MATCH($R559,ISIN!$C:$C,0))),)</f>
        <v/>
      </c>
      <c r="R559" s="38" t="str">
        <f t="array" ref="R559">IF($E559&lt;&gt;"",IFERROR(INDEX(ISIN!$C:$C,MATCH($E559,ISIN!$A:$A,0)),IFERROR(INDEX($R560:$R1200,MATCH($K559,$K560:$K1200,0)))),IF(AND($Y559="change",$H559="EUR"),IF($O559=$O560,$R560,IF($O559=$O558,$R558)),IFERROR(INDEX($R560:$R1200,MATCH(SUBSTITUTE($I559,"-","",1),$K560:$K1200,0)))))</f>
        <v/>
      </c>
      <c r="S559" s="37" t="str">
        <f t="shared" si="1"/>
        <v/>
      </c>
      <c r="T559" s="39" t="str">
        <f t="shared" si="2"/>
        <v/>
      </c>
      <c r="U559" s="40" t="str">
        <f t="shared" si="3"/>
        <v/>
      </c>
      <c r="V559" s="34" t="str">
        <f t="shared" si="4"/>
        <v/>
      </c>
      <c r="W559" s="41" t="str">
        <f>IFERROR(__xludf.DUMMYFUNCTION(" IF(Account!$F559&lt;&gt;"""", SPLIT(Account!$F559, "" ""), """")"),"")</f>
        <v/>
      </c>
      <c r="X559" s="42"/>
      <c r="Y559" s="42"/>
      <c r="Z559" s="42"/>
      <c r="AA559" s="42"/>
      <c r="AB559" s="42"/>
      <c r="AC559" s="42"/>
      <c r="AD559" s="42"/>
      <c r="AE559" s="42"/>
      <c r="AF559" s="42"/>
      <c r="AG559" s="42"/>
      <c r="AH559" s="42"/>
      <c r="AI559" s="42"/>
      <c r="AJ559" s="42"/>
      <c r="AK559" s="42"/>
    </row>
    <row r="560">
      <c r="A560" s="20"/>
      <c r="B560" s="20"/>
      <c r="C560" s="20"/>
      <c r="D560" s="20"/>
      <c r="E560" s="20"/>
      <c r="F560" s="21"/>
      <c r="G560" s="20"/>
      <c r="H560" s="20"/>
      <c r="I560" s="20"/>
      <c r="J560" s="20"/>
      <c r="K560" s="20"/>
      <c r="L560" s="21"/>
      <c r="M560" s="33" t="str">
        <f>IFERROR(__xludf.DUMMYFUNCTION("IFS(W560=""Achat"",IFERROR(VALUE(X560),VALUE(REGEXREPLACE(T(X560),""[^0-9]"",""""))),W560=""Vente"",-IFERROR(VALUE(X560),VALUE(REGEXREPLACE(T(X560),""[^0-9]"",""""))),Y560=""Change"",0,Y560&lt;&gt;""Change"","""")"),"")</f>
        <v/>
      </c>
      <c r="N560" s="34" t="str">
        <f>IFERROR(__xludf.DUMMYFUNCTION("IF(Account!$F560&lt;&gt;"""", VALUE(REGEXREPLACE($I560, ""\,"", ""."")), """")"),"")</f>
        <v/>
      </c>
      <c r="O560" s="35" t="str">
        <f>IF(Account!$F560&lt;&gt;"", DATEVALUE(MID($A560,4,3) &amp; LEFT($A560,3) &amp; RIGHT($A560,4)) + TIMEVALUE($B560), "")</f>
        <v/>
      </c>
      <c r="P560" s="36" t="str">
        <f>IF(Account!$F560&lt;&gt;"", DATEVALUE(MID($C560,4,3) &amp; LEFT($C560,3) &amp; RIGHT($C560,4)), "")</f>
        <v/>
      </c>
      <c r="Q560" s="37" t="str">
        <f t="array" ref="Q560">IF($R560&lt;&gt;"",IFERROR(INDEX(ISIN!$B:$B,MATCH($R560,ISIN!$C:$C,0))),)</f>
        <v/>
      </c>
      <c r="R560" s="38" t="str">
        <f t="array" ref="R560">IF($E560&lt;&gt;"",IFERROR(INDEX(ISIN!$C:$C,MATCH($E560,ISIN!$A:$A,0)),IFERROR(INDEX($R561:$R1200,MATCH($K560,$K561:$K1200,0)))),IF(AND($Y560="change",$H560="EUR"),IF($O560=$O561,$R561,IF($O560=$O559,$R559)),IFERROR(INDEX($R561:$R1200,MATCH(SUBSTITUTE($I560,"-","",1),$K561:$K1200,0)))))</f>
        <v/>
      </c>
      <c r="S560" s="37" t="str">
        <f t="shared" si="1"/>
        <v/>
      </c>
      <c r="T560" s="39" t="str">
        <f t="shared" si="2"/>
        <v/>
      </c>
      <c r="U560" s="40" t="str">
        <f t="shared" si="3"/>
        <v/>
      </c>
      <c r="V560" s="34" t="str">
        <f t="shared" si="4"/>
        <v/>
      </c>
      <c r="W560" s="41" t="str">
        <f>IFERROR(__xludf.DUMMYFUNCTION(" IF(Account!$F560&lt;&gt;"""", SPLIT(Account!$F560, "" ""), """")"),"")</f>
        <v/>
      </c>
      <c r="X560" s="42"/>
      <c r="Y560" s="42"/>
      <c r="Z560" s="42"/>
      <c r="AA560" s="42"/>
      <c r="AB560" s="42"/>
      <c r="AC560" s="42"/>
      <c r="AD560" s="42"/>
      <c r="AE560" s="42"/>
      <c r="AF560" s="42"/>
      <c r="AG560" s="42"/>
      <c r="AH560" s="42"/>
      <c r="AI560" s="42"/>
      <c r="AJ560" s="42"/>
      <c r="AK560" s="42"/>
    </row>
    <row r="561">
      <c r="A561" s="20"/>
      <c r="B561" s="20"/>
      <c r="C561" s="20"/>
      <c r="D561" s="20"/>
      <c r="E561" s="20"/>
      <c r="F561" s="21"/>
      <c r="G561" s="45"/>
      <c r="H561" s="20"/>
      <c r="I561" s="20"/>
      <c r="J561" s="20"/>
      <c r="K561" s="20"/>
      <c r="L561" s="21"/>
      <c r="M561" s="33" t="str">
        <f>IFERROR(__xludf.DUMMYFUNCTION("IFS(W561=""Achat"",IFERROR(VALUE(X561),VALUE(REGEXREPLACE(T(X561),""[^0-9]"",""""))),W561=""Vente"",-IFERROR(VALUE(X561),VALUE(REGEXREPLACE(T(X561),""[^0-9]"",""""))),Y561=""Change"",0,Y561&lt;&gt;""Change"","""")"),"")</f>
        <v/>
      </c>
      <c r="N561" s="34" t="str">
        <f>IFERROR(__xludf.DUMMYFUNCTION("IF(Account!$F561&lt;&gt;"""", VALUE(REGEXREPLACE($I561, ""\,"", ""."")), """")"),"")</f>
        <v/>
      </c>
      <c r="O561" s="35" t="str">
        <f>IF(Account!$F561&lt;&gt;"", DATEVALUE(MID($A561,4,3) &amp; LEFT($A561,3) &amp; RIGHT($A561,4)) + TIMEVALUE($B561), "")</f>
        <v/>
      </c>
      <c r="P561" s="36" t="str">
        <f>IF(Account!$F561&lt;&gt;"", DATEVALUE(MID($C561,4,3) &amp; LEFT($C561,3) &amp; RIGHT($C561,4)), "")</f>
        <v/>
      </c>
      <c r="Q561" s="37" t="str">
        <f t="array" ref="Q561">IF($R561&lt;&gt;"",IFERROR(INDEX(ISIN!$B:$B,MATCH($R561,ISIN!$C:$C,0))),)</f>
        <v/>
      </c>
      <c r="R561" s="38" t="str">
        <f t="array" ref="R561">IF($E561&lt;&gt;"",IFERROR(INDEX(ISIN!$C:$C,MATCH($E561,ISIN!$A:$A,0)),IFERROR(INDEX($R562:$R1200,MATCH($K561,$K562:$K1200,0)))),IF(AND($Y561="change",$H561="EUR"),IF($O561=$O562,$R562,IF($O561=$O560,$R560)),IFERROR(INDEX($R562:$R1200,MATCH(SUBSTITUTE($I561,"-","",1),$K562:$K1200,0)))))</f>
        <v/>
      </c>
      <c r="S561" s="37" t="str">
        <f t="shared" si="1"/>
        <v/>
      </c>
      <c r="T561" s="39" t="str">
        <f t="shared" si="2"/>
        <v/>
      </c>
      <c r="U561" s="40" t="str">
        <f t="shared" si="3"/>
        <v/>
      </c>
      <c r="V561" s="34" t="str">
        <f t="shared" si="4"/>
        <v/>
      </c>
      <c r="W561" s="41" t="str">
        <f>IFERROR(__xludf.DUMMYFUNCTION(" IF(Account!$F561&lt;&gt;"""", SPLIT(Account!$F561, "" ""), """")"),"")</f>
        <v/>
      </c>
      <c r="X561" s="42"/>
      <c r="Y561" s="42"/>
      <c r="Z561" s="42"/>
      <c r="AA561" s="42"/>
      <c r="AB561" s="42"/>
      <c r="AC561" s="42"/>
      <c r="AD561" s="42"/>
      <c r="AE561" s="42"/>
      <c r="AF561" s="42"/>
      <c r="AG561" s="42"/>
      <c r="AH561" s="42"/>
      <c r="AI561" s="42"/>
      <c r="AJ561" s="42"/>
      <c r="AK561" s="42"/>
    </row>
    <row r="562">
      <c r="A562" s="20"/>
      <c r="B562" s="20"/>
      <c r="C562" s="20"/>
      <c r="D562" s="20"/>
      <c r="E562" s="20"/>
      <c r="F562" s="21"/>
      <c r="G562" s="45"/>
      <c r="H562" s="20"/>
      <c r="I562" s="20"/>
      <c r="J562" s="20"/>
      <c r="K562" s="20"/>
      <c r="L562" s="21"/>
      <c r="M562" s="33" t="str">
        <f>IFERROR(__xludf.DUMMYFUNCTION("IFS(W562=""Achat"",IFERROR(VALUE(X562),VALUE(REGEXREPLACE(T(X562),""[^0-9]"",""""))),W562=""Vente"",-IFERROR(VALUE(X562),VALUE(REGEXREPLACE(T(X562),""[^0-9]"",""""))),Y562=""Change"",0,Y562&lt;&gt;""Change"","""")"),"")</f>
        <v/>
      </c>
      <c r="N562" s="34" t="str">
        <f>IFERROR(__xludf.DUMMYFUNCTION("IF(Account!$F562&lt;&gt;"""", VALUE(REGEXREPLACE($I562, ""\,"", ""."")), """")"),"")</f>
        <v/>
      </c>
      <c r="O562" s="35" t="str">
        <f>IF(Account!$F562&lt;&gt;"", DATEVALUE(MID($A562,4,3) &amp; LEFT($A562,3) &amp; RIGHT($A562,4)) + TIMEVALUE($B562), "")</f>
        <v/>
      </c>
      <c r="P562" s="36" t="str">
        <f>IF(Account!$F562&lt;&gt;"", DATEVALUE(MID($C562,4,3) &amp; LEFT($C562,3) &amp; RIGHT($C562,4)), "")</f>
        <v/>
      </c>
      <c r="Q562" s="37" t="str">
        <f t="array" ref="Q562">IF($R562&lt;&gt;"",IFERROR(INDEX(ISIN!$B:$B,MATCH($R562,ISIN!$C:$C,0))),)</f>
        <v/>
      </c>
      <c r="R562" s="38" t="str">
        <f t="array" ref="R562">IF($E562&lt;&gt;"",IFERROR(INDEX(ISIN!$C:$C,MATCH($E562,ISIN!$A:$A,0)),IFERROR(INDEX($R563:$R1200,MATCH($K562,$K563:$K1200,0)))),IF(AND($Y562="change",$H562="EUR"),IF($O562=$O563,$R563,IF($O562=$O561,$R561)),IFERROR(INDEX($R563:$R1200,MATCH(SUBSTITUTE($I562,"-","",1),$K563:$K1200,0)))))</f>
        <v/>
      </c>
      <c r="S562" s="37" t="str">
        <f t="shared" si="1"/>
        <v/>
      </c>
      <c r="T562" s="39" t="str">
        <f t="shared" si="2"/>
        <v/>
      </c>
      <c r="U562" s="40" t="str">
        <f t="shared" si="3"/>
        <v/>
      </c>
      <c r="V562" s="34" t="str">
        <f t="shared" si="4"/>
        <v/>
      </c>
      <c r="W562" s="41" t="str">
        <f>IFERROR(__xludf.DUMMYFUNCTION(" IF(Account!$F562&lt;&gt;"""", SPLIT(Account!$F562, "" ""), """")"),"")</f>
        <v/>
      </c>
      <c r="X562" s="42"/>
      <c r="Y562" s="42"/>
      <c r="Z562" s="42"/>
      <c r="AA562" s="42"/>
      <c r="AB562" s="42"/>
      <c r="AC562" s="42"/>
      <c r="AD562" s="42"/>
      <c r="AE562" s="42"/>
      <c r="AF562" s="42"/>
      <c r="AG562" s="42"/>
      <c r="AH562" s="42"/>
      <c r="AI562" s="42"/>
      <c r="AJ562" s="42"/>
      <c r="AK562" s="42"/>
    </row>
    <row r="563">
      <c r="A563" s="20"/>
      <c r="B563" s="20"/>
      <c r="C563" s="20"/>
      <c r="D563" s="20"/>
      <c r="E563" s="20"/>
      <c r="F563" s="21"/>
      <c r="G563" s="45"/>
      <c r="H563" s="20"/>
      <c r="I563" s="20"/>
      <c r="J563" s="20"/>
      <c r="K563" s="20"/>
      <c r="L563" s="21"/>
      <c r="M563" s="33" t="str">
        <f>IFERROR(__xludf.DUMMYFUNCTION("IFS(W563=""Achat"",IFERROR(VALUE(X563),VALUE(REGEXREPLACE(T(X563),""[^0-9]"",""""))),W563=""Vente"",-IFERROR(VALUE(X563),VALUE(REGEXREPLACE(T(X563),""[^0-9]"",""""))),Y563=""Change"",0,Y563&lt;&gt;""Change"","""")"),"")</f>
        <v/>
      </c>
      <c r="N563" s="34" t="str">
        <f>IFERROR(__xludf.DUMMYFUNCTION("IF(Account!$F563&lt;&gt;"""", VALUE(REGEXREPLACE($I563, ""\,"", ""."")), """")"),"")</f>
        <v/>
      </c>
      <c r="O563" s="35" t="str">
        <f>IF(Account!$F563&lt;&gt;"", DATEVALUE(MID($A563,4,3) &amp; LEFT($A563,3) &amp; RIGHT($A563,4)) + TIMEVALUE($B563), "")</f>
        <v/>
      </c>
      <c r="P563" s="36" t="str">
        <f>IF(Account!$F563&lt;&gt;"", DATEVALUE(MID($C563,4,3) &amp; LEFT($C563,3) &amp; RIGHT($C563,4)), "")</f>
        <v/>
      </c>
      <c r="Q563" s="37" t="str">
        <f t="array" ref="Q563">IF($R563&lt;&gt;"",IFERROR(INDEX(ISIN!$B:$B,MATCH($R563,ISIN!$C:$C,0))),)</f>
        <v/>
      </c>
      <c r="R563" s="38" t="str">
        <f t="array" ref="R563">IF($E563&lt;&gt;"",IFERROR(INDEX(ISIN!$C:$C,MATCH($E563,ISIN!$A:$A,0)),IFERROR(INDEX($R564:$R1200,MATCH($K563,$K564:$K1200,0)))),IF(AND($Y563="change",$H563="EUR"),IF($O563=$O564,$R564,IF($O563=$O562,$R562)),IFERROR(INDEX($R564:$R1200,MATCH(SUBSTITUTE($I563,"-","",1),$K564:$K1200,0)))))</f>
        <v/>
      </c>
      <c r="S563" s="37" t="str">
        <f t="shared" si="1"/>
        <v/>
      </c>
      <c r="T563" s="39" t="str">
        <f t="shared" si="2"/>
        <v/>
      </c>
      <c r="U563" s="40" t="str">
        <f t="shared" si="3"/>
        <v/>
      </c>
      <c r="V563" s="34" t="str">
        <f t="shared" si="4"/>
        <v/>
      </c>
      <c r="W563" s="41" t="str">
        <f>IFERROR(__xludf.DUMMYFUNCTION(" IF(Account!$F563&lt;&gt;"""", SPLIT(Account!$F563, "" ""), """")"),"")</f>
        <v/>
      </c>
      <c r="X563" s="42"/>
      <c r="Y563" s="42"/>
      <c r="Z563" s="42"/>
      <c r="AA563" s="42"/>
      <c r="AB563" s="42"/>
      <c r="AC563" s="42"/>
      <c r="AD563" s="42"/>
      <c r="AE563" s="42"/>
      <c r="AF563" s="42"/>
      <c r="AG563" s="42"/>
      <c r="AH563" s="42"/>
      <c r="AI563" s="42"/>
      <c r="AJ563" s="42"/>
      <c r="AK563" s="42"/>
    </row>
    <row r="564">
      <c r="A564" s="20"/>
      <c r="B564" s="20"/>
      <c r="C564" s="20"/>
      <c r="D564" s="20"/>
      <c r="E564" s="20"/>
      <c r="F564" s="21"/>
      <c r="G564" s="45"/>
      <c r="H564" s="20"/>
      <c r="I564" s="20"/>
      <c r="J564" s="20"/>
      <c r="K564" s="20"/>
      <c r="L564" s="21"/>
      <c r="M564" s="33" t="str">
        <f>IFERROR(__xludf.DUMMYFUNCTION("IFS(W564=""Achat"",IFERROR(VALUE(X564),VALUE(REGEXREPLACE(T(X564),""[^0-9]"",""""))),W564=""Vente"",-IFERROR(VALUE(X564),VALUE(REGEXREPLACE(T(X564),""[^0-9]"",""""))),Y564=""Change"",0,Y564&lt;&gt;""Change"","""")"),"")</f>
        <v/>
      </c>
      <c r="N564" s="34" t="str">
        <f>IFERROR(__xludf.DUMMYFUNCTION("IF(Account!$F564&lt;&gt;"""", VALUE(REGEXREPLACE($I564, ""\,"", ""."")), """")"),"")</f>
        <v/>
      </c>
      <c r="O564" s="35" t="str">
        <f>IF(Account!$F564&lt;&gt;"", DATEVALUE(MID($A564,4,3) &amp; LEFT($A564,3) &amp; RIGHT($A564,4)) + TIMEVALUE($B564), "")</f>
        <v/>
      </c>
      <c r="P564" s="36" t="str">
        <f>IF(Account!$F564&lt;&gt;"", DATEVALUE(MID($C564,4,3) &amp; LEFT($C564,3) &amp; RIGHT($C564,4)), "")</f>
        <v/>
      </c>
      <c r="Q564" s="37" t="str">
        <f t="array" ref="Q564">IF($R564&lt;&gt;"",IFERROR(INDEX(ISIN!$B:$B,MATCH($R564,ISIN!$C:$C,0))),)</f>
        <v/>
      </c>
      <c r="R564" s="38" t="str">
        <f t="array" ref="R564">IF($E564&lt;&gt;"",IFERROR(INDEX(ISIN!$C:$C,MATCH($E564,ISIN!$A:$A,0)),IFERROR(INDEX($R565:$R1200,MATCH($K564,$K565:$K1200,0)))),IF(AND($Y564="change",$H564="EUR"),IF($O564=$O565,$R565,IF($O564=$O563,$R563)),IFERROR(INDEX($R565:$R1200,MATCH(SUBSTITUTE($I564,"-","",1),$K565:$K1200,0)))))</f>
        <v/>
      </c>
      <c r="S564" s="37" t="str">
        <f t="shared" si="1"/>
        <v/>
      </c>
      <c r="T564" s="39" t="str">
        <f t="shared" si="2"/>
        <v/>
      </c>
      <c r="U564" s="40" t="str">
        <f t="shared" si="3"/>
        <v/>
      </c>
      <c r="V564" s="34" t="str">
        <f t="shared" si="4"/>
        <v/>
      </c>
      <c r="W564" s="41" t="str">
        <f>IFERROR(__xludf.DUMMYFUNCTION(" IF(Account!$F564&lt;&gt;"""", SPLIT(Account!$F564, "" ""), """")"),"")</f>
        <v/>
      </c>
      <c r="X564" s="42"/>
      <c r="Y564" s="42"/>
      <c r="Z564" s="42"/>
      <c r="AA564" s="42"/>
      <c r="AB564" s="42"/>
      <c r="AC564" s="42"/>
      <c r="AD564" s="42"/>
      <c r="AE564" s="42"/>
      <c r="AF564" s="42"/>
      <c r="AG564" s="42"/>
      <c r="AH564" s="42"/>
      <c r="AI564" s="42"/>
      <c r="AJ564" s="42"/>
      <c r="AK564" s="42"/>
    </row>
    <row r="565">
      <c r="A565" s="20"/>
      <c r="B565" s="20"/>
      <c r="C565" s="20"/>
      <c r="D565" s="20"/>
      <c r="E565" s="20"/>
      <c r="F565" s="21"/>
      <c r="G565" s="45"/>
      <c r="H565" s="20"/>
      <c r="I565" s="20"/>
      <c r="J565" s="20"/>
      <c r="K565" s="20"/>
      <c r="L565" s="21"/>
      <c r="M565" s="33" t="str">
        <f>IFERROR(__xludf.DUMMYFUNCTION("IFS(W565=""Achat"",IFERROR(VALUE(X565),VALUE(REGEXREPLACE(T(X565),""[^0-9]"",""""))),W565=""Vente"",-IFERROR(VALUE(X565),VALUE(REGEXREPLACE(T(X565),""[^0-9]"",""""))),Y565=""Change"",0,Y565&lt;&gt;""Change"","""")"),"")</f>
        <v/>
      </c>
      <c r="N565" s="34" t="str">
        <f>IFERROR(__xludf.DUMMYFUNCTION("IF(Account!$F565&lt;&gt;"""", VALUE(REGEXREPLACE($I565, ""\,"", ""."")), """")"),"")</f>
        <v/>
      </c>
      <c r="O565" s="35" t="str">
        <f>IF(Account!$F565&lt;&gt;"", DATEVALUE(MID($A565,4,3) &amp; LEFT($A565,3) &amp; RIGHT($A565,4)) + TIMEVALUE($B565), "")</f>
        <v/>
      </c>
      <c r="P565" s="36" t="str">
        <f>IF(Account!$F565&lt;&gt;"", DATEVALUE(MID($C565,4,3) &amp; LEFT($C565,3) &amp; RIGHT($C565,4)), "")</f>
        <v/>
      </c>
      <c r="Q565" s="37" t="str">
        <f t="array" ref="Q565">IF($R565&lt;&gt;"",IFERROR(INDEX(ISIN!$B:$B,MATCH($R565,ISIN!$C:$C,0))),)</f>
        <v/>
      </c>
      <c r="R565" s="38" t="str">
        <f t="array" ref="R565">IF($E565&lt;&gt;"",IFERROR(INDEX(ISIN!$C:$C,MATCH($E565,ISIN!$A:$A,0)),IFERROR(INDEX($R566:$R1200,MATCH($K565,$K566:$K1200,0)))),IF(AND($Y565="change",$H565="EUR"),IF($O565=$O566,$R566,IF($O565=$O564,$R564)),IFERROR(INDEX($R566:$R1200,MATCH(SUBSTITUTE($I565,"-","",1),$K566:$K1200,0)))))</f>
        <v/>
      </c>
      <c r="S565" s="37" t="str">
        <f t="shared" si="1"/>
        <v/>
      </c>
      <c r="T565" s="39" t="str">
        <f t="shared" si="2"/>
        <v/>
      </c>
      <c r="U565" s="40" t="str">
        <f t="shared" si="3"/>
        <v/>
      </c>
      <c r="V565" s="34" t="str">
        <f t="shared" si="4"/>
        <v/>
      </c>
      <c r="W565" s="41" t="str">
        <f>IFERROR(__xludf.DUMMYFUNCTION(" IF(Account!$F565&lt;&gt;"""", SPLIT(Account!$F565, "" ""), """")"),"")</f>
        <v/>
      </c>
      <c r="X565" s="42"/>
      <c r="Y565" s="42"/>
      <c r="Z565" s="42"/>
      <c r="AA565" s="42"/>
      <c r="AB565" s="42"/>
      <c r="AC565" s="42"/>
      <c r="AD565" s="42"/>
      <c r="AE565" s="42"/>
      <c r="AF565" s="42"/>
      <c r="AG565" s="42"/>
      <c r="AH565" s="42"/>
      <c r="AI565" s="42"/>
      <c r="AJ565" s="42"/>
      <c r="AK565" s="42"/>
    </row>
    <row r="566">
      <c r="A566" s="20"/>
      <c r="B566" s="20"/>
      <c r="C566" s="20"/>
      <c r="D566" s="20"/>
      <c r="E566" s="20"/>
      <c r="F566" s="21"/>
      <c r="G566" s="45"/>
      <c r="H566" s="20"/>
      <c r="I566" s="20"/>
      <c r="J566" s="20"/>
      <c r="K566" s="20"/>
      <c r="L566" s="21"/>
      <c r="M566" s="33" t="str">
        <f>IFERROR(__xludf.DUMMYFUNCTION("IFS(W566=""Achat"",IFERROR(VALUE(X566),VALUE(REGEXREPLACE(T(X566),""[^0-9]"",""""))),W566=""Vente"",-IFERROR(VALUE(X566),VALUE(REGEXREPLACE(T(X566),""[^0-9]"",""""))),Y566=""Change"",0,Y566&lt;&gt;""Change"","""")"),"")</f>
        <v/>
      </c>
      <c r="N566" s="34" t="str">
        <f>IFERROR(__xludf.DUMMYFUNCTION("IF(Account!$F566&lt;&gt;"""", VALUE(REGEXREPLACE($I566, ""\,"", ""."")), """")"),"")</f>
        <v/>
      </c>
      <c r="O566" s="35" t="str">
        <f>IF(Account!$F566&lt;&gt;"", DATEVALUE(MID($A566,4,3) &amp; LEFT($A566,3) &amp; RIGHT($A566,4)) + TIMEVALUE($B566), "")</f>
        <v/>
      </c>
      <c r="P566" s="36" t="str">
        <f>IF(Account!$F566&lt;&gt;"", DATEVALUE(MID($C566,4,3) &amp; LEFT($C566,3) &amp; RIGHT($C566,4)), "")</f>
        <v/>
      </c>
      <c r="Q566" s="37" t="str">
        <f t="array" ref="Q566">IF($R566&lt;&gt;"",IFERROR(INDEX(ISIN!$B:$B,MATCH($R566,ISIN!$C:$C,0))),)</f>
        <v/>
      </c>
      <c r="R566" s="38" t="str">
        <f t="array" ref="R566">IF($E566&lt;&gt;"",IFERROR(INDEX(ISIN!$C:$C,MATCH($E566,ISIN!$A:$A,0)),IFERROR(INDEX($R567:$R1200,MATCH($K566,$K567:$K1200,0)))),IF(AND($Y566="change",$H566="EUR"),IF($O566=$O567,$R567,IF($O566=$O565,$R565)),IFERROR(INDEX($R567:$R1200,MATCH(SUBSTITUTE($I566,"-","",1),$K567:$K1200,0)))))</f>
        <v/>
      </c>
      <c r="S566" s="37" t="str">
        <f t="shared" si="1"/>
        <v/>
      </c>
      <c r="T566" s="39" t="str">
        <f t="shared" si="2"/>
        <v/>
      </c>
      <c r="U566" s="40" t="str">
        <f t="shared" si="3"/>
        <v/>
      </c>
      <c r="V566" s="34" t="str">
        <f t="shared" si="4"/>
        <v/>
      </c>
      <c r="W566" s="41" t="str">
        <f>IFERROR(__xludf.DUMMYFUNCTION(" IF(Account!$F566&lt;&gt;"""", SPLIT(Account!$F566, "" ""), """")"),"")</f>
        <v/>
      </c>
      <c r="X566" s="42"/>
      <c r="Y566" s="42"/>
      <c r="Z566" s="42"/>
      <c r="AA566" s="42"/>
      <c r="AB566" s="42"/>
      <c r="AC566" s="42"/>
      <c r="AD566" s="42"/>
      <c r="AE566" s="42"/>
      <c r="AF566" s="42"/>
      <c r="AG566" s="42"/>
      <c r="AH566" s="42"/>
      <c r="AI566" s="42"/>
      <c r="AJ566" s="42"/>
      <c r="AK566" s="42"/>
    </row>
    <row r="567">
      <c r="A567" s="20"/>
      <c r="B567" s="20"/>
      <c r="C567" s="20"/>
      <c r="D567" s="20"/>
      <c r="E567" s="20"/>
      <c r="F567" s="21"/>
      <c r="G567" s="45"/>
      <c r="H567" s="20"/>
      <c r="I567" s="20"/>
      <c r="J567" s="20"/>
      <c r="K567" s="20"/>
      <c r="L567" s="21"/>
      <c r="M567" s="33" t="str">
        <f>IFERROR(__xludf.DUMMYFUNCTION("IFS(W567=""Achat"",IFERROR(VALUE(X567),VALUE(REGEXREPLACE(T(X567),""[^0-9]"",""""))),W567=""Vente"",-IFERROR(VALUE(X567),VALUE(REGEXREPLACE(T(X567),""[^0-9]"",""""))),Y567=""Change"",0,Y567&lt;&gt;""Change"","""")"),"")</f>
        <v/>
      </c>
      <c r="N567" s="34" t="str">
        <f>IFERROR(__xludf.DUMMYFUNCTION("IF(Account!$F567&lt;&gt;"""", VALUE(REGEXREPLACE($I567, ""\,"", ""."")), """")"),"")</f>
        <v/>
      </c>
      <c r="O567" s="35" t="str">
        <f>IF(Account!$F567&lt;&gt;"", DATEVALUE(MID($A567,4,3) &amp; LEFT($A567,3) &amp; RIGHT($A567,4)) + TIMEVALUE($B567), "")</f>
        <v/>
      </c>
      <c r="P567" s="36" t="str">
        <f>IF(Account!$F567&lt;&gt;"", DATEVALUE(MID($C567,4,3) &amp; LEFT($C567,3) &amp; RIGHT($C567,4)), "")</f>
        <v/>
      </c>
      <c r="Q567" s="37" t="str">
        <f t="array" ref="Q567">IF($R567&lt;&gt;"",IFERROR(INDEX(ISIN!$B:$B,MATCH($R567,ISIN!$C:$C,0))),)</f>
        <v/>
      </c>
      <c r="R567" s="38" t="str">
        <f t="array" ref="R567">IF($E567&lt;&gt;"",IFERROR(INDEX(ISIN!$C:$C,MATCH($E567,ISIN!$A:$A,0)),IFERROR(INDEX($R568:$R1200,MATCH($K567,$K568:$K1200,0)))),IF(AND($Y567="change",$H567="EUR"),IF($O567=$O568,$R568,IF($O567=$O566,$R566)),IFERROR(INDEX($R568:$R1200,MATCH(SUBSTITUTE($I567,"-","",1),$K568:$K1200,0)))))</f>
        <v/>
      </c>
      <c r="S567" s="37" t="str">
        <f t="shared" si="1"/>
        <v/>
      </c>
      <c r="T567" s="39" t="str">
        <f t="shared" si="2"/>
        <v/>
      </c>
      <c r="U567" s="40" t="str">
        <f t="shared" si="3"/>
        <v/>
      </c>
      <c r="V567" s="34" t="str">
        <f t="shared" si="4"/>
        <v/>
      </c>
      <c r="W567" s="41" t="str">
        <f>IFERROR(__xludf.DUMMYFUNCTION(" IF(Account!$F567&lt;&gt;"""", SPLIT(Account!$F567, "" ""), """")"),"")</f>
        <v/>
      </c>
      <c r="X567" s="42"/>
      <c r="Y567" s="42"/>
      <c r="Z567" s="42"/>
      <c r="AA567" s="42"/>
      <c r="AB567" s="42"/>
      <c r="AC567" s="42"/>
      <c r="AD567" s="42"/>
      <c r="AE567" s="42"/>
      <c r="AF567" s="42"/>
      <c r="AG567" s="42"/>
      <c r="AH567" s="42"/>
      <c r="AI567" s="42"/>
      <c r="AJ567" s="42"/>
      <c r="AK567" s="42"/>
    </row>
    <row r="568">
      <c r="A568" s="20"/>
      <c r="B568" s="20"/>
      <c r="C568" s="20"/>
      <c r="D568" s="20"/>
      <c r="E568" s="20"/>
      <c r="F568" s="21"/>
      <c r="G568" s="20"/>
      <c r="H568" s="20"/>
      <c r="I568" s="20"/>
      <c r="J568" s="20"/>
      <c r="K568" s="20"/>
      <c r="L568" s="21"/>
      <c r="M568" s="33" t="str">
        <f>IFERROR(__xludf.DUMMYFUNCTION("IFS(W568=""Achat"",IFERROR(VALUE(X568),VALUE(REGEXREPLACE(T(X568),""[^0-9]"",""""))),W568=""Vente"",-IFERROR(VALUE(X568),VALUE(REGEXREPLACE(T(X568),""[^0-9]"",""""))),Y568=""Change"",0,Y568&lt;&gt;""Change"","""")"),"")</f>
        <v/>
      </c>
      <c r="N568" s="34" t="str">
        <f>IFERROR(__xludf.DUMMYFUNCTION("IF(Account!$F568&lt;&gt;"""", VALUE(REGEXREPLACE($I568, ""\,"", ""."")), """")"),"")</f>
        <v/>
      </c>
      <c r="O568" s="35" t="str">
        <f>IF(Account!$F568&lt;&gt;"", DATEVALUE(MID($A568,4,3) &amp; LEFT($A568,3) &amp; RIGHT($A568,4)) + TIMEVALUE($B568), "")</f>
        <v/>
      </c>
      <c r="P568" s="36" t="str">
        <f>IF(Account!$F568&lt;&gt;"", DATEVALUE(MID($C568,4,3) &amp; LEFT($C568,3) &amp; RIGHT($C568,4)), "")</f>
        <v/>
      </c>
      <c r="Q568" s="37" t="str">
        <f t="array" ref="Q568">IF($R568&lt;&gt;"",IFERROR(INDEX(ISIN!$B:$B,MATCH($R568,ISIN!$C:$C,0))),)</f>
        <v/>
      </c>
      <c r="R568" s="38" t="str">
        <f t="array" ref="R568">IF($E568&lt;&gt;"",IFERROR(INDEX(ISIN!$C:$C,MATCH($E568,ISIN!$A:$A,0)),IFERROR(INDEX($R569:$R1200,MATCH($K568,$K569:$K1200,0)))),IF(AND($Y568="change",$H568="EUR"),IF($O568=$O569,$R569,IF($O568=$O567,$R567)),IFERROR(INDEX($R569:$R1200,MATCH(SUBSTITUTE($I568,"-","",1),$K569:$K1200,0)))))</f>
        <v/>
      </c>
      <c r="S568" s="37" t="str">
        <f t="shared" si="1"/>
        <v/>
      </c>
      <c r="T568" s="39" t="str">
        <f t="shared" si="2"/>
        <v/>
      </c>
      <c r="U568" s="40" t="str">
        <f t="shared" si="3"/>
        <v/>
      </c>
      <c r="V568" s="34" t="str">
        <f t="shared" si="4"/>
        <v/>
      </c>
      <c r="W568" s="41" t="str">
        <f>IFERROR(__xludf.DUMMYFUNCTION(" IF(Account!$F568&lt;&gt;"""", SPLIT(Account!$F568, "" ""), """")"),"")</f>
        <v/>
      </c>
      <c r="X568" s="42"/>
      <c r="Y568" s="42"/>
      <c r="Z568" s="42"/>
      <c r="AA568" s="42"/>
      <c r="AB568" s="42"/>
      <c r="AC568" s="42"/>
      <c r="AD568" s="42"/>
      <c r="AE568" s="42"/>
      <c r="AF568" s="42"/>
      <c r="AG568" s="42"/>
      <c r="AH568" s="42"/>
      <c r="AI568" s="42"/>
      <c r="AJ568" s="42"/>
      <c r="AK568" s="42"/>
    </row>
    <row r="569">
      <c r="A569" s="20"/>
      <c r="B569" s="20"/>
      <c r="C569" s="20"/>
      <c r="D569" s="20"/>
      <c r="E569" s="20"/>
      <c r="F569" s="21"/>
      <c r="G569" s="45"/>
      <c r="H569" s="20"/>
      <c r="I569" s="20"/>
      <c r="J569" s="20"/>
      <c r="K569" s="20"/>
      <c r="L569" s="21"/>
      <c r="M569" s="33" t="str">
        <f>IFERROR(__xludf.DUMMYFUNCTION("IFS(W569=""Achat"",IFERROR(VALUE(X569),VALUE(REGEXREPLACE(T(X569),""[^0-9]"",""""))),W569=""Vente"",-IFERROR(VALUE(X569),VALUE(REGEXREPLACE(T(X569),""[^0-9]"",""""))),Y569=""Change"",0,Y569&lt;&gt;""Change"","""")"),"")</f>
        <v/>
      </c>
      <c r="N569" s="34" t="str">
        <f>IFERROR(__xludf.DUMMYFUNCTION("IF(Account!$F569&lt;&gt;"""", VALUE(REGEXREPLACE($I569, ""\,"", ""."")), """")"),"")</f>
        <v/>
      </c>
      <c r="O569" s="35" t="str">
        <f>IF(Account!$F569&lt;&gt;"", DATEVALUE(MID($A569,4,3) &amp; LEFT($A569,3) &amp; RIGHT($A569,4)) + TIMEVALUE($B569), "")</f>
        <v/>
      </c>
      <c r="P569" s="36" t="str">
        <f>IF(Account!$F569&lt;&gt;"", DATEVALUE(MID($C569,4,3) &amp; LEFT($C569,3) &amp; RIGHT($C569,4)), "")</f>
        <v/>
      </c>
      <c r="Q569" s="37" t="str">
        <f t="array" ref="Q569">IF($R569&lt;&gt;"",IFERROR(INDEX(ISIN!$B:$B,MATCH($R569,ISIN!$C:$C,0))),)</f>
        <v/>
      </c>
      <c r="R569" s="38" t="str">
        <f t="array" ref="R569">IF($E569&lt;&gt;"",IFERROR(INDEX(ISIN!$C:$C,MATCH($E569,ISIN!$A:$A,0)),IFERROR(INDEX($R570:$R1200,MATCH($K569,$K570:$K1200,0)))),IF(AND($Y569="change",$H569="EUR"),IF($O569=$O570,$R570,IF($O569=$O568,$R568)),IFERROR(INDEX($R570:$R1200,MATCH(SUBSTITUTE($I569,"-","",1),$K570:$K1200,0)))))</f>
        <v/>
      </c>
      <c r="S569" s="37" t="str">
        <f t="shared" si="1"/>
        <v/>
      </c>
      <c r="T569" s="39" t="str">
        <f t="shared" si="2"/>
        <v/>
      </c>
      <c r="U569" s="40" t="str">
        <f t="shared" si="3"/>
        <v/>
      </c>
      <c r="V569" s="34" t="str">
        <f t="shared" si="4"/>
        <v/>
      </c>
      <c r="W569" s="41" t="str">
        <f>IFERROR(__xludf.DUMMYFUNCTION(" IF(Account!$F569&lt;&gt;"""", SPLIT(Account!$F569, "" ""), """")"),"")</f>
        <v/>
      </c>
      <c r="X569" s="42"/>
      <c r="Y569" s="42"/>
      <c r="Z569" s="42"/>
      <c r="AA569" s="42"/>
      <c r="AB569" s="42"/>
      <c r="AC569" s="42"/>
      <c r="AD569" s="42"/>
      <c r="AE569" s="42"/>
      <c r="AF569" s="42"/>
      <c r="AG569" s="42"/>
      <c r="AH569" s="42"/>
      <c r="AI569" s="42"/>
      <c r="AJ569" s="42"/>
      <c r="AK569" s="42"/>
    </row>
    <row r="570">
      <c r="A570" s="20"/>
      <c r="B570" s="20"/>
      <c r="C570" s="20"/>
      <c r="D570" s="20"/>
      <c r="E570" s="20"/>
      <c r="F570" s="21"/>
      <c r="G570" s="20"/>
      <c r="H570" s="20"/>
      <c r="I570" s="20"/>
      <c r="J570" s="20"/>
      <c r="K570" s="20"/>
      <c r="L570" s="21"/>
      <c r="M570" s="33" t="str">
        <f>IFERROR(__xludf.DUMMYFUNCTION("IFS(W570=""Achat"",IFERROR(VALUE(X570),VALUE(REGEXREPLACE(T(X570),""[^0-9]"",""""))),W570=""Vente"",-IFERROR(VALUE(X570),VALUE(REGEXREPLACE(T(X570),""[^0-9]"",""""))),Y570=""Change"",0,Y570&lt;&gt;""Change"","""")"),"")</f>
        <v/>
      </c>
      <c r="N570" s="34" t="str">
        <f>IFERROR(__xludf.DUMMYFUNCTION("IF(Account!$F570&lt;&gt;"""", VALUE(REGEXREPLACE($I570, ""\,"", ""."")), """")"),"")</f>
        <v/>
      </c>
      <c r="O570" s="35" t="str">
        <f>IF(Account!$F570&lt;&gt;"", DATEVALUE(MID($A570,4,3) &amp; LEFT($A570,3) &amp; RIGHT($A570,4)) + TIMEVALUE($B570), "")</f>
        <v/>
      </c>
      <c r="P570" s="36" t="str">
        <f>IF(Account!$F570&lt;&gt;"", DATEVALUE(MID($C570,4,3) &amp; LEFT($C570,3) &amp; RIGHT($C570,4)), "")</f>
        <v/>
      </c>
      <c r="Q570" s="37" t="str">
        <f t="array" ref="Q570">IF($R570&lt;&gt;"",IFERROR(INDEX(ISIN!$B:$B,MATCH($R570,ISIN!$C:$C,0))),)</f>
        <v/>
      </c>
      <c r="R570" s="38" t="str">
        <f t="array" ref="R570">IF($E570&lt;&gt;"",IFERROR(INDEX(ISIN!$C:$C,MATCH($E570,ISIN!$A:$A,0)),IFERROR(INDEX($R571:$R1200,MATCH($K570,$K571:$K1200,0)))),IF(AND($Y570="change",$H570="EUR"),IF($O570=$O571,$R571,IF($O570=$O569,$R569)),IFERROR(INDEX($R571:$R1200,MATCH(SUBSTITUTE($I570,"-","",1),$K571:$K1200,0)))))</f>
        <v/>
      </c>
      <c r="S570" s="37" t="str">
        <f t="shared" si="1"/>
        <v/>
      </c>
      <c r="T570" s="39" t="str">
        <f t="shared" si="2"/>
        <v/>
      </c>
      <c r="U570" s="40" t="str">
        <f t="shared" si="3"/>
        <v/>
      </c>
      <c r="V570" s="34" t="str">
        <f t="shared" si="4"/>
        <v/>
      </c>
      <c r="W570" s="41" t="str">
        <f>IFERROR(__xludf.DUMMYFUNCTION(" IF(Account!$F570&lt;&gt;"""", SPLIT(Account!$F570, "" ""), """")"),"")</f>
        <v/>
      </c>
      <c r="X570" s="42"/>
      <c r="Y570" s="42"/>
      <c r="Z570" s="42"/>
      <c r="AA570" s="42"/>
      <c r="AB570" s="42"/>
      <c r="AC570" s="42"/>
      <c r="AD570" s="42"/>
      <c r="AE570" s="42"/>
      <c r="AF570" s="42"/>
      <c r="AG570" s="42"/>
      <c r="AH570" s="42"/>
      <c r="AI570" s="42"/>
      <c r="AJ570" s="42"/>
      <c r="AK570" s="42"/>
    </row>
    <row r="571">
      <c r="A571" s="20"/>
      <c r="B571" s="20"/>
      <c r="C571" s="20"/>
      <c r="D571" s="20"/>
      <c r="E571" s="20"/>
      <c r="F571" s="21"/>
      <c r="G571" s="20"/>
      <c r="H571" s="20"/>
      <c r="I571" s="20"/>
      <c r="J571" s="20"/>
      <c r="K571" s="20"/>
      <c r="L571" s="21"/>
      <c r="M571" s="33" t="str">
        <f>IFERROR(__xludf.DUMMYFUNCTION("IFS(W571=""Achat"",IFERROR(VALUE(X571),VALUE(REGEXREPLACE(T(X571),""[^0-9]"",""""))),W571=""Vente"",-IFERROR(VALUE(X571),VALUE(REGEXREPLACE(T(X571),""[^0-9]"",""""))),Y571=""Change"",0,Y571&lt;&gt;""Change"","""")"),"")</f>
        <v/>
      </c>
      <c r="N571" s="34" t="str">
        <f>IFERROR(__xludf.DUMMYFUNCTION("IF(Account!$F571&lt;&gt;"""", VALUE(REGEXREPLACE($I571, ""\,"", ""."")), """")"),"")</f>
        <v/>
      </c>
      <c r="O571" s="35" t="str">
        <f>IF(Account!$F571&lt;&gt;"", DATEVALUE(MID($A571,4,3) &amp; LEFT($A571,3) &amp; RIGHT($A571,4)) + TIMEVALUE($B571), "")</f>
        <v/>
      </c>
      <c r="P571" s="36" t="str">
        <f>IF(Account!$F571&lt;&gt;"", DATEVALUE(MID($C571,4,3) &amp; LEFT($C571,3) &amp; RIGHT($C571,4)), "")</f>
        <v/>
      </c>
      <c r="Q571" s="37" t="str">
        <f t="array" ref="Q571">IF($R571&lt;&gt;"",IFERROR(INDEX(ISIN!$B:$B,MATCH($R571,ISIN!$C:$C,0))),)</f>
        <v/>
      </c>
      <c r="R571" s="38" t="str">
        <f t="array" ref="R571">IF($E571&lt;&gt;"",IFERROR(INDEX(ISIN!$C:$C,MATCH($E571,ISIN!$A:$A,0)),IFERROR(INDEX($R572:$R1200,MATCH($K571,$K572:$K1200,0)))),IF(AND($Y571="change",$H571="EUR"),IF($O571=$O572,$R572,IF($O571=$O570,$R570)),IFERROR(INDEX($R572:$R1200,MATCH(SUBSTITUTE($I571,"-","",1),$K572:$K1200,0)))))</f>
        <v/>
      </c>
      <c r="S571" s="37" t="str">
        <f t="shared" si="1"/>
        <v/>
      </c>
      <c r="T571" s="39" t="str">
        <f t="shared" si="2"/>
        <v/>
      </c>
      <c r="U571" s="40" t="str">
        <f t="shared" si="3"/>
        <v/>
      </c>
      <c r="V571" s="34" t="str">
        <f t="shared" si="4"/>
        <v/>
      </c>
      <c r="W571" s="41" t="str">
        <f>IFERROR(__xludf.DUMMYFUNCTION(" IF(Account!$F571&lt;&gt;"""", SPLIT(Account!$F571, "" ""), """")"),"")</f>
        <v/>
      </c>
      <c r="X571" s="42"/>
      <c r="Y571" s="42"/>
      <c r="Z571" s="42"/>
      <c r="AA571" s="42"/>
      <c r="AB571" s="42"/>
      <c r="AC571" s="42"/>
      <c r="AD571" s="42"/>
      <c r="AE571" s="42"/>
      <c r="AF571" s="42"/>
      <c r="AG571" s="42"/>
      <c r="AH571" s="42"/>
      <c r="AI571" s="42"/>
      <c r="AJ571" s="42"/>
      <c r="AK571" s="42"/>
    </row>
    <row r="572">
      <c r="A572" s="20"/>
      <c r="B572" s="20"/>
      <c r="C572" s="20"/>
      <c r="D572" s="20"/>
      <c r="E572" s="20"/>
      <c r="F572" s="21"/>
      <c r="G572" s="45"/>
      <c r="H572" s="20"/>
      <c r="I572" s="20"/>
      <c r="J572" s="20"/>
      <c r="K572" s="20"/>
      <c r="L572" s="21"/>
      <c r="M572" s="33" t="str">
        <f>IFERROR(__xludf.DUMMYFUNCTION("IFS(W572=""Achat"",IFERROR(VALUE(X572),VALUE(REGEXREPLACE(T(X572),""[^0-9]"",""""))),W572=""Vente"",-IFERROR(VALUE(X572),VALUE(REGEXREPLACE(T(X572),""[^0-9]"",""""))),Y572=""Change"",0,Y572&lt;&gt;""Change"","""")"),"")</f>
        <v/>
      </c>
      <c r="N572" s="34" t="str">
        <f>IFERROR(__xludf.DUMMYFUNCTION("IF(Account!$F572&lt;&gt;"""", VALUE(REGEXREPLACE($I572, ""\,"", ""."")), """")"),"")</f>
        <v/>
      </c>
      <c r="O572" s="35" t="str">
        <f>IF(Account!$F572&lt;&gt;"", DATEVALUE(MID($A572,4,3) &amp; LEFT($A572,3) &amp; RIGHT($A572,4)) + TIMEVALUE($B572), "")</f>
        <v/>
      </c>
      <c r="P572" s="36" t="str">
        <f>IF(Account!$F572&lt;&gt;"", DATEVALUE(MID($C572,4,3) &amp; LEFT($C572,3) &amp; RIGHT($C572,4)), "")</f>
        <v/>
      </c>
      <c r="Q572" s="37" t="str">
        <f t="array" ref="Q572">IF($R572&lt;&gt;"",IFERROR(INDEX(ISIN!$B:$B,MATCH($R572,ISIN!$C:$C,0))),)</f>
        <v/>
      </c>
      <c r="R572" s="38" t="str">
        <f t="array" ref="R572">IF($E572&lt;&gt;"",IFERROR(INDEX(ISIN!$C:$C,MATCH($E572,ISIN!$A:$A,0)),IFERROR(INDEX($R573:$R1200,MATCH($K572,$K573:$K1200,0)))),IF(AND($Y572="change",$H572="EUR"),IF($O572=$O573,$R573,IF($O572=$O571,$R571)),IFERROR(INDEX($R573:$R1200,MATCH(SUBSTITUTE($I572,"-","",1),$K573:$K1200,0)))))</f>
        <v/>
      </c>
      <c r="S572" s="37" t="str">
        <f t="shared" si="1"/>
        <v/>
      </c>
      <c r="T572" s="39" t="str">
        <f t="shared" si="2"/>
        <v/>
      </c>
      <c r="U572" s="40" t="str">
        <f t="shared" si="3"/>
        <v/>
      </c>
      <c r="V572" s="34" t="str">
        <f t="shared" si="4"/>
        <v/>
      </c>
      <c r="W572" s="41" t="str">
        <f>IFERROR(__xludf.DUMMYFUNCTION(" IF(Account!$F572&lt;&gt;"""", SPLIT(Account!$F572, "" ""), """")"),"")</f>
        <v/>
      </c>
      <c r="X572" s="42"/>
      <c r="Y572" s="42"/>
      <c r="Z572" s="42"/>
      <c r="AA572" s="42"/>
      <c r="AB572" s="42"/>
      <c r="AC572" s="42"/>
      <c r="AD572" s="42"/>
      <c r="AE572" s="42"/>
      <c r="AF572" s="42"/>
      <c r="AG572" s="42"/>
      <c r="AH572" s="42"/>
      <c r="AI572" s="42"/>
      <c r="AJ572" s="42"/>
      <c r="AK572" s="42"/>
    </row>
    <row r="573">
      <c r="A573" s="20"/>
      <c r="B573" s="20"/>
      <c r="C573" s="20"/>
      <c r="D573" s="20"/>
      <c r="E573" s="20"/>
      <c r="F573" s="21"/>
      <c r="G573" s="45"/>
      <c r="H573" s="20"/>
      <c r="I573" s="20"/>
      <c r="J573" s="20"/>
      <c r="K573" s="20"/>
      <c r="L573" s="21"/>
      <c r="M573" s="33" t="str">
        <f>IFERROR(__xludf.DUMMYFUNCTION("IFS(W573=""Achat"",IFERROR(VALUE(X573),VALUE(REGEXREPLACE(T(X573),""[^0-9]"",""""))),W573=""Vente"",-IFERROR(VALUE(X573),VALUE(REGEXREPLACE(T(X573),""[^0-9]"",""""))),Y573=""Change"",0,Y573&lt;&gt;""Change"","""")"),"")</f>
        <v/>
      </c>
      <c r="N573" s="34" t="str">
        <f>IFERROR(__xludf.DUMMYFUNCTION("IF(Account!$F573&lt;&gt;"""", VALUE(REGEXREPLACE($I573, ""\,"", ""."")), """")"),"")</f>
        <v/>
      </c>
      <c r="O573" s="35" t="str">
        <f>IF(Account!$F573&lt;&gt;"", DATEVALUE(MID($A573,4,3) &amp; LEFT($A573,3) &amp; RIGHT($A573,4)) + TIMEVALUE($B573), "")</f>
        <v/>
      </c>
      <c r="P573" s="36" t="str">
        <f>IF(Account!$F573&lt;&gt;"", DATEVALUE(MID($C573,4,3) &amp; LEFT($C573,3) &amp; RIGHT($C573,4)), "")</f>
        <v/>
      </c>
      <c r="Q573" s="37" t="str">
        <f t="array" ref="Q573">IF($R573&lt;&gt;"",IFERROR(INDEX(ISIN!$B:$B,MATCH($R573,ISIN!$C:$C,0))),)</f>
        <v/>
      </c>
      <c r="R573" s="38" t="str">
        <f t="array" ref="R573">IF($E573&lt;&gt;"",IFERROR(INDEX(ISIN!$C:$C,MATCH($E573,ISIN!$A:$A,0)),IFERROR(INDEX($R574:$R1200,MATCH($K573,$K574:$K1200,0)))),IF(AND($Y573="change",$H573="EUR"),IF($O573=$O574,$R574,IF($O573=$O572,$R572)),IFERROR(INDEX($R574:$R1200,MATCH(SUBSTITUTE($I573,"-","",1),$K574:$K1200,0)))))</f>
        <v/>
      </c>
      <c r="S573" s="37" t="str">
        <f t="shared" si="1"/>
        <v/>
      </c>
      <c r="T573" s="39" t="str">
        <f t="shared" si="2"/>
        <v/>
      </c>
      <c r="U573" s="40" t="str">
        <f t="shared" si="3"/>
        <v/>
      </c>
      <c r="V573" s="34" t="str">
        <f t="shared" si="4"/>
        <v/>
      </c>
      <c r="W573" s="41" t="str">
        <f>IFERROR(__xludf.DUMMYFUNCTION(" IF(Account!$F573&lt;&gt;"""", SPLIT(Account!$F573, "" ""), """")"),"")</f>
        <v/>
      </c>
      <c r="X573" s="42"/>
      <c r="Y573" s="42"/>
      <c r="Z573" s="42"/>
      <c r="AA573" s="42"/>
      <c r="AB573" s="42"/>
      <c r="AC573" s="42"/>
      <c r="AD573" s="42"/>
      <c r="AE573" s="42"/>
      <c r="AF573" s="42"/>
      <c r="AG573" s="42"/>
      <c r="AH573" s="42"/>
      <c r="AI573" s="42"/>
      <c r="AJ573" s="42"/>
      <c r="AK573" s="42"/>
    </row>
    <row r="574">
      <c r="A574" s="20"/>
      <c r="B574" s="20"/>
      <c r="C574" s="20"/>
      <c r="D574" s="45"/>
      <c r="E574" s="45"/>
      <c r="F574" s="21"/>
      <c r="G574" s="45"/>
      <c r="H574" s="20"/>
      <c r="I574" s="20"/>
      <c r="J574" s="20"/>
      <c r="K574" s="20"/>
      <c r="L574" s="21"/>
      <c r="M574" s="33" t="str">
        <f>IFERROR(__xludf.DUMMYFUNCTION("IFS(W574=""Achat"",IFERROR(VALUE(X574),VALUE(REGEXREPLACE(T(X574),""[^0-9]"",""""))),W574=""Vente"",-IFERROR(VALUE(X574),VALUE(REGEXREPLACE(T(X574),""[^0-9]"",""""))),Y574=""Change"",0,Y574&lt;&gt;""Change"","""")"),"")</f>
        <v/>
      </c>
      <c r="N574" s="34" t="str">
        <f>IFERROR(__xludf.DUMMYFUNCTION("IF(Account!$F574&lt;&gt;"""", VALUE(REGEXREPLACE($I574, ""\,"", ""."")), """")"),"")</f>
        <v/>
      </c>
      <c r="O574" s="35" t="str">
        <f>IF(Account!$F574&lt;&gt;"", DATEVALUE(MID($A574,4,3) &amp; LEFT($A574,3) &amp; RIGHT($A574,4)) + TIMEVALUE($B574), "")</f>
        <v/>
      </c>
      <c r="P574" s="36" t="str">
        <f>IF(Account!$F574&lt;&gt;"", DATEVALUE(MID($C574,4,3) &amp; LEFT($C574,3) &amp; RIGHT($C574,4)), "")</f>
        <v/>
      </c>
      <c r="Q574" s="37" t="str">
        <f t="array" ref="Q574">IF($R574&lt;&gt;"",IFERROR(INDEX(ISIN!$B:$B,MATCH($R574,ISIN!$C:$C,0))),)</f>
        <v/>
      </c>
      <c r="R574" s="38" t="str">
        <f t="array" ref="R574">IF($E574&lt;&gt;"",IFERROR(INDEX(ISIN!$C:$C,MATCH($E574,ISIN!$A:$A,0)),IFERROR(INDEX($R575:$R1200,MATCH($K574,$K575:$K1200,0)))),IF(AND($Y574="change",$H574="EUR"),IF($O574=$O575,$R575,IF($O574=$O573,$R573)),IFERROR(INDEX($R575:$R1200,MATCH(SUBSTITUTE($I574,"-","",1),$K575:$K1200,0)))))</f>
        <v/>
      </c>
      <c r="S574" s="37" t="str">
        <f t="shared" si="1"/>
        <v/>
      </c>
      <c r="T574" s="39" t="str">
        <f t="shared" si="2"/>
        <v/>
      </c>
      <c r="U574" s="40" t="str">
        <f t="shared" si="3"/>
        <v/>
      </c>
      <c r="V574" s="34" t="str">
        <f t="shared" si="4"/>
        <v/>
      </c>
      <c r="W574" s="41" t="str">
        <f>IFERROR(__xludf.DUMMYFUNCTION(" IF(Account!$F574&lt;&gt;"""", SPLIT(Account!$F574, "" ""), """")"),"")</f>
        <v/>
      </c>
      <c r="X574" s="42"/>
      <c r="Y574" s="42"/>
      <c r="Z574" s="42"/>
      <c r="AA574" s="42"/>
      <c r="AB574" s="42"/>
      <c r="AC574" s="42"/>
      <c r="AD574" s="42"/>
      <c r="AE574" s="42"/>
      <c r="AF574" s="42"/>
      <c r="AG574" s="42"/>
      <c r="AH574" s="42"/>
      <c r="AI574" s="42"/>
      <c r="AJ574" s="42"/>
      <c r="AK574" s="42"/>
    </row>
    <row r="575">
      <c r="A575" s="20"/>
      <c r="B575" s="20"/>
      <c r="C575" s="20"/>
      <c r="D575" s="45"/>
      <c r="E575" s="45"/>
      <c r="F575" s="21"/>
      <c r="G575" s="20"/>
      <c r="H575" s="20"/>
      <c r="I575" s="20"/>
      <c r="J575" s="20"/>
      <c r="K575" s="20"/>
      <c r="L575" s="21"/>
      <c r="M575" s="33" t="str">
        <f>IFERROR(__xludf.DUMMYFUNCTION("IFS(W575=""Achat"",IFERROR(VALUE(X575),VALUE(REGEXREPLACE(T(X575),""[^0-9]"",""""))),W575=""Vente"",-IFERROR(VALUE(X575),VALUE(REGEXREPLACE(T(X575),""[^0-9]"",""""))),Y575=""Change"",0,Y575&lt;&gt;""Change"","""")"),"")</f>
        <v/>
      </c>
      <c r="N575" s="34" t="str">
        <f>IFERROR(__xludf.DUMMYFUNCTION("IF(Account!$F575&lt;&gt;"""", VALUE(REGEXREPLACE($I575, ""\,"", ""."")), """")"),"")</f>
        <v/>
      </c>
      <c r="O575" s="35" t="str">
        <f>IF(Account!$F575&lt;&gt;"", DATEVALUE(MID($A575,4,3) &amp; LEFT($A575,3) &amp; RIGHT($A575,4)) + TIMEVALUE($B575), "")</f>
        <v/>
      </c>
      <c r="P575" s="36" t="str">
        <f>IF(Account!$F575&lt;&gt;"", DATEVALUE(MID($C575,4,3) &amp; LEFT($C575,3) &amp; RIGHT($C575,4)), "")</f>
        <v/>
      </c>
      <c r="Q575" s="37" t="str">
        <f t="array" ref="Q575">IF($R575&lt;&gt;"",IFERROR(INDEX(ISIN!$B:$B,MATCH($R575,ISIN!$C:$C,0))),)</f>
        <v/>
      </c>
      <c r="R575" s="38" t="str">
        <f t="array" ref="R575">IF($E575&lt;&gt;"",IFERROR(INDEX(ISIN!$C:$C,MATCH($E575,ISIN!$A:$A,0)),IFERROR(INDEX($R576:$R1200,MATCH($K575,$K576:$K1200,0)))),IF(AND($Y575="change",$H575="EUR"),IF($O575=$O576,$R576,IF($O575=$O574,$R574)),IFERROR(INDEX($R576:$R1200,MATCH(SUBSTITUTE($I575,"-","",1),$K576:$K1200,0)))))</f>
        <v/>
      </c>
      <c r="S575" s="37" t="str">
        <f t="shared" si="1"/>
        <v/>
      </c>
      <c r="T575" s="39" t="str">
        <f t="shared" si="2"/>
        <v/>
      </c>
      <c r="U575" s="40" t="str">
        <f t="shared" si="3"/>
        <v/>
      </c>
      <c r="V575" s="34" t="str">
        <f t="shared" si="4"/>
        <v/>
      </c>
      <c r="W575" s="41" t="str">
        <f>IFERROR(__xludf.DUMMYFUNCTION(" IF(Account!$F575&lt;&gt;"""", SPLIT(Account!$F575, "" ""), """")"),"")</f>
        <v/>
      </c>
      <c r="X575" s="42"/>
      <c r="Y575" s="42"/>
      <c r="Z575" s="42"/>
      <c r="AA575" s="42"/>
      <c r="AB575" s="42"/>
      <c r="AC575" s="42"/>
      <c r="AD575" s="42"/>
      <c r="AE575" s="42"/>
      <c r="AF575" s="42"/>
      <c r="AG575" s="42"/>
      <c r="AH575" s="42"/>
      <c r="AI575" s="42"/>
      <c r="AJ575" s="42"/>
      <c r="AK575" s="42"/>
    </row>
    <row r="576">
      <c r="A576" s="20"/>
      <c r="B576" s="20"/>
      <c r="C576" s="20"/>
      <c r="D576" s="20"/>
      <c r="E576" s="20"/>
      <c r="F576" s="21"/>
      <c r="G576" s="45"/>
      <c r="H576" s="45"/>
      <c r="I576" s="45"/>
      <c r="J576" s="20"/>
      <c r="K576" s="20"/>
      <c r="L576" s="46"/>
      <c r="M576" s="33" t="str">
        <f>IFERROR(__xludf.DUMMYFUNCTION("IFS(W576=""Achat"",IFERROR(VALUE(X576),VALUE(REGEXREPLACE(T(X576),""[^0-9]"",""""))),W576=""Vente"",-IFERROR(VALUE(X576),VALUE(REGEXREPLACE(T(X576),""[^0-9]"",""""))),Y576=""Change"",0,Y576&lt;&gt;""Change"","""")"),"")</f>
        <v/>
      </c>
      <c r="N576" s="34" t="str">
        <f>IFERROR(__xludf.DUMMYFUNCTION("IF(Account!$F576&lt;&gt;"""", VALUE(REGEXREPLACE($I576, ""\,"", ""."")), """")"),"")</f>
        <v/>
      </c>
      <c r="O576" s="35" t="str">
        <f>IF(Account!$F576&lt;&gt;"", DATEVALUE(MID($A576,4,3) &amp; LEFT($A576,3) &amp; RIGHT($A576,4)) + TIMEVALUE($B576), "")</f>
        <v/>
      </c>
      <c r="P576" s="36" t="str">
        <f>IF(Account!$F576&lt;&gt;"", DATEVALUE(MID($C576,4,3) &amp; LEFT($C576,3) &amp; RIGHT($C576,4)), "")</f>
        <v/>
      </c>
      <c r="Q576" s="37" t="str">
        <f t="array" ref="Q576">IF($R576&lt;&gt;"",IFERROR(INDEX(ISIN!$B:$B,MATCH($R576,ISIN!$C:$C,0))),)</f>
        <v/>
      </c>
      <c r="R576" s="38" t="str">
        <f t="array" ref="R576">IF($E576&lt;&gt;"",IFERROR(INDEX(ISIN!$C:$C,MATCH($E576,ISIN!$A:$A,0)),IFERROR(INDEX($R577:$R1200,MATCH($K576,$K577:$K1200,0)))),IF(AND($Y576="change",$H576="EUR"),IF($O576=$O577,$R577,IF($O576=$O575,$R575)),IFERROR(INDEX($R577:$R1200,MATCH(SUBSTITUTE($I576,"-","",1),$K577:$K1200,0)))))</f>
        <v/>
      </c>
      <c r="S576" s="37" t="str">
        <f t="shared" si="1"/>
        <v/>
      </c>
      <c r="T576" s="39" t="str">
        <f t="shared" si="2"/>
        <v/>
      </c>
      <c r="U576" s="40" t="str">
        <f t="shared" si="3"/>
        <v/>
      </c>
      <c r="V576" s="34" t="str">
        <f t="shared" si="4"/>
        <v/>
      </c>
      <c r="W576" s="41" t="str">
        <f>IFERROR(__xludf.DUMMYFUNCTION(" IF(Account!$F576&lt;&gt;"""", SPLIT(Account!$F576, "" ""), """")"),"")</f>
        <v/>
      </c>
      <c r="X576" s="42"/>
      <c r="Y576" s="42"/>
      <c r="Z576" s="42"/>
      <c r="AA576" s="42"/>
      <c r="AB576" s="42"/>
      <c r="AC576" s="42"/>
      <c r="AD576" s="42"/>
      <c r="AE576" s="42"/>
      <c r="AF576" s="42"/>
      <c r="AG576" s="42"/>
      <c r="AH576" s="42"/>
      <c r="AI576" s="42"/>
      <c r="AJ576" s="42"/>
      <c r="AK576" s="42"/>
    </row>
    <row r="577">
      <c r="A577" s="20"/>
      <c r="B577" s="20"/>
      <c r="C577" s="20"/>
      <c r="D577" s="45"/>
      <c r="E577" s="45"/>
      <c r="F577" s="21"/>
      <c r="G577" s="45"/>
      <c r="H577" s="20"/>
      <c r="I577" s="20"/>
      <c r="J577" s="20"/>
      <c r="K577" s="20"/>
      <c r="L577" s="46"/>
      <c r="M577" s="33" t="str">
        <f>IFERROR(__xludf.DUMMYFUNCTION("IFS(W577=""Achat"",IFERROR(VALUE(X577),VALUE(REGEXREPLACE(T(X577),""[^0-9]"",""""))),W577=""Vente"",-IFERROR(VALUE(X577),VALUE(REGEXREPLACE(T(X577),""[^0-9]"",""""))),Y577=""Change"",0,Y577&lt;&gt;""Change"","""")"),"")</f>
        <v/>
      </c>
      <c r="N577" s="34" t="str">
        <f>IFERROR(__xludf.DUMMYFUNCTION("IF(Account!$F577&lt;&gt;"""", VALUE(REGEXREPLACE($I577, ""\,"", ""."")), """")"),"")</f>
        <v/>
      </c>
      <c r="O577" s="35" t="str">
        <f>IF(Account!$F577&lt;&gt;"", DATEVALUE(MID($A577,4,3) &amp; LEFT($A577,3) &amp; RIGHT($A577,4)) + TIMEVALUE($B577), "")</f>
        <v/>
      </c>
      <c r="P577" s="36" t="str">
        <f>IF(Account!$F577&lt;&gt;"", DATEVALUE(MID($C577,4,3) &amp; LEFT($C577,3) &amp; RIGHT($C577,4)), "")</f>
        <v/>
      </c>
      <c r="Q577" s="37" t="str">
        <f t="array" ref="Q577">IF($R577&lt;&gt;"",IFERROR(INDEX(ISIN!$B:$B,MATCH($R577,ISIN!$C:$C,0))),)</f>
        <v/>
      </c>
      <c r="R577" s="38" t="str">
        <f t="array" ref="R577">IF($E577&lt;&gt;"",IFERROR(INDEX(ISIN!$C:$C,MATCH($E577,ISIN!$A:$A,0)),IFERROR(INDEX($R578:$R1200,MATCH($K577,$K578:$K1200,0)))),IF(AND($Y577="change",$H577="EUR"),IF($O577=$O578,$R578,IF($O577=$O576,$R576)),IFERROR(INDEX($R578:$R1200,MATCH(SUBSTITUTE($I577,"-","",1),$K578:$K1200,0)))))</f>
        <v/>
      </c>
      <c r="S577" s="37" t="str">
        <f t="shared" si="1"/>
        <v/>
      </c>
      <c r="T577" s="39" t="str">
        <f t="shared" si="2"/>
        <v/>
      </c>
      <c r="U577" s="40" t="str">
        <f t="shared" si="3"/>
        <v/>
      </c>
      <c r="V577" s="34" t="str">
        <f t="shared" si="4"/>
        <v/>
      </c>
      <c r="W577" s="41" t="str">
        <f>IFERROR(__xludf.DUMMYFUNCTION(" IF(Account!$F577&lt;&gt;"""", SPLIT(Account!$F577, "" ""), """")"),"")</f>
        <v/>
      </c>
      <c r="X577" s="42"/>
      <c r="Y577" s="42"/>
      <c r="Z577" s="42"/>
      <c r="AA577" s="42"/>
      <c r="AB577" s="42"/>
      <c r="AC577" s="42"/>
      <c r="AD577" s="42"/>
      <c r="AE577" s="42"/>
      <c r="AF577" s="42"/>
      <c r="AG577" s="42"/>
      <c r="AH577" s="42"/>
      <c r="AI577" s="42"/>
      <c r="AJ577" s="42"/>
      <c r="AK577" s="42"/>
    </row>
    <row r="578">
      <c r="A578" s="20"/>
      <c r="B578" s="20"/>
      <c r="C578" s="20"/>
      <c r="D578" s="45"/>
      <c r="E578" s="45"/>
      <c r="F578" s="21"/>
      <c r="G578" s="20"/>
      <c r="H578" s="20"/>
      <c r="I578" s="20"/>
      <c r="J578" s="20"/>
      <c r="K578" s="20"/>
      <c r="L578" s="46"/>
      <c r="M578" s="33" t="str">
        <f>IFERROR(__xludf.DUMMYFUNCTION("IFS(W578=""Achat"",IFERROR(VALUE(X578),VALUE(REGEXREPLACE(T(X578),""[^0-9]"",""""))),W578=""Vente"",-IFERROR(VALUE(X578),VALUE(REGEXREPLACE(T(X578),""[^0-9]"",""""))),Y578=""Change"",0,Y578&lt;&gt;""Change"","""")"),"")</f>
        <v/>
      </c>
      <c r="N578" s="34" t="str">
        <f>IFERROR(__xludf.DUMMYFUNCTION("IF(Account!$F578&lt;&gt;"""", VALUE(REGEXREPLACE($I578, ""\,"", ""."")), """")"),"")</f>
        <v/>
      </c>
      <c r="O578" s="35" t="str">
        <f>IF(Account!$F578&lt;&gt;"", DATEVALUE(MID($A578,4,3) &amp; LEFT($A578,3) &amp; RIGHT($A578,4)) + TIMEVALUE($B578), "")</f>
        <v/>
      </c>
      <c r="P578" s="36" t="str">
        <f>IF(Account!$F578&lt;&gt;"", DATEVALUE(MID($C578,4,3) &amp; LEFT($C578,3) &amp; RIGHT($C578,4)), "")</f>
        <v/>
      </c>
      <c r="Q578" s="37" t="str">
        <f t="array" ref="Q578">IF($R578&lt;&gt;"",IFERROR(INDEX(ISIN!$B:$B,MATCH($R578,ISIN!$C:$C,0))),)</f>
        <v/>
      </c>
      <c r="R578" s="38" t="str">
        <f t="array" ref="R578">IF($E578&lt;&gt;"",IFERROR(INDEX(ISIN!$C:$C,MATCH($E578,ISIN!$A:$A,0)),IFERROR(INDEX($R579:$R1200,MATCH($K578,$K579:$K1200,0)))),IF(AND($Y578="change",$H578="EUR"),IF($O578=$O579,$R579,IF($O578=$O577,$R577)),IFERROR(INDEX($R579:$R1200,MATCH(SUBSTITUTE($I578,"-","",1),$K579:$K1200,0)))))</f>
        <v/>
      </c>
      <c r="S578" s="37" t="str">
        <f t="shared" si="1"/>
        <v/>
      </c>
      <c r="T578" s="39" t="str">
        <f t="shared" si="2"/>
        <v/>
      </c>
      <c r="U578" s="40" t="str">
        <f t="shared" si="3"/>
        <v/>
      </c>
      <c r="V578" s="34" t="str">
        <f t="shared" si="4"/>
        <v/>
      </c>
      <c r="W578" s="41" t="str">
        <f>IFERROR(__xludf.DUMMYFUNCTION(" IF(Account!$F578&lt;&gt;"""", SPLIT(Account!$F578, "" ""), """")"),"")</f>
        <v/>
      </c>
      <c r="X578" s="42"/>
      <c r="Y578" s="42"/>
      <c r="Z578" s="42"/>
      <c r="AA578" s="42"/>
      <c r="AB578" s="42"/>
      <c r="AC578" s="42"/>
      <c r="AD578" s="42"/>
      <c r="AE578" s="42"/>
      <c r="AF578" s="42"/>
      <c r="AG578" s="42"/>
      <c r="AH578" s="42"/>
      <c r="AI578" s="42"/>
      <c r="AJ578" s="42"/>
      <c r="AK578" s="42"/>
    </row>
    <row r="579">
      <c r="A579" s="20"/>
      <c r="B579" s="20"/>
      <c r="C579" s="20"/>
      <c r="D579" s="20"/>
      <c r="E579" s="20"/>
      <c r="F579" s="21"/>
      <c r="G579" s="45"/>
      <c r="H579" s="45"/>
      <c r="I579" s="45"/>
      <c r="J579" s="20"/>
      <c r="K579" s="20"/>
      <c r="L579" s="46"/>
      <c r="M579" s="33" t="str">
        <f>IFERROR(__xludf.DUMMYFUNCTION("IFS(W579=""Achat"",IFERROR(VALUE(X579),VALUE(REGEXREPLACE(T(X579),""[^0-9]"",""""))),W579=""Vente"",-IFERROR(VALUE(X579),VALUE(REGEXREPLACE(T(X579),""[^0-9]"",""""))),Y579=""Change"",0,Y579&lt;&gt;""Change"","""")"),"")</f>
        <v/>
      </c>
      <c r="N579" s="34" t="str">
        <f>IFERROR(__xludf.DUMMYFUNCTION("IF(Account!$F579&lt;&gt;"""", VALUE(REGEXREPLACE($I579, ""\,"", ""."")), """")"),"")</f>
        <v/>
      </c>
      <c r="O579" s="35" t="str">
        <f>IF(Account!$F579&lt;&gt;"", DATEVALUE(MID($A579,4,3) &amp; LEFT($A579,3) &amp; RIGHT($A579,4)) + TIMEVALUE($B579), "")</f>
        <v/>
      </c>
      <c r="P579" s="36" t="str">
        <f>IF(Account!$F579&lt;&gt;"", DATEVALUE(MID($C579,4,3) &amp; LEFT($C579,3) &amp; RIGHT($C579,4)), "")</f>
        <v/>
      </c>
      <c r="Q579" s="37" t="str">
        <f t="array" ref="Q579">IF($R579&lt;&gt;"",IFERROR(INDEX(ISIN!$B:$B,MATCH($R579,ISIN!$C:$C,0))),)</f>
        <v/>
      </c>
      <c r="R579" s="38" t="str">
        <f t="array" ref="R579">IF($E579&lt;&gt;"",IFERROR(INDEX(ISIN!$C:$C,MATCH($E579,ISIN!$A:$A,0)),IFERROR(INDEX($R580:$R1200,MATCH($K579,$K580:$K1200,0)))),IF(AND($Y579="change",$H579="EUR"),IF($O579=$O580,$R580,IF($O579=$O578,$R578)),IFERROR(INDEX($R580:$R1200,MATCH(SUBSTITUTE($I579,"-","",1),$K580:$K1200,0)))))</f>
        <v/>
      </c>
      <c r="S579" s="37" t="str">
        <f t="shared" si="1"/>
        <v/>
      </c>
      <c r="T579" s="39" t="str">
        <f t="shared" si="2"/>
        <v/>
      </c>
      <c r="U579" s="40" t="str">
        <f t="shared" si="3"/>
        <v/>
      </c>
      <c r="V579" s="34" t="str">
        <f t="shared" si="4"/>
        <v/>
      </c>
      <c r="W579" s="41" t="str">
        <f>IFERROR(__xludf.DUMMYFUNCTION(" IF(Account!$F579&lt;&gt;"""", SPLIT(Account!$F579, "" ""), """")"),"")</f>
        <v/>
      </c>
      <c r="X579" s="42"/>
      <c r="Y579" s="42"/>
      <c r="Z579" s="42"/>
      <c r="AA579" s="42"/>
      <c r="AB579" s="42"/>
      <c r="AC579" s="42"/>
      <c r="AD579" s="42"/>
      <c r="AE579" s="42"/>
      <c r="AF579" s="42"/>
      <c r="AG579" s="42"/>
      <c r="AH579" s="42"/>
      <c r="AI579" s="42"/>
      <c r="AJ579" s="42"/>
      <c r="AK579" s="42"/>
    </row>
    <row r="580">
      <c r="A580" s="20"/>
      <c r="B580" s="20"/>
      <c r="C580" s="20"/>
      <c r="D580" s="20"/>
      <c r="E580" s="20"/>
      <c r="F580" s="21"/>
      <c r="G580" s="45"/>
      <c r="H580" s="20"/>
      <c r="I580" s="20"/>
      <c r="J580" s="20"/>
      <c r="K580" s="20"/>
      <c r="L580" s="46"/>
      <c r="M580" s="33" t="str">
        <f>IFERROR(__xludf.DUMMYFUNCTION("IFS(W580=""Achat"",IFERROR(VALUE(X580),VALUE(REGEXREPLACE(T(X580),""[^0-9]"",""""))),W580=""Vente"",-IFERROR(VALUE(X580),VALUE(REGEXREPLACE(T(X580),""[^0-9]"",""""))),Y580=""Change"",0,Y580&lt;&gt;""Change"","""")"),"")</f>
        <v/>
      </c>
      <c r="N580" s="34" t="str">
        <f>IFERROR(__xludf.DUMMYFUNCTION("IF(Account!$F580&lt;&gt;"""", VALUE(REGEXREPLACE($I580, ""\,"", ""."")), """")"),"")</f>
        <v/>
      </c>
      <c r="O580" s="35" t="str">
        <f>IF(Account!$F580&lt;&gt;"", DATEVALUE(MID($A580,4,3) &amp; LEFT($A580,3) &amp; RIGHT($A580,4)) + TIMEVALUE($B580), "")</f>
        <v/>
      </c>
      <c r="P580" s="36" t="str">
        <f>IF(Account!$F580&lt;&gt;"", DATEVALUE(MID($C580,4,3) &amp; LEFT($C580,3) &amp; RIGHT($C580,4)), "")</f>
        <v/>
      </c>
      <c r="Q580" s="37" t="str">
        <f t="array" ref="Q580">IF($R580&lt;&gt;"",IFERROR(INDEX(ISIN!$B:$B,MATCH($R580,ISIN!$C:$C,0))),)</f>
        <v/>
      </c>
      <c r="R580" s="38" t="str">
        <f t="array" ref="R580">IF($E580&lt;&gt;"",IFERROR(INDEX(ISIN!$C:$C,MATCH($E580,ISIN!$A:$A,0)),IFERROR(INDEX($R581:$R1200,MATCH($K580,$K581:$K1200,0)))),IF(AND($Y580="change",$H580="EUR"),IF($O580=$O581,$R581,IF($O580=$O579,$R579)),IFERROR(INDEX($R581:$R1200,MATCH(SUBSTITUTE($I580,"-","",1),$K581:$K1200,0)))))</f>
        <v/>
      </c>
      <c r="S580" s="37" t="str">
        <f t="shared" si="1"/>
        <v/>
      </c>
      <c r="T580" s="39" t="str">
        <f t="shared" si="2"/>
        <v/>
      </c>
      <c r="U580" s="40" t="str">
        <f t="shared" si="3"/>
        <v/>
      </c>
      <c r="V580" s="34" t="str">
        <f t="shared" si="4"/>
        <v/>
      </c>
      <c r="W580" s="41" t="str">
        <f>IFERROR(__xludf.DUMMYFUNCTION(" IF(Account!$F580&lt;&gt;"""", SPLIT(Account!$F580, "" ""), """")"),"")</f>
        <v/>
      </c>
      <c r="X580" s="42"/>
      <c r="Y580" s="42"/>
      <c r="Z580" s="42"/>
      <c r="AA580" s="42"/>
      <c r="AB580" s="42"/>
      <c r="AC580" s="42"/>
      <c r="AD580" s="42"/>
      <c r="AE580" s="42"/>
      <c r="AF580" s="42"/>
      <c r="AG580" s="42"/>
      <c r="AH580" s="42"/>
      <c r="AI580" s="42"/>
      <c r="AJ580" s="42"/>
      <c r="AK580" s="42"/>
    </row>
    <row r="581">
      <c r="A581" s="20"/>
      <c r="B581" s="20"/>
      <c r="C581" s="20"/>
      <c r="D581" s="20"/>
      <c r="E581" s="20"/>
      <c r="F581" s="21"/>
      <c r="G581" s="45"/>
      <c r="H581" s="20"/>
      <c r="I581" s="20"/>
      <c r="J581" s="20"/>
      <c r="K581" s="20"/>
      <c r="L581" s="21"/>
      <c r="M581" s="33" t="str">
        <f>IFERROR(__xludf.DUMMYFUNCTION("IFS(W581=""Achat"",IFERROR(VALUE(X581),VALUE(REGEXREPLACE(T(X581),""[^0-9]"",""""))),W581=""Vente"",-IFERROR(VALUE(X581),VALUE(REGEXREPLACE(T(X581),""[^0-9]"",""""))),Y581=""Change"",0,Y581&lt;&gt;""Change"","""")"),"")</f>
        <v/>
      </c>
      <c r="N581" s="34" t="str">
        <f>IFERROR(__xludf.DUMMYFUNCTION("IF(Account!$F581&lt;&gt;"""", VALUE(REGEXREPLACE($I581, ""\,"", ""."")), """")"),"")</f>
        <v/>
      </c>
      <c r="O581" s="35" t="str">
        <f>IF(Account!$F581&lt;&gt;"", DATEVALUE(MID($A581,4,3) &amp; LEFT($A581,3) &amp; RIGHT($A581,4)) + TIMEVALUE($B581), "")</f>
        <v/>
      </c>
      <c r="P581" s="36" t="str">
        <f>IF(Account!$F581&lt;&gt;"", DATEVALUE(MID($C581,4,3) &amp; LEFT($C581,3) &amp; RIGHT($C581,4)), "")</f>
        <v/>
      </c>
      <c r="Q581" s="37" t="str">
        <f t="array" ref="Q581">IF($R581&lt;&gt;"",IFERROR(INDEX(ISIN!$B:$B,MATCH($R581,ISIN!$C:$C,0))),)</f>
        <v/>
      </c>
      <c r="R581" s="38" t="str">
        <f t="array" ref="R581">IF($E581&lt;&gt;"",IFERROR(INDEX(ISIN!$C:$C,MATCH($E581,ISIN!$A:$A,0)),IFERROR(INDEX($R582:$R1200,MATCH($K581,$K582:$K1200,0)))),IF(AND($Y581="change",$H581="EUR"),IF($O581=$O582,$R582,IF($O581=$O580,$R580)),IFERROR(INDEX($R582:$R1200,MATCH(SUBSTITUTE($I581,"-","",1),$K582:$K1200,0)))))</f>
        <v/>
      </c>
      <c r="S581" s="37" t="str">
        <f t="shared" si="1"/>
        <v/>
      </c>
      <c r="T581" s="39" t="str">
        <f t="shared" si="2"/>
        <v/>
      </c>
      <c r="U581" s="40" t="str">
        <f t="shared" si="3"/>
        <v/>
      </c>
      <c r="V581" s="34" t="str">
        <f t="shared" si="4"/>
        <v/>
      </c>
      <c r="W581" s="41" t="str">
        <f>IFERROR(__xludf.DUMMYFUNCTION(" IF(Account!$F581&lt;&gt;"""", SPLIT(Account!$F581, "" ""), """")"),"")</f>
        <v/>
      </c>
      <c r="X581" s="42"/>
      <c r="Y581" s="42"/>
      <c r="Z581" s="42"/>
      <c r="AA581" s="42"/>
      <c r="AB581" s="42"/>
      <c r="AC581" s="42"/>
      <c r="AD581" s="42"/>
      <c r="AE581" s="42"/>
      <c r="AF581" s="42"/>
      <c r="AG581" s="42"/>
      <c r="AH581" s="42"/>
      <c r="AI581" s="42"/>
      <c r="AJ581" s="42"/>
      <c r="AK581" s="42"/>
    </row>
    <row r="582">
      <c r="A582" s="20"/>
      <c r="B582" s="20"/>
      <c r="C582" s="20"/>
      <c r="D582" s="20"/>
      <c r="E582" s="20"/>
      <c r="F582" s="21"/>
      <c r="G582" s="20"/>
      <c r="H582" s="20"/>
      <c r="I582" s="20"/>
      <c r="J582" s="20"/>
      <c r="K582" s="20"/>
      <c r="L582" s="21"/>
      <c r="M582" s="33" t="str">
        <f>IFERROR(__xludf.DUMMYFUNCTION("IFS(W582=""Achat"",IFERROR(VALUE(X582),VALUE(REGEXREPLACE(T(X582),""[^0-9]"",""""))),W582=""Vente"",-IFERROR(VALUE(X582),VALUE(REGEXREPLACE(T(X582),""[^0-9]"",""""))),Y582=""Change"",0,Y582&lt;&gt;""Change"","""")"),"")</f>
        <v/>
      </c>
      <c r="N582" s="34" t="str">
        <f>IFERROR(__xludf.DUMMYFUNCTION("IF(Account!$F582&lt;&gt;"""", VALUE(REGEXREPLACE($I582, ""\,"", ""."")), """")"),"")</f>
        <v/>
      </c>
      <c r="O582" s="35" t="str">
        <f>IF(Account!$F582&lt;&gt;"", DATEVALUE(MID($A582,4,3) &amp; LEFT($A582,3) &amp; RIGHT($A582,4)) + TIMEVALUE($B582), "")</f>
        <v/>
      </c>
      <c r="P582" s="36" t="str">
        <f>IF(Account!$F582&lt;&gt;"", DATEVALUE(MID($C582,4,3) &amp; LEFT($C582,3) &amp; RIGHT($C582,4)), "")</f>
        <v/>
      </c>
      <c r="Q582" s="37" t="str">
        <f t="array" ref="Q582">IF($R582&lt;&gt;"",IFERROR(INDEX(ISIN!$B:$B,MATCH($R582,ISIN!$C:$C,0))),)</f>
        <v/>
      </c>
      <c r="R582" s="38" t="str">
        <f t="array" ref="R582">IF($E582&lt;&gt;"",IFERROR(INDEX(ISIN!$C:$C,MATCH($E582,ISIN!$A:$A,0)),IFERROR(INDEX($R583:$R1200,MATCH($K582,$K583:$K1200,0)))),IF(AND($Y582="change",$H582="EUR"),IF($O582=$O583,$R583,IF($O582=$O581,$R581)),IFERROR(INDEX($R583:$R1200,MATCH(SUBSTITUTE($I582,"-","",1),$K583:$K1200,0)))))</f>
        <v/>
      </c>
      <c r="S582" s="37" t="str">
        <f t="shared" si="1"/>
        <v/>
      </c>
      <c r="T582" s="39" t="str">
        <f t="shared" si="2"/>
        <v/>
      </c>
      <c r="U582" s="40" t="str">
        <f t="shared" si="3"/>
        <v/>
      </c>
      <c r="V582" s="34" t="str">
        <f t="shared" si="4"/>
        <v/>
      </c>
      <c r="W582" s="41" t="str">
        <f>IFERROR(__xludf.DUMMYFUNCTION(" IF(Account!$F582&lt;&gt;"""", SPLIT(Account!$F582, "" ""), """")"),"")</f>
        <v/>
      </c>
      <c r="X582" s="42"/>
      <c r="Y582" s="42"/>
      <c r="Z582" s="42"/>
      <c r="AA582" s="42"/>
      <c r="AB582" s="42"/>
      <c r="AC582" s="42"/>
      <c r="AD582" s="42"/>
      <c r="AE582" s="42"/>
      <c r="AF582" s="42"/>
      <c r="AG582" s="42"/>
      <c r="AH582" s="42"/>
      <c r="AI582" s="42"/>
      <c r="AJ582" s="42"/>
      <c r="AK582" s="42"/>
    </row>
    <row r="583">
      <c r="A583" s="20"/>
      <c r="B583" s="20"/>
      <c r="C583" s="20"/>
      <c r="D583" s="20"/>
      <c r="E583" s="20"/>
      <c r="F583" s="21"/>
      <c r="G583" s="45"/>
      <c r="H583" s="20"/>
      <c r="I583" s="20"/>
      <c r="J583" s="20"/>
      <c r="K583" s="20"/>
      <c r="L583" s="21"/>
      <c r="M583" s="33" t="str">
        <f>IFERROR(__xludf.DUMMYFUNCTION("IFS(W583=""Achat"",IFERROR(VALUE(X583),VALUE(REGEXREPLACE(T(X583),""[^0-9]"",""""))),W583=""Vente"",-IFERROR(VALUE(X583),VALUE(REGEXREPLACE(T(X583),""[^0-9]"",""""))),Y583=""Change"",0,Y583&lt;&gt;""Change"","""")"),"")</f>
        <v/>
      </c>
      <c r="N583" s="34" t="str">
        <f>IFERROR(__xludf.DUMMYFUNCTION("IF(Account!$F583&lt;&gt;"""", VALUE(REGEXREPLACE($I583, ""\,"", ""."")), """")"),"")</f>
        <v/>
      </c>
      <c r="O583" s="35" t="str">
        <f>IF(Account!$F583&lt;&gt;"", DATEVALUE(MID($A583,4,3) &amp; LEFT($A583,3) &amp; RIGHT($A583,4)) + TIMEVALUE($B583), "")</f>
        <v/>
      </c>
      <c r="P583" s="36" t="str">
        <f>IF(Account!$F583&lt;&gt;"", DATEVALUE(MID($C583,4,3) &amp; LEFT($C583,3) &amp; RIGHT($C583,4)), "")</f>
        <v/>
      </c>
      <c r="Q583" s="37" t="str">
        <f t="array" ref="Q583">IF($R583&lt;&gt;"",IFERROR(INDEX(ISIN!$B:$B,MATCH($R583,ISIN!$C:$C,0))),)</f>
        <v/>
      </c>
      <c r="R583" s="38" t="str">
        <f t="array" ref="R583">IF($E583&lt;&gt;"",IFERROR(INDEX(ISIN!$C:$C,MATCH($E583,ISIN!$A:$A,0)),IFERROR(INDEX($R584:$R1200,MATCH($K583,$K584:$K1200,0)))),IF(AND($Y583="change",$H583="EUR"),IF($O583=$O584,$R584,IF($O583=$O582,$R582)),IFERROR(INDEX($R584:$R1200,MATCH(SUBSTITUTE($I583,"-","",1),$K584:$K1200,0)))))</f>
        <v/>
      </c>
      <c r="S583" s="37" t="str">
        <f t="shared" si="1"/>
        <v/>
      </c>
      <c r="T583" s="39" t="str">
        <f t="shared" si="2"/>
        <v/>
      </c>
      <c r="U583" s="40" t="str">
        <f t="shared" si="3"/>
        <v/>
      </c>
      <c r="V583" s="34" t="str">
        <f t="shared" si="4"/>
        <v/>
      </c>
      <c r="W583" s="41" t="str">
        <f>IFERROR(__xludf.DUMMYFUNCTION(" IF(Account!$F583&lt;&gt;"""", SPLIT(Account!$F583, "" ""), """")"),"")</f>
        <v/>
      </c>
      <c r="X583" s="42"/>
      <c r="Y583" s="42"/>
      <c r="Z583" s="42"/>
      <c r="AA583" s="42"/>
      <c r="AB583" s="42"/>
      <c r="AC583" s="42"/>
      <c r="AD583" s="42"/>
      <c r="AE583" s="42"/>
      <c r="AF583" s="42"/>
      <c r="AG583" s="42"/>
      <c r="AH583" s="42"/>
      <c r="AI583" s="42"/>
      <c r="AJ583" s="42"/>
      <c r="AK583" s="42"/>
    </row>
    <row r="584">
      <c r="A584" s="20"/>
      <c r="B584" s="20"/>
      <c r="C584" s="20"/>
      <c r="D584" s="20"/>
      <c r="E584" s="20"/>
      <c r="F584" s="21"/>
      <c r="G584" s="45"/>
      <c r="H584" s="20"/>
      <c r="I584" s="20"/>
      <c r="J584" s="20"/>
      <c r="K584" s="20"/>
      <c r="L584" s="21"/>
      <c r="M584" s="33" t="str">
        <f>IFERROR(__xludf.DUMMYFUNCTION("IFS(W584=""Achat"",IFERROR(VALUE(X584),VALUE(REGEXREPLACE(T(X584),""[^0-9]"",""""))),W584=""Vente"",-IFERROR(VALUE(X584),VALUE(REGEXREPLACE(T(X584),""[^0-9]"",""""))),Y584=""Change"",0,Y584&lt;&gt;""Change"","""")"),"")</f>
        <v/>
      </c>
      <c r="N584" s="34" t="str">
        <f>IFERROR(__xludf.DUMMYFUNCTION("IF(Account!$F584&lt;&gt;"""", VALUE(REGEXREPLACE($I584, ""\,"", ""."")), """")"),"")</f>
        <v/>
      </c>
      <c r="O584" s="35" t="str">
        <f>IF(Account!$F584&lt;&gt;"", DATEVALUE(MID($A584,4,3) &amp; LEFT($A584,3) &amp; RIGHT($A584,4)) + TIMEVALUE($B584), "")</f>
        <v/>
      </c>
      <c r="P584" s="36" t="str">
        <f>IF(Account!$F584&lt;&gt;"", DATEVALUE(MID($C584,4,3) &amp; LEFT($C584,3) &amp; RIGHT($C584,4)), "")</f>
        <v/>
      </c>
      <c r="Q584" s="37" t="str">
        <f t="array" ref="Q584">IF($R584&lt;&gt;"",IFERROR(INDEX(ISIN!$B:$B,MATCH($R584,ISIN!$C:$C,0))),)</f>
        <v/>
      </c>
      <c r="R584" s="38" t="str">
        <f t="array" ref="R584">IF($E584&lt;&gt;"",IFERROR(INDEX(ISIN!$C:$C,MATCH($E584,ISIN!$A:$A,0)),IFERROR(INDEX($R585:$R1200,MATCH($K584,$K585:$K1200,0)))),IF(AND($Y584="change",$H584="EUR"),IF($O584=$O585,$R585,IF($O584=$O583,$R583)),IFERROR(INDEX($R585:$R1200,MATCH(SUBSTITUTE($I584,"-","",1),$K585:$K1200,0)))))</f>
        <v/>
      </c>
      <c r="S584" s="37" t="str">
        <f t="shared" si="1"/>
        <v/>
      </c>
      <c r="T584" s="39" t="str">
        <f t="shared" si="2"/>
        <v/>
      </c>
      <c r="U584" s="40" t="str">
        <f t="shared" si="3"/>
        <v/>
      </c>
      <c r="V584" s="34" t="str">
        <f t="shared" si="4"/>
        <v/>
      </c>
      <c r="W584" s="41" t="str">
        <f>IFERROR(__xludf.DUMMYFUNCTION(" IF(Account!$F584&lt;&gt;"""", SPLIT(Account!$F584, "" ""), """")"),"")</f>
        <v/>
      </c>
      <c r="X584" s="42"/>
      <c r="Y584" s="42"/>
      <c r="Z584" s="42"/>
      <c r="AA584" s="42"/>
      <c r="AB584" s="42"/>
      <c r="AC584" s="42"/>
      <c r="AD584" s="42"/>
      <c r="AE584" s="42"/>
      <c r="AF584" s="42"/>
      <c r="AG584" s="42"/>
      <c r="AH584" s="42"/>
      <c r="AI584" s="42"/>
      <c r="AJ584" s="42"/>
      <c r="AK584" s="42"/>
    </row>
    <row r="585">
      <c r="A585" s="20"/>
      <c r="B585" s="20"/>
      <c r="C585" s="20"/>
      <c r="D585" s="20"/>
      <c r="E585" s="20"/>
      <c r="F585" s="21"/>
      <c r="G585" s="45"/>
      <c r="H585" s="20"/>
      <c r="I585" s="20"/>
      <c r="J585" s="20"/>
      <c r="K585" s="20"/>
      <c r="L585" s="21"/>
      <c r="M585" s="33" t="str">
        <f>IFERROR(__xludf.DUMMYFUNCTION("IFS(W585=""Achat"",IFERROR(VALUE(X585),VALUE(REGEXREPLACE(T(X585),""[^0-9]"",""""))),W585=""Vente"",-IFERROR(VALUE(X585),VALUE(REGEXREPLACE(T(X585),""[^0-9]"",""""))),Y585=""Change"",0,Y585&lt;&gt;""Change"","""")"),"")</f>
        <v/>
      </c>
      <c r="N585" s="34" t="str">
        <f>IFERROR(__xludf.DUMMYFUNCTION("IF(Account!$F585&lt;&gt;"""", VALUE(REGEXREPLACE($I585, ""\,"", ""."")), """")"),"")</f>
        <v/>
      </c>
      <c r="O585" s="35" t="str">
        <f>IF(Account!$F585&lt;&gt;"", DATEVALUE(MID($A585,4,3) &amp; LEFT($A585,3) &amp; RIGHT($A585,4)) + TIMEVALUE($B585), "")</f>
        <v/>
      </c>
      <c r="P585" s="36" t="str">
        <f>IF(Account!$F585&lt;&gt;"", DATEVALUE(MID($C585,4,3) &amp; LEFT($C585,3) &amp; RIGHT($C585,4)), "")</f>
        <v/>
      </c>
      <c r="Q585" s="37" t="str">
        <f t="array" ref="Q585">IF($R585&lt;&gt;"",IFERROR(INDEX(ISIN!$B:$B,MATCH($R585,ISIN!$C:$C,0))),)</f>
        <v/>
      </c>
      <c r="R585" s="38" t="str">
        <f t="array" ref="R585">IF($E585&lt;&gt;"",IFERROR(INDEX(ISIN!$C:$C,MATCH($E585,ISIN!$A:$A,0)),IFERROR(INDEX($R586:$R1200,MATCH($K585,$K586:$K1200,0)))),IF(AND($Y585="change",$H585="EUR"),IF($O585=$O586,$R586,IF($O585=$O584,$R584)),IFERROR(INDEX($R586:$R1200,MATCH(SUBSTITUTE($I585,"-","",1),$K586:$K1200,0)))))</f>
        <v/>
      </c>
      <c r="S585" s="37" t="str">
        <f t="shared" si="1"/>
        <v/>
      </c>
      <c r="T585" s="39" t="str">
        <f t="shared" si="2"/>
        <v/>
      </c>
      <c r="U585" s="40" t="str">
        <f t="shared" si="3"/>
        <v/>
      </c>
      <c r="V585" s="34" t="str">
        <f t="shared" si="4"/>
        <v/>
      </c>
      <c r="W585" s="41" t="str">
        <f>IFERROR(__xludf.DUMMYFUNCTION(" IF(Account!$F585&lt;&gt;"""", SPLIT(Account!$F585, "" ""), """")"),"")</f>
        <v/>
      </c>
      <c r="X585" s="42"/>
      <c r="Y585" s="42"/>
      <c r="Z585" s="42"/>
      <c r="AA585" s="42"/>
      <c r="AB585" s="42"/>
      <c r="AC585" s="42"/>
      <c r="AD585" s="42"/>
      <c r="AE585" s="42"/>
      <c r="AF585" s="42"/>
      <c r="AG585" s="42"/>
      <c r="AH585" s="42"/>
      <c r="AI585" s="42"/>
      <c r="AJ585" s="42"/>
      <c r="AK585" s="42"/>
    </row>
    <row r="586">
      <c r="A586" s="20"/>
      <c r="B586" s="20"/>
      <c r="C586" s="20"/>
      <c r="D586" s="20"/>
      <c r="E586" s="20"/>
      <c r="F586" s="21"/>
      <c r="G586" s="45"/>
      <c r="H586" s="20"/>
      <c r="I586" s="20"/>
      <c r="J586" s="20"/>
      <c r="K586" s="20"/>
      <c r="L586" s="21"/>
      <c r="M586" s="33" t="str">
        <f>IFERROR(__xludf.DUMMYFUNCTION("IFS(W586=""Achat"",IFERROR(VALUE(X586),VALUE(REGEXREPLACE(T(X586),""[^0-9]"",""""))),W586=""Vente"",-IFERROR(VALUE(X586),VALUE(REGEXREPLACE(T(X586),""[^0-9]"",""""))),Y586=""Change"",0,Y586&lt;&gt;""Change"","""")"),"")</f>
        <v/>
      </c>
      <c r="N586" s="34" t="str">
        <f>IFERROR(__xludf.DUMMYFUNCTION("IF(Account!$F586&lt;&gt;"""", VALUE(REGEXREPLACE($I586, ""\,"", ""."")), """")"),"")</f>
        <v/>
      </c>
      <c r="O586" s="35" t="str">
        <f>IF(Account!$F586&lt;&gt;"", DATEVALUE(MID($A586,4,3) &amp; LEFT($A586,3) &amp; RIGHT($A586,4)) + TIMEVALUE($B586), "")</f>
        <v/>
      </c>
      <c r="P586" s="36" t="str">
        <f>IF(Account!$F586&lt;&gt;"", DATEVALUE(MID($C586,4,3) &amp; LEFT($C586,3) &amp; RIGHT($C586,4)), "")</f>
        <v/>
      </c>
      <c r="Q586" s="37" t="str">
        <f t="array" ref="Q586">IF($R586&lt;&gt;"",IFERROR(INDEX(ISIN!$B:$B,MATCH($R586,ISIN!$C:$C,0))),)</f>
        <v/>
      </c>
      <c r="R586" s="38" t="str">
        <f t="array" ref="R586">IF($E586&lt;&gt;"",IFERROR(INDEX(ISIN!$C:$C,MATCH($E586,ISIN!$A:$A,0)),IFERROR(INDEX($R587:$R1200,MATCH($K586,$K587:$K1200,0)))),IF(AND($Y586="change",$H586="EUR"),IF($O586=$O587,$R587,IF($O586=$O585,$R585)),IFERROR(INDEX($R587:$R1200,MATCH(SUBSTITUTE($I586,"-","",1),$K587:$K1200,0)))))</f>
        <v/>
      </c>
      <c r="S586" s="37" t="str">
        <f t="shared" si="1"/>
        <v/>
      </c>
      <c r="T586" s="39" t="str">
        <f t="shared" si="2"/>
        <v/>
      </c>
      <c r="U586" s="40" t="str">
        <f t="shared" si="3"/>
        <v/>
      </c>
      <c r="V586" s="34" t="str">
        <f t="shared" si="4"/>
        <v/>
      </c>
      <c r="W586" s="41" t="str">
        <f>IFERROR(__xludf.DUMMYFUNCTION(" IF(Account!$F586&lt;&gt;"""", SPLIT(Account!$F586, "" ""), """")"),"")</f>
        <v/>
      </c>
      <c r="X586" s="42"/>
      <c r="Y586" s="42"/>
      <c r="Z586" s="42"/>
      <c r="AA586" s="42"/>
      <c r="AB586" s="42"/>
      <c r="AC586" s="42"/>
      <c r="AD586" s="42"/>
      <c r="AE586" s="42"/>
      <c r="AF586" s="42"/>
      <c r="AG586" s="42"/>
      <c r="AH586" s="42"/>
      <c r="AI586" s="42"/>
      <c r="AJ586" s="42"/>
      <c r="AK586" s="42"/>
    </row>
    <row r="587">
      <c r="A587" s="20"/>
      <c r="B587" s="20"/>
      <c r="C587" s="20"/>
      <c r="D587" s="20"/>
      <c r="E587" s="20"/>
      <c r="F587" s="21"/>
      <c r="G587" s="45"/>
      <c r="H587" s="20"/>
      <c r="I587" s="20"/>
      <c r="J587" s="20"/>
      <c r="K587" s="20"/>
      <c r="L587" s="21"/>
      <c r="M587" s="33" t="str">
        <f>IFERROR(__xludf.DUMMYFUNCTION("IFS(W587=""Achat"",IFERROR(VALUE(X587),VALUE(REGEXREPLACE(T(X587),""[^0-9]"",""""))),W587=""Vente"",-IFERROR(VALUE(X587),VALUE(REGEXREPLACE(T(X587),""[^0-9]"",""""))),Y587=""Change"",0,Y587&lt;&gt;""Change"","""")"),"")</f>
        <v/>
      </c>
      <c r="N587" s="34" t="str">
        <f>IFERROR(__xludf.DUMMYFUNCTION("IF(Account!$F587&lt;&gt;"""", VALUE(REGEXREPLACE($I587, ""\,"", ""."")), """")"),"")</f>
        <v/>
      </c>
      <c r="O587" s="35" t="str">
        <f>IF(Account!$F587&lt;&gt;"", DATEVALUE(MID($A587,4,3) &amp; LEFT($A587,3) &amp; RIGHT($A587,4)) + TIMEVALUE($B587), "")</f>
        <v/>
      </c>
      <c r="P587" s="36" t="str">
        <f>IF(Account!$F587&lt;&gt;"", DATEVALUE(MID($C587,4,3) &amp; LEFT($C587,3) &amp; RIGHT($C587,4)), "")</f>
        <v/>
      </c>
      <c r="Q587" s="37" t="str">
        <f t="array" ref="Q587">IF($R587&lt;&gt;"",IFERROR(INDEX(ISIN!$B:$B,MATCH($R587,ISIN!$C:$C,0))),)</f>
        <v/>
      </c>
      <c r="R587" s="38" t="str">
        <f t="array" ref="R587">IF($E587&lt;&gt;"",IFERROR(INDEX(ISIN!$C:$C,MATCH($E587,ISIN!$A:$A,0)),IFERROR(INDEX($R588:$R1200,MATCH($K587,$K588:$K1200,0)))),IF(AND($Y587="change",$H587="EUR"),IF($O587=$O588,$R588,IF($O587=$O586,$R586)),IFERROR(INDEX($R588:$R1200,MATCH(SUBSTITUTE($I587,"-","",1),$K588:$K1200,0)))))</f>
        <v/>
      </c>
      <c r="S587" s="37" t="str">
        <f t="shared" si="1"/>
        <v/>
      </c>
      <c r="T587" s="39" t="str">
        <f t="shared" si="2"/>
        <v/>
      </c>
      <c r="U587" s="40" t="str">
        <f t="shared" si="3"/>
        <v/>
      </c>
      <c r="V587" s="34" t="str">
        <f t="shared" si="4"/>
        <v/>
      </c>
      <c r="W587" s="41" t="str">
        <f>IFERROR(__xludf.DUMMYFUNCTION(" IF(Account!$F587&lt;&gt;"""", SPLIT(Account!$F587, "" ""), """")"),"")</f>
        <v/>
      </c>
      <c r="X587" s="42"/>
      <c r="Y587" s="42"/>
      <c r="Z587" s="42"/>
      <c r="AA587" s="42"/>
      <c r="AB587" s="42"/>
      <c r="AC587" s="42"/>
      <c r="AD587" s="42"/>
      <c r="AE587" s="42"/>
      <c r="AF587" s="42"/>
      <c r="AG587" s="42"/>
      <c r="AH587" s="42"/>
      <c r="AI587" s="42"/>
      <c r="AJ587" s="42"/>
      <c r="AK587" s="42"/>
    </row>
    <row r="588">
      <c r="A588" s="20"/>
      <c r="B588" s="20"/>
      <c r="C588" s="20"/>
      <c r="D588" s="20"/>
      <c r="E588" s="20"/>
      <c r="F588" s="21"/>
      <c r="G588" s="45"/>
      <c r="H588" s="20"/>
      <c r="I588" s="20"/>
      <c r="J588" s="20"/>
      <c r="K588" s="20"/>
      <c r="L588" s="21"/>
      <c r="M588" s="33" t="str">
        <f>IFERROR(__xludf.DUMMYFUNCTION("IFS(W588=""Achat"",IFERROR(VALUE(X588),VALUE(REGEXREPLACE(T(X588),""[^0-9]"",""""))),W588=""Vente"",-IFERROR(VALUE(X588),VALUE(REGEXREPLACE(T(X588),""[^0-9]"",""""))),Y588=""Change"",0,Y588&lt;&gt;""Change"","""")"),"")</f>
        <v/>
      </c>
      <c r="N588" s="34" t="str">
        <f>IFERROR(__xludf.DUMMYFUNCTION("IF(Account!$F588&lt;&gt;"""", VALUE(REGEXREPLACE($I588, ""\,"", ""."")), """")"),"")</f>
        <v/>
      </c>
      <c r="O588" s="35" t="str">
        <f>IF(Account!$F588&lt;&gt;"", DATEVALUE(MID($A588,4,3) &amp; LEFT($A588,3) &amp; RIGHT($A588,4)) + TIMEVALUE($B588), "")</f>
        <v/>
      </c>
      <c r="P588" s="36" t="str">
        <f>IF(Account!$F588&lt;&gt;"", DATEVALUE(MID($C588,4,3) &amp; LEFT($C588,3) &amp; RIGHT($C588,4)), "")</f>
        <v/>
      </c>
      <c r="Q588" s="37" t="str">
        <f t="array" ref="Q588">IF($R588&lt;&gt;"",IFERROR(INDEX(ISIN!$B:$B,MATCH($R588,ISIN!$C:$C,0))),)</f>
        <v/>
      </c>
      <c r="R588" s="38" t="str">
        <f t="array" ref="R588">IF($E588&lt;&gt;"",IFERROR(INDEX(ISIN!$C:$C,MATCH($E588,ISIN!$A:$A,0)),IFERROR(INDEX($R589:$R1200,MATCH($K588,$K589:$K1200,0)))),IF(AND($Y588="change",$H588="EUR"),IF($O588=$O589,$R589,IF($O588=$O587,$R587)),IFERROR(INDEX($R589:$R1200,MATCH(SUBSTITUTE($I588,"-","",1),$K589:$K1200,0)))))</f>
        <v/>
      </c>
      <c r="S588" s="37" t="str">
        <f t="shared" si="1"/>
        <v/>
      </c>
      <c r="T588" s="39" t="str">
        <f t="shared" si="2"/>
        <v/>
      </c>
      <c r="U588" s="40" t="str">
        <f t="shared" si="3"/>
        <v/>
      </c>
      <c r="V588" s="34" t="str">
        <f t="shared" si="4"/>
        <v/>
      </c>
      <c r="W588" s="41" t="str">
        <f>IFERROR(__xludf.DUMMYFUNCTION(" IF(Account!$F588&lt;&gt;"""", SPLIT(Account!$F588, "" ""), """")"),"")</f>
        <v/>
      </c>
      <c r="X588" s="42"/>
      <c r="Y588" s="42"/>
      <c r="Z588" s="42"/>
      <c r="AA588" s="42"/>
      <c r="AB588" s="42"/>
      <c r="AC588" s="42"/>
      <c r="AD588" s="42"/>
      <c r="AE588" s="42"/>
      <c r="AF588" s="42"/>
      <c r="AG588" s="42"/>
      <c r="AH588" s="42"/>
      <c r="AI588" s="42"/>
      <c r="AJ588" s="42"/>
      <c r="AK588" s="42"/>
    </row>
    <row r="589">
      <c r="A589" s="20"/>
      <c r="B589" s="20"/>
      <c r="C589" s="20"/>
      <c r="D589" s="20"/>
      <c r="E589" s="20"/>
      <c r="F589" s="21"/>
      <c r="G589" s="45"/>
      <c r="H589" s="20"/>
      <c r="I589" s="20"/>
      <c r="J589" s="20"/>
      <c r="K589" s="20"/>
      <c r="L589" s="21"/>
      <c r="M589" s="33" t="str">
        <f>IFERROR(__xludf.DUMMYFUNCTION("IFS(W589=""Achat"",IFERROR(VALUE(X589),VALUE(REGEXREPLACE(T(X589),""[^0-9]"",""""))),W589=""Vente"",-IFERROR(VALUE(X589),VALUE(REGEXREPLACE(T(X589),""[^0-9]"",""""))),Y589=""Change"",0,Y589&lt;&gt;""Change"","""")"),"")</f>
        <v/>
      </c>
      <c r="N589" s="34" t="str">
        <f>IFERROR(__xludf.DUMMYFUNCTION("IF(Account!$F589&lt;&gt;"""", VALUE(REGEXREPLACE($I589, ""\,"", ""."")), """")"),"")</f>
        <v/>
      </c>
      <c r="O589" s="35" t="str">
        <f>IF(Account!$F589&lt;&gt;"", DATEVALUE(MID($A589,4,3) &amp; LEFT($A589,3) &amp; RIGHT($A589,4)) + TIMEVALUE($B589), "")</f>
        <v/>
      </c>
      <c r="P589" s="36" t="str">
        <f>IF(Account!$F589&lt;&gt;"", DATEVALUE(MID($C589,4,3) &amp; LEFT($C589,3) &amp; RIGHT($C589,4)), "")</f>
        <v/>
      </c>
      <c r="Q589" s="37" t="str">
        <f t="array" ref="Q589">IF($R589&lt;&gt;"",IFERROR(INDEX(ISIN!$B:$B,MATCH($R589,ISIN!$C:$C,0))),)</f>
        <v/>
      </c>
      <c r="R589" s="38" t="str">
        <f t="array" ref="R589">IF($E589&lt;&gt;"",IFERROR(INDEX(ISIN!$C:$C,MATCH($E589,ISIN!$A:$A,0)),IFERROR(INDEX($R590:$R1200,MATCH($K589,$K590:$K1200,0)))),IF(AND($Y589="change",$H589="EUR"),IF($O589=$O590,$R590,IF($O589=$O588,$R588)),IFERROR(INDEX($R590:$R1200,MATCH(SUBSTITUTE($I589,"-","",1),$K590:$K1200,0)))))</f>
        <v/>
      </c>
      <c r="S589" s="37" t="str">
        <f t="shared" si="1"/>
        <v/>
      </c>
      <c r="T589" s="39" t="str">
        <f t="shared" si="2"/>
        <v/>
      </c>
      <c r="U589" s="40" t="str">
        <f t="shared" si="3"/>
        <v/>
      </c>
      <c r="V589" s="34" t="str">
        <f t="shared" si="4"/>
        <v/>
      </c>
      <c r="W589" s="41" t="str">
        <f>IFERROR(__xludf.DUMMYFUNCTION(" IF(Account!$F589&lt;&gt;"""", SPLIT(Account!$F589, "" ""), """")"),"")</f>
        <v/>
      </c>
      <c r="X589" s="42"/>
      <c r="Y589" s="42"/>
      <c r="Z589" s="42"/>
      <c r="AA589" s="42"/>
      <c r="AB589" s="42"/>
      <c r="AC589" s="42"/>
      <c r="AD589" s="42"/>
      <c r="AE589" s="42"/>
      <c r="AF589" s="42"/>
      <c r="AG589" s="42"/>
      <c r="AH589" s="42"/>
      <c r="AI589" s="42"/>
      <c r="AJ589" s="42"/>
      <c r="AK589" s="42"/>
    </row>
    <row r="590">
      <c r="A590" s="20"/>
      <c r="B590" s="20"/>
      <c r="C590" s="20"/>
      <c r="D590" s="20"/>
      <c r="E590" s="20"/>
      <c r="F590" s="21"/>
      <c r="G590" s="45"/>
      <c r="H590" s="20"/>
      <c r="I590" s="20"/>
      <c r="J590" s="20"/>
      <c r="K590" s="20"/>
      <c r="L590" s="21"/>
      <c r="M590" s="33" t="str">
        <f>IFERROR(__xludf.DUMMYFUNCTION("IFS(W590=""Achat"",IFERROR(VALUE(X590),VALUE(REGEXREPLACE(T(X590),""[^0-9]"",""""))),W590=""Vente"",-IFERROR(VALUE(X590),VALUE(REGEXREPLACE(T(X590),""[^0-9]"",""""))),Y590=""Change"",0,Y590&lt;&gt;""Change"","""")"),"")</f>
        <v/>
      </c>
      <c r="N590" s="34" t="str">
        <f>IFERROR(__xludf.DUMMYFUNCTION("IF(Account!$F590&lt;&gt;"""", VALUE(REGEXREPLACE($I590, ""\,"", ""."")), """")"),"")</f>
        <v/>
      </c>
      <c r="O590" s="35" t="str">
        <f>IF(Account!$F590&lt;&gt;"", DATEVALUE(MID($A590,4,3) &amp; LEFT($A590,3) &amp; RIGHT($A590,4)) + TIMEVALUE($B590), "")</f>
        <v/>
      </c>
      <c r="P590" s="36" t="str">
        <f>IF(Account!$F590&lt;&gt;"", DATEVALUE(MID($C590,4,3) &amp; LEFT($C590,3) &amp; RIGHT($C590,4)), "")</f>
        <v/>
      </c>
      <c r="Q590" s="37" t="str">
        <f t="array" ref="Q590">IF($R590&lt;&gt;"",IFERROR(INDEX(ISIN!$B:$B,MATCH($R590,ISIN!$C:$C,0))),)</f>
        <v/>
      </c>
      <c r="R590" s="38" t="str">
        <f t="array" ref="R590">IF($E590&lt;&gt;"",IFERROR(INDEX(ISIN!$C:$C,MATCH($E590,ISIN!$A:$A,0)),IFERROR(INDEX($R591:$R1200,MATCH($K590,$K591:$K1200,0)))),IF(AND($Y590="change",$H590="EUR"),IF($O590=$O591,$R591,IF($O590=$O589,$R589)),IFERROR(INDEX($R591:$R1200,MATCH(SUBSTITUTE($I590,"-","",1),$K591:$K1200,0)))))</f>
        <v/>
      </c>
      <c r="S590" s="37" t="str">
        <f t="shared" si="1"/>
        <v/>
      </c>
      <c r="T590" s="39" t="str">
        <f t="shared" si="2"/>
        <v/>
      </c>
      <c r="U590" s="40" t="str">
        <f t="shared" si="3"/>
        <v/>
      </c>
      <c r="V590" s="34" t="str">
        <f t="shared" si="4"/>
        <v/>
      </c>
      <c r="W590" s="41" t="str">
        <f>IFERROR(__xludf.DUMMYFUNCTION(" IF(Account!$F590&lt;&gt;"""", SPLIT(Account!$F590, "" ""), """")"),"")</f>
        <v/>
      </c>
      <c r="X590" s="42"/>
      <c r="Y590" s="42"/>
      <c r="Z590" s="42"/>
      <c r="AA590" s="42"/>
      <c r="AB590" s="42"/>
      <c r="AC590" s="42"/>
      <c r="AD590" s="42"/>
      <c r="AE590" s="42"/>
      <c r="AF590" s="42"/>
      <c r="AG590" s="42"/>
      <c r="AH590" s="42"/>
      <c r="AI590" s="42"/>
      <c r="AJ590" s="42"/>
      <c r="AK590" s="42"/>
    </row>
    <row r="591">
      <c r="A591" s="20"/>
      <c r="B591" s="20"/>
      <c r="C591" s="20"/>
      <c r="D591" s="20"/>
      <c r="E591" s="20"/>
      <c r="F591" s="21"/>
      <c r="G591" s="45"/>
      <c r="H591" s="20"/>
      <c r="I591" s="20"/>
      <c r="J591" s="20"/>
      <c r="K591" s="20"/>
      <c r="L591" s="21"/>
      <c r="M591" s="33" t="str">
        <f>IFERROR(__xludf.DUMMYFUNCTION("IFS(W591=""Achat"",IFERROR(VALUE(X591),VALUE(REGEXREPLACE(T(X591),""[^0-9]"",""""))),W591=""Vente"",-IFERROR(VALUE(X591),VALUE(REGEXREPLACE(T(X591),""[^0-9]"",""""))),Y591=""Change"",0,Y591&lt;&gt;""Change"","""")"),"")</f>
        <v/>
      </c>
      <c r="N591" s="34" t="str">
        <f>IFERROR(__xludf.DUMMYFUNCTION("IF(Account!$F591&lt;&gt;"""", VALUE(REGEXREPLACE($I591, ""\,"", ""."")), """")"),"")</f>
        <v/>
      </c>
      <c r="O591" s="35" t="str">
        <f>IF(Account!$F591&lt;&gt;"", DATEVALUE(MID($A591,4,3) &amp; LEFT($A591,3) &amp; RIGHT($A591,4)) + TIMEVALUE($B591), "")</f>
        <v/>
      </c>
      <c r="P591" s="36" t="str">
        <f>IF(Account!$F591&lt;&gt;"", DATEVALUE(MID($C591,4,3) &amp; LEFT($C591,3) &amp; RIGHT($C591,4)), "")</f>
        <v/>
      </c>
      <c r="Q591" s="37" t="str">
        <f t="array" ref="Q591">IF($R591&lt;&gt;"",IFERROR(INDEX(ISIN!$B:$B,MATCH($R591,ISIN!$C:$C,0))),)</f>
        <v/>
      </c>
      <c r="R591" s="38" t="str">
        <f t="array" ref="R591">IF($E591&lt;&gt;"",IFERROR(INDEX(ISIN!$C:$C,MATCH($E591,ISIN!$A:$A,0)),IFERROR(INDEX($R592:$R1200,MATCH($K591,$K592:$K1200,0)))),IF(AND($Y591="change",$H591="EUR"),IF($O591=$O592,$R592,IF($O591=$O590,$R590)),IFERROR(INDEX($R592:$R1200,MATCH(SUBSTITUTE($I591,"-","",1),$K592:$K1200,0)))))</f>
        <v/>
      </c>
      <c r="S591" s="37" t="str">
        <f t="shared" si="1"/>
        <v/>
      </c>
      <c r="T591" s="39" t="str">
        <f t="shared" si="2"/>
        <v/>
      </c>
      <c r="U591" s="40" t="str">
        <f t="shared" si="3"/>
        <v/>
      </c>
      <c r="V591" s="34" t="str">
        <f t="shared" si="4"/>
        <v/>
      </c>
      <c r="W591" s="41" t="str">
        <f>IFERROR(__xludf.DUMMYFUNCTION(" IF(Account!$F591&lt;&gt;"""", SPLIT(Account!$F591, "" ""), """")"),"")</f>
        <v/>
      </c>
      <c r="X591" s="42"/>
      <c r="Y591" s="42"/>
      <c r="Z591" s="42"/>
      <c r="AA591" s="42"/>
      <c r="AB591" s="42"/>
      <c r="AC591" s="42"/>
      <c r="AD591" s="42"/>
      <c r="AE591" s="42"/>
      <c r="AF591" s="42"/>
      <c r="AG591" s="42"/>
      <c r="AH591" s="42"/>
      <c r="AI591" s="42"/>
      <c r="AJ591" s="42"/>
      <c r="AK591" s="42"/>
    </row>
    <row r="592">
      <c r="A592" s="20"/>
      <c r="B592" s="20"/>
      <c r="C592" s="20"/>
      <c r="D592" s="20"/>
      <c r="E592" s="20"/>
      <c r="F592" s="21"/>
      <c r="G592" s="45"/>
      <c r="H592" s="20"/>
      <c r="I592" s="20"/>
      <c r="J592" s="20"/>
      <c r="K592" s="20"/>
      <c r="L592" s="21"/>
      <c r="M592" s="33" t="str">
        <f>IFERROR(__xludf.DUMMYFUNCTION("IFS(W592=""Achat"",IFERROR(VALUE(X592),VALUE(REGEXREPLACE(T(X592),""[^0-9]"",""""))),W592=""Vente"",-IFERROR(VALUE(X592),VALUE(REGEXREPLACE(T(X592),""[^0-9]"",""""))),Y592=""Change"",0,Y592&lt;&gt;""Change"","""")"),"")</f>
        <v/>
      </c>
      <c r="N592" s="34" t="str">
        <f>IFERROR(__xludf.DUMMYFUNCTION("IF(Account!$F592&lt;&gt;"""", VALUE(REGEXREPLACE($I592, ""\,"", ""."")), """")"),"")</f>
        <v/>
      </c>
      <c r="O592" s="35" t="str">
        <f>IF(Account!$F592&lt;&gt;"", DATEVALUE(MID($A592,4,3) &amp; LEFT($A592,3) &amp; RIGHT($A592,4)) + TIMEVALUE($B592), "")</f>
        <v/>
      </c>
      <c r="P592" s="36" t="str">
        <f>IF(Account!$F592&lt;&gt;"", DATEVALUE(MID($C592,4,3) &amp; LEFT($C592,3) &amp; RIGHT($C592,4)), "")</f>
        <v/>
      </c>
      <c r="Q592" s="37" t="str">
        <f t="array" ref="Q592">IF($R592&lt;&gt;"",IFERROR(INDEX(ISIN!$B:$B,MATCH($R592,ISIN!$C:$C,0))),)</f>
        <v/>
      </c>
      <c r="R592" s="38" t="str">
        <f t="array" ref="R592">IF($E592&lt;&gt;"",IFERROR(INDEX(ISIN!$C:$C,MATCH($E592,ISIN!$A:$A,0)),IFERROR(INDEX($R593:$R1200,MATCH($K592,$K593:$K1200,0)))),IF(AND($Y592="change",$H592="EUR"),IF($O592=$O593,$R593,IF($O592=$O591,$R591)),IFERROR(INDEX($R593:$R1200,MATCH(SUBSTITUTE($I592,"-","",1),$K593:$K1200,0)))))</f>
        <v/>
      </c>
      <c r="S592" s="37" t="str">
        <f t="shared" si="1"/>
        <v/>
      </c>
      <c r="T592" s="39" t="str">
        <f t="shared" si="2"/>
        <v/>
      </c>
      <c r="U592" s="40" t="str">
        <f t="shared" si="3"/>
        <v/>
      </c>
      <c r="V592" s="34" t="str">
        <f t="shared" si="4"/>
        <v/>
      </c>
      <c r="W592" s="41" t="str">
        <f>IFERROR(__xludf.DUMMYFUNCTION(" IF(Account!$F592&lt;&gt;"""", SPLIT(Account!$F592, "" ""), """")"),"")</f>
        <v/>
      </c>
      <c r="X592" s="42"/>
      <c r="Y592" s="42"/>
      <c r="Z592" s="42"/>
      <c r="AA592" s="42"/>
      <c r="AB592" s="42"/>
      <c r="AC592" s="42"/>
      <c r="AD592" s="42"/>
      <c r="AE592" s="42"/>
      <c r="AF592" s="42"/>
      <c r="AG592" s="42"/>
      <c r="AH592" s="42"/>
      <c r="AI592" s="42"/>
      <c r="AJ592" s="42"/>
      <c r="AK592" s="42"/>
    </row>
    <row r="593">
      <c r="A593" s="20"/>
      <c r="B593" s="20"/>
      <c r="C593" s="20"/>
      <c r="D593" s="20"/>
      <c r="E593" s="20"/>
      <c r="F593" s="21"/>
      <c r="G593" s="45"/>
      <c r="H593" s="20"/>
      <c r="I593" s="20"/>
      <c r="J593" s="20"/>
      <c r="K593" s="20"/>
      <c r="L593" s="21"/>
      <c r="M593" s="33" t="str">
        <f>IFERROR(__xludf.DUMMYFUNCTION("IFS(W593=""Achat"",IFERROR(VALUE(X593),VALUE(REGEXREPLACE(T(X593),""[^0-9]"",""""))),W593=""Vente"",-IFERROR(VALUE(X593),VALUE(REGEXREPLACE(T(X593),""[^0-9]"",""""))),Y593=""Change"",0,Y593&lt;&gt;""Change"","""")"),"")</f>
        <v/>
      </c>
      <c r="N593" s="34" t="str">
        <f>IFERROR(__xludf.DUMMYFUNCTION("IF(Account!$F593&lt;&gt;"""", VALUE(REGEXREPLACE($I593, ""\,"", ""."")), """")"),"")</f>
        <v/>
      </c>
      <c r="O593" s="35" t="str">
        <f>IF(Account!$F593&lt;&gt;"", DATEVALUE(MID($A593,4,3) &amp; LEFT($A593,3) &amp; RIGHT($A593,4)) + TIMEVALUE($B593), "")</f>
        <v/>
      </c>
      <c r="P593" s="36" t="str">
        <f>IF(Account!$F593&lt;&gt;"", DATEVALUE(MID($C593,4,3) &amp; LEFT($C593,3) &amp; RIGHT($C593,4)), "")</f>
        <v/>
      </c>
      <c r="Q593" s="37" t="str">
        <f t="array" ref="Q593">IF($R593&lt;&gt;"",IFERROR(INDEX(ISIN!$B:$B,MATCH($R593,ISIN!$C:$C,0))),)</f>
        <v/>
      </c>
      <c r="R593" s="38" t="str">
        <f t="array" ref="R593">IF($E593&lt;&gt;"",IFERROR(INDEX(ISIN!$C:$C,MATCH($E593,ISIN!$A:$A,0)),IFERROR(INDEX($R594:$R1200,MATCH($K593,$K594:$K1200,0)))),IF(AND($Y593="change",$H593="EUR"),IF($O593=$O594,$R594,IF($O593=$O592,$R592)),IFERROR(INDEX($R594:$R1200,MATCH(SUBSTITUTE($I593,"-","",1),$K594:$K1200,0)))))</f>
        <v/>
      </c>
      <c r="S593" s="37" t="str">
        <f t="shared" si="1"/>
        <v/>
      </c>
      <c r="T593" s="39" t="str">
        <f t="shared" si="2"/>
        <v/>
      </c>
      <c r="U593" s="40" t="str">
        <f t="shared" si="3"/>
        <v/>
      </c>
      <c r="V593" s="34" t="str">
        <f t="shared" si="4"/>
        <v/>
      </c>
      <c r="W593" s="41" t="str">
        <f>IFERROR(__xludf.DUMMYFUNCTION(" IF(Account!$F593&lt;&gt;"""", SPLIT(Account!$F593, "" ""), """")"),"")</f>
        <v/>
      </c>
      <c r="X593" s="42"/>
      <c r="Y593" s="42"/>
      <c r="Z593" s="42"/>
      <c r="AA593" s="42"/>
      <c r="AB593" s="42"/>
      <c r="AC593" s="42"/>
      <c r="AD593" s="42"/>
      <c r="AE593" s="42"/>
      <c r="AF593" s="42"/>
      <c r="AG593" s="42"/>
      <c r="AH593" s="42"/>
      <c r="AI593" s="42"/>
      <c r="AJ593" s="42"/>
      <c r="AK593" s="42"/>
    </row>
    <row r="594">
      <c r="A594" s="20"/>
      <c r="B594" s="20"/>
      <c r="C594" s="20"/>
      <c r="D594" s="45"/>
      <c r="E594" s="45"/>
      <c r="F594" s="21"/>
      <c r="G594" s="45"/>
      <c r="H594" s="20"/>
      <c r="I594" s="20"/>
      <c r="J594" s="20"/>
      <c r="K594" s="20"/>
      <c r="L594" s="46"/>
      <c r="M594" s="33" t="str">
        <f>IFERROR(__xludf.DUMMYFUNCTION("IFS(W594=""Achat"",IFERROR(VALUE(X594),VALUE(REGEXREPLACE(T(X594),""[^0-9]"",""""))),W594=""Vente"",-IFERROR(VALUE(X594),VALUE(REGEXREPLACE(T(X594),""[^0-9]"",""""))),Y594=""Change"",0,Y594&lt;&gt;""Change"","""")"),"")</f>
        <v/>
      </c>
      <c r="N594" s="34" t="str">
        <f>IFERROR(__xludf.DUMMYFUNCTION("IF(Account!$F594&lt;&gt;"""", VALUE(REGEXREPLACE($I594, ""\,"", ""."")), """")"),"")</f>
        <v/>
      </c>
      <c r="O594" s="35" t="str">
        <f>IF(Account!$F594&lt;&gt;"", DATEVALUE(MID($A594,4,3) &amp; LEFT($A594,3) &amp; RIGHT($A594,4)) + TIMEVALUE($B594), "")</f>
        <v/>
      </c>
      <c r="P594" s="36" t="str">
        <f>IF(Account!$F594&lt;&gt;"", DATEVALUE(MID($C594,4,3) &amp; LEFT($C594,3) &amp; RIGHT($C594,4)), "")</f>
        <v/>
      </c>
      <c r="Q594" s="37" t="str">
        <f t="array" ref="Q594">IF($R594&lt;&gt;"",IFERROR(INDEX(ISIN!$B:$B,MATCH($R594,ISIN!$C:$C,0))),)</f>
        <v/>
      </c>
      <c r="R594" s="38" t="str">
        <f t="array" ref="R594">IF($E594&lt;&gt;"",IFERROR(INDEX(ISIN!$C:$C,MATCH($E594,ISIN!$A:$A,0)),IFERROR(INDEX($R595:$R1200,MATCH($K594,$K595:$K1200,0)))),IF(AND($Y594="change",$H594="EUR"),IF($O594=$O595,$R595,IF($O594=$O593,$R593)),IFERROR(INDEX($R595:$R1200,MATCH(SUBSTITUTE($I594,"-","",1),$K595:$K1200,0)))))</f>
        <v/>
      </c>
      <c r="S594" s="37" t="str">
        <f t="shared" si="1"/>
        <v/>
      </c>
      <c r="T594" s="39" t="str">
        <f t="shared" si="2"/>
        <v/>
      </c>
      <c r="U594" s="40" t="str">
        <f t="shared" si="3"/>
        <v/>
      </c>
      <c r="V594" s="34" t="str">
        <f t="shared" si="4"/>
        <v/>
      </c>
      <c r="W594" s="41" t="str">
        <f>IFERROR(__xludf.DUMMYFUNCTION(" IF(Account!$F594&lt;&gt;"""", SPLIT(Account!$F594, "" ""), """")"),"")</f>
        <v/>
      </c>
      <c r="X594" s="42"/>
      <c r="Y594" s="42"/>
      <c r="Z594" s="42"/>
      <c r="AA594" s="42"/>
      <c r="AB594" s="42"/>
      <c r="AC594" s="42"/>
      <c r="AD594" s="42"/>
      <c r="AE594" s="42"/>
      <c r="AF594" s="42"/>
      <c r="AG594" s="42"/>
      <c r="AH594" s="42"/>
      <c r="AI594" s="42"/>
      <c r="AJ594" s="42"/>
      <c r="AK594" s="42"/>
    </row>
    <row r="595">
      <c r="A595" s="20"/>
      <c r="B595" s="20"/>
      <c r="C595" s="20"/>
      <c r="D595" s="45"/>
      <c r="E595" s="45"/>
      <c r="F595" s="21"/>
      <c r="G595" s="45"/>
      <c r="H595" s="20"/>
      <c r="I595" s="20"/>
      <c r="J595" s="20"/>
      <c r="K595" s="20"/>
      <c r="L595" s="46"/>
      <c r="M595" s="33" t="str">
        <f>IFERROR(__xludf.DUMMYFUNCTION("IFS(W595=""Achat"",IFERROR(VALUE(X595),VALUE(REGEXREPLACE(T(X595),""[^0-9]"",""""))),W595=""Vente"",-IFERROR(VALUE(X595),VALUE(REGEXREPLACE(T(X595),""[^0-9]"",""""))),Y595=""Change"",0,Y595&lt;&gt;""Change"","""")"),"")</f>
        <v/>
      </c>
      <c r="N595" s="34" t="str">
        <f>IFERROR(__xludf.DUMMYFUNCTION("IF(Account!$F595&lt;&gt;"""", VALUE(REGEXREPLACE($I595, ""\,"", ""."")), """")"),"")</f>
        <v/>
      </c>
      <c r="O595" s="35" t="str">
        <f>IF(Account!$F595&lt;&gt;"", DATEVALUE(MID($A595,4,3) &amp; LEFT($A595,3) &amp; RIGHT($A595,4)) + TIMEVALUE($B595), "")</f>
        <v/>
      </c>
      <c r="P595" s="36" t="str">
        <f>IF(Account!$F595&lt;&gt;"", DATEVALUE(MID($C595,4,3) &amp; LEFT($C595,3) &amp; RIGHT($C595,4)), "")</f>
        <v/>
      </c>
      <c r="Q595" s="37" t="str">
        <f t="array" ref="Q595">IF($R595&lt;&gt;"",IFERROR(INDEX(ISIN!$B:$B,MATCH($R595,ISIN!$C:$C,0))),)</f>
        <v/>
      </c>
      <c r="R595" s="38" t="str">
        <f t="array" ref="R595">IF($E595&lt;&gt;"",IFERROR(INDEX(ISIN!$C:$C,MATCH($E595,ISIN!$A:$A,0)),IFERROR(INDEX($R596:$R1200,MATCH($K595,$K596:$K1200,0)))),IF(AND($Y595="change",$H595="EUR"),IF($O595=$O596,$R596,IF($O595=$O594,$R594)),IFERROR(INDEX($R596:$R1200,MATCH(SUBSTITUTE($I595,"-","",1),$K596:$K1200,0)))))</f>
        <v/>
      </c>
      <c r="S595" s="37" t="str">
        <f t="shared" si="1"/>
        <v/>
      </c>
      <c r="T595" s="39" t="str">
        <f t="shared" si="2"/>
        <v/>
      </c>
      <c r="U595" s="40" t="str">
        <f t="shared" si="3"/>
        <v/>
      </c>
      <c r="V595" s="34" t="str">
        <f t="shared" si="4"/>
        <v/>
      </c>
      <c r="W595" s="41" t="str">
        <f>IFERROR(__xludf.DUMMYFUNCTION(" IF(Account!$F595&lt;&gt;"""", SPLIT(Account!$F595, "" ""), """")"),"")</f>
        <v/>
      </c>
      <c r="X595" s="42"/>
      <c r="Y595" s="42"/>
      <c r="Z595" s="42"/>
      <c r="AA595" s="42"/>
      <c r="AB595" s="42"/>
      <c r="AC595" s="42"/>
      <c r="AD595" s="42"/>
      <c r="AE595" s="42"/>
      <c r="AF595" s="42"/>
      <c r="AG595" s="42"/>
      <c r="AH595" s="42"/>
      <c r="AI595" s="42"/>
      <c r="AJ595" s="42"/>
      <c r="AK595" s="42"/>
    </row>
    <row r="596">
      <c r="A596" s="20"/>
      <c r="B596" s="20"/>
      <c r="C596" s="20"/>
      <c r="D596" s="45"/>
      <c r="E596" s="45"/>
      <c r="F596" s="21"/>
      <c r="G596" s="45"/>
      <c r="H596" s="20"/>
      <c r="I596" s="20"/>
      <c r="J596" s="20"/>
      <c r="K596" s="20"/>
      <c r="L596" s="46"/>
      <c r="M596" s="33" t="str">
        <f>IFERROR(__xludf.DUMMYFUNCTION("IFS(W596=""Achat"",IFERROR(VALUE(X596),VALUE(REGEXREPLACE(T(X596),""[^0-9]"",""""))),W596=""Vente"",-IFERROR(VALUE(X596),VALUE(REGEXREPLACE(T(X596),""[^0-9]"",""""))),Y596=""Change"",0,Y596&lt;&gt;""Change"","""")"),"")</f>
        <v/>
      </c>
      <c r="N596" s="34" t="str">
        <f>IFERROR(__xludf.DUMMYFUNCTION("IF(Account!$F596&lt;&gt;"""", VALUE(REGEXREPLACE($I596, ""\,"", ""."")), """")"),"")</f>
        <v/>
      </c>
      <c r="O596" s="35" t="str">
        <f>IF(Account!$F596&lt;&gt;"", DATEVALUE(MID($A596,4,3) &amp; LEFT($A596,3) &amp; RIGHT($A596,4)) + TIMEVALUE($B596), "")</f>
        <v/>
      </c>
      <c r="P596" s="36" t="str">
        <f>IF(Account!$F596&lt;&gt;"", DATEVALUE(MID($C596,4,3) &amp; LEFT($C596,3) &amp; RIGHT($C596,4)), "")</f>
        <v/>
      </c>
      <c r="Q596" s="37" t="str">
        <f t="array" ref="Q596">IF($R596&lt;&gt;"",IFERROR(INDEX(ISIN!$B:$B,MATCH($R596,ISIN!$C:$C,0))),)</f>
        <v/>
      </c>
      <c r="R596" s="38" t="str">
        <f t="array" ref="R596">IF($E596&lt;&gt;"",IFERROR(INDEX(ISIN!$C:$C,MATCH($E596,ISIN!$A:$A,0)),IFERROR(INDEX($R597:$R1200,MATCH($K596,$K597:$K1200,0)))),IF(AND($Y596="change",$H596="EUR"),IF($O596=$O597,$R597,IF($O596=$O595,$R595)),IFERROR(INDEX($R597:$R1200,MATCH(SUBSTITUTE($I596,"-","",1),$K597:$K1200,0)))))</f>
        <v/>
      </c>
      <c r="S596" s="37" t="str">
        <f t="shared" si="1"/>
        <v/>
      </c>
      <c r="T596" s="39" t="str">
        <f t="shared" si="2"/>
        <v/>
      </c>
      <c r="U596" s="40" t="str">
        <f t="shared" si="3"/>
        <v/>
      </c>
      <c r="V596" s="34" t="str">
        <f t="shared" si="4"/>
        <v/>
      </c>
      <c r="W596" s="41" t="str">
        <f>IFERROR(__xludf.DUMMYFUNCTION(" IF(Account!$F596&lt;&gt;"""", SPLIT(Account!$F596, "" ""), """")"),"")</f>
        <v/>
      </c>
      <c r="X596" s="42"/>
      <c r="Y596" s="42"/>
      <c r="Z596" s="42"/>
      <c r="AA596" s="42"/>
      <c r="AB596" s="42"/>
      <c r="AC596" s="42"/>
      <c r="AD596" s="42"/>
      <c r="AE596" s="42"/>
      <c r="AF596" s="42"/>
      <c r="AG596" s="42"/>
      <c r="AH596" s="42"/>
      <c r="AI596" s="42"/>
      <c r="AJ596" s="42"/>
      <c r="AK596" s="42"/>
    </row>
    <row r="597">
      <c r="A597" s="20"/>
      <c r="B597" s="20"/>
      <c r="C597" s="20"/>
      <c r="D597" s="20"/>
      <c r="E597" s="20"/>
      <c r="F597" s="21"/>
      <c r="G597" s="45"/>
      <c r="H597" s="20"/>
      <c r="I597" s="20"/>
      <c r="J597" s="20"/>
      <c r="K597" s="20"/>
      <c r="L597" s="21"/>
      <c r="M597" s="33" t="str">
        <f>IFERROR(__xludf.DUMMYFUNCTION("IFS(W597=""Achat"",IFERROR(VALUE(X597),VALUE(REGEXREPLACE(T(X597),""[^0-9]"",""""))),W597=""Vente"",-IFERROR(VALUE(X597),VALUE(REGEXREPLACE(T(X597),""[^0-9]"",""""))),Y597=""Change"",0,Y597&lt;&gt;""Change"","""")"),"")</f>
        <v/>
      </c>
      <c r="N597" s="34" t="str">
        <f>IFERROR(__xludf.DUMMYFUNCTION("IF(Account!$F597&lt;&gt;"""", VALUE(REGEXREPLACE($I597, ""\,"", ""."")), """")"),"")</f>
        <v/>
      </c>
      <c r="O597" s="35" t="str">
        <f>IF(Account!$F597&lt;&gt;"", DATEVALUE(MID($A597,4,3) &amp; LEFT($A597,3) &amp; RIGHT($A597,4)) + TIMEVALUE($B597), "")</f>
        <v/>
      </c>
      <c r="P597" s="36" t="str">
        <f>IF(Account!$F597&lt;&gt;"", DATEVALUE(MID($C597,4,3) &amp; LEFT($C597,3) &amp; RIGHT($C597,4)), "")</f>
        <v/>
      </c>
      <c r="Q597" s="37" t="str">
        <f t="array" ref="Q597">IF($R597&lt;&gt;"",IFERROR(INDEX(ISIN!$B:$B,MATCH($R597,ISIN!$C:$C,0))),)</f>
        <v/>
      </c>
      <c r="R597" s="38" t="str">
        <f t="array" ref="R597">IF($E597&lt;&gt;"",IFERROR(INDEX(ISIN!$C:$C,MATCH($E597,ISIN!$A:$A,0)),IFERROR(INDEX($R598:$R1200,MATCH($K597,$K598:$K1200,0)))),IF(AND($Y597="change",$H597="EUR"),IF($O597=$O598,$R598,IF($O597=$O596,$R596)),IFERROR(INDEX($R598:$R1200,MATCH(SUBSTITUTE($I597,"-","",1),$K598:$K1200,0)))))</f>
        <v/>
      </c>
      <c r="S597" s="37" t="str">
        <f t="shared" si="1"/>
        <v/>
      </c>
      <c r="T597" s="39" t="str">
        <f t="shared" si="2"/>
        <v/>
      </c>
      <c r="U597" s="40" t="str">
        <f t="shared" si="3"/>
        <v/>
      </c>
      <c r="V597" s="34" t="str">
        <f t="shared" si="4"/>
        <v/>
      </c>
      <c r="W597" s="41" t="str">
        <f>IFERROR(__xludf.DUMMYFUNCTION(" IF(Account!$F597&lt;&gt;"""", SPLIT(Account!$F597, "" ""), """")"),"")</f>
        <v/>
      </c>
      <c r="X597" s="42"/>
      <c r="Y597" s="42"/>
      <c r="Z597" s="42"/>
      <c r="AA597" s="42"/>
      <c r="AB597" s="42"/>
      <c r="AC597" s="42"/>
      <c r="AD597" s="42"/>
      <c r="AE597" s="42"/>
      <c r="AF597" s="42"/>
      <c r="AG597" s="42"/>
      <c r="AH597" s="42"/>
      <c r="AI597" s="42"/>
      <c r="AJ597" s="42"/>
      <c r="AK597" s="42"/>
    </row>
    <row r="598">
      <c r="A598" s="20"/>
      <c r="B598" s="20"/>
      <c r="C598" s="20"/>
      <c r="D598" s="20"/>
      <c r="E598" s="20"/>
      <c r="F598" s="21"/>
      <c r="G598" s="45"/>
      <c r="H598" s="20"/>
      <c r="I598" s="20"/>
      <c r="J598" s="20"/>
      <c r="K598" s="20"/>
      <c r="L598" s="21"/>
      <c r="M598" s="33" t="str">
        <f>IFERROR(__xludf.DUMMYFUNCTION("IFS(W598=""Achat"",IFERROR(VALUE(X598),VALUE(REGEXREPLACE(T(X598),""[^0-9]"",""""))),W598=""Vente"",-IFERROR(VALUE(X598),VALUE(REGEXREPLACE(T(X598),""[^0-9]"",""""))),Y598=""Change"",0,Y598&lt;&gt;""Change"","""")"),"")</f>
        <v/>
      </c>
      <c r="N598" s="34" t="str">
        <f>IFERROR(__xludf.DUMMYFUNCTION("IF(Account!$F598&lt;&gt;"""", VALUE(REGEXREPLACE($I598, ""\,"", ""."")), """")"),"")</f>
        <v/>
      </c>
      <c r="O598" s="35" t="str">
        <f>IF(Account!$F598&lt;&gt;"", DATEVALUE(MID($A598,4,3) &amp; LEFT($A598,3) &amp; RIGHT($A598,4)) + TIMEVALUE($B598), "")</f>
        <v/>
      </c>
      <c r="P598" s="36" t="str">
        <f>IF(Account!$F598&lt;&gt;"", DATEVALUE(MID($C598,4,3) &amp; LEFT($C598,3) &amp; RIGHT($C598,4)), "")</f>
        <v/>
      </c>
      <c r="Q598" s="37" t="str">
        <f t="array" ref="Q598">IF($R598&lt;&gt;"",IFERROR(INDEX(ISIN!$B:$B,MATCH($R598,ISIN!$C:$C,0))),)</f>
        <v/>
      </c>
      <c r="R598" s="38" t="str">
        <f t="array" ref="R598">IF($E598&lt;&gt;"",IFERROR(INDEX(ISIN!$C:$C,MATCH($E598,ISIN!$A:$A,0)),IFERROR(INDEX($R599:$R1200,MATCH($K598,$K599:$K1200,0)))),IF(AND($Y598="change",$H598="EUR"),IF($O598=$O599,$R599,IF($O598=$O597,$R597)),IFERROR(INDEX($R599:$R1200,MATCH(SUBSTITUTE($I598,"-","",1),$K599:$K1200,0)))))</f>
        <v/>
      </c>
      <c r="S598" s="37" t="str">
        <f t="shared" si="1"/>
        <v/>
      </c>
      <c r="T598" s="39" t="str">
        <f t="shared" si="2"/>
        <v/>
      </c>
      <c r="U598" s="40" t="str">
        <f t="shared" si="3"/>
        <v/>
      </c>
      <c r="V598" s="34" t="str">
        <f t="shared" si="4"/>
        <v/>
      </c>
      <c r="W598" s="41" t="str">
        <f>IFERROR(__xludf.DUMMYFUNCTION(" IF(Account!$F598&lt;&gt;"""", SPLIT(Account!$F598, "" ""), """")"),"")</f>
        <v/>
      </c>
      <c r="X598" s="42"/>
      <c r="Y598" s="42"/>
      <c r="Z598" s="42"/>
      <c r="AA598" s="42"/>
      <c r="AB598" s="42"/>
      <c r="AC598" s="42"/>
      <c r="AD598" s="42"/>
      <c r="AE598" s="42"/>
      <c r="AF598" s="42"/>
      <c r="AG598" s="42"/>
      <c r="AH598" s="42"/>
      <c r="AI598" s="42"/>
      <c r="AJ598" s="42"/>
      <c r="AK598" s="42"/>
    </row>
    <row r="599">
      <c r="A599" s="20"/>
      <c r="B599" s="20"/>
      <c r="C599" s="20"/>
      <c r="D599" s="20"/>
      <c r="E599" s="20"/>
      <c r="F599" s="21"/>
      <c r="G599" s="45"/>
      <c r="H599" s="20"/>
      <c r="I599" s="20"/>
      <c r="J599" s="20"/>
      <c r="K599" s="20"/>
      <c r="L599" s="21"/>
      <c r="M599" s="33" t="str">
        <f>IFERROR(__xludf.DUMMYFUNCTION("IFS(W599=""Achat"",IFERROR(VALUE(X599),VALUE(REGEXREPLACE(T(X599),""[^0-9]"",""""))),W599=""Vente"",-IFERROR(VALUE(X599),VALUE(REGEXREPLACE(T(X599),""[^0-9]"",""""))),Y599=""Change"",0,Y599&lt;&gt;""Change"","""")"),"")</f>
        <v/>
      </c>
      <c r="N599" s="34" t="str">
        <f>IFERROR(__xludf.DUMMYFUNCTION("IF(Account!$F599&lt;&gt;"""", VALUE(REGEXREPLACE($I599, ""\,"", ""."")), """")"),"")</f>
        <v/>
      </c>
      <c r="O599" s="35" t="str">
        <f>IF(Account!$F599&lt;&gt;"", DATEVALUE(MID($A599,4,3) &amp; LEFT($A599,3) &amp; RIGHT($A599,4)) + TIMEVALUE($B599), "")</f>
        <v/>
      </c>
      <c r="P599" s="36" t="str">
        <f>IF(Account!$F599&lt;&gt;"", DATEVALUE(MID($C599,4,3) &amp; LEFT($C599,3) &amp; RIGHT($C599,4)), "")</f>
        <v/>
      </c>
      <c r="Q599" s="37" t="str">
        <f t="array" ref="Q599">IF($R599&lt;&gt;"",IFERROR(INDEX(ISIN!$B:$B,MATCH($R599,ISIN!$C:$C,0))),)</f>
        <v/>
      </c>
      <c r="R599" s="38" t="str">
        <f t="array" ref="R599">IF($E599&lt;&gt;"",IFERROR(INDEX(ISIN!$C:$C,MATCH($E599,ISIN!$A:$A,0)),IFERROR(INDEX($R600:$R1200,MATCH($K599,$K600:$K1200,0)))),IF(AND($Y599="change",$H599="EUR"),IF($O599=$O600,$R600,IF($O599=$O598,$R598)),IFERROR(INDEX($R600:$R1200,MATCH(SUBSTITUTE($I599,"-","",1),$K600:$K1200,0)))))</f>
        <v/>
      </c>
      <c r="S599" s="37" t="str">
        <f t="shared" si="1"/>
        <v/>
      </c>
      <c r="T599" s="39" t="str">
        <f t="shared" si="2"/>
        <v/>
      </c>
      <c r="U599" s="40" t="str">
        <f t="shared" si="3"/>
        <v/>
      </c>
      <c r="V599" s="34" t="str">
        <f t="shared" si="4"/>
        <v/>
      </c>
      <c r="W599" s="41" t="str">
        <f>IFERROR(__xludf.DUMMYFUNCTION(" IF(Account!$F599&lt;&gt;"""", SPLIT(Account!$F599, "" ""), """")"),"")</f>
        <v/>
      </c>
      <c r="X599" s="42"/>
      <c r="Y599" s="42"/>
      <c r="Z599" s="42"/>
      <c r="AA599" s="42"/>
      <c r="AB599" s="42"/>
      <c r="AC599" s="42"/>
      <c r="AD599" s="42"/>
      <c r="AE599" s="42"/>
      <c r="AF599" s="42"/>
      <c r="AG599" s="42"/>
      <c r="AH599" s="42"/>
      <c r="AI599" s="42"/>
      <c r="AJ599" s="42"/>
      <c r="AK599" s="42"/>
    </row>
    <row r="600">
      <c r="A600" s="20"/>
      <c r="B600" s="20"/>
      <c r="C600" s="20"/>
      <c r="D600" s="20"/>
      <c r="E600" s="20"/>
      <c r="F600" s="21"/>
      <c r="G600" s="45"/>
      <c r="H600" s="20"/>
      <c r="I600" s="20"/>
      <c r="J600" s="20"/>
      <c r="K600" s="20"/>
      <c r="L600" s="21"/>
      <c r="M600" s="33" t="str">
        <f>IFERROR(__xludf.DUMMYFUNCTION("IFS(W600=""Achat"",IFERROR(VALUE(X600),VALUE(REGEXREPLACE(T(X600),""[^0-9]"",""""))),W600=""Vente"",-IFERROR(VALUE(X600),VALUE(REGEXREPLACE(T(X600),""[^0-9]"",""""))),Y600=""Change"",0,Y600&lt;&gt;""Change"","""")"),"")</f>
        <v/>
      </c>
      <c r="N600" s="34" t="str">
        <f>IFERROR(__xludf.DUMMYFUNCTION("IF(Account!$F600&lt;&gt;"""", VALUE(REGEXREPLACE($I600, ""\,"", ""."")), """")"),"")</f>
        <v/>
      </c>
      <c r="O600" s="35" t="str">
        <f>IF(Account!$F600&lt;&gt;"", DATEVALUE(MID($A600,4,3) &amp; LEFT($A600,3) &amp; RIGHT($A600,4)) + TIMEVALUE($B600), "")</f>
        <v/>
      </c>
      <c r="P600" s="36" t="str">
        <f>IF(Account!$F600&lt;&gt;"", DATEVALUE(MID($C600,4,3) &amp; LEFT($C600,3) &amp; RIGHT($C600,4)), "")</f>
        <v/>
      </c>
      <c r="Q600" s="37" t="str">
        <f t="array" ref="Q600">IF($R600&lt;&gt;"",IFERROR(INDEX(ISIN!$B:$B,MATCH($R600,ISIN!$C:$C,0))),)</f>
        <v/>
      </c>
      <c r="R600" s="38" t="str">
        <f t="array" ref="R600">IF($E600&lt;&gt;"",IFERROR(INDEX(ISIN!$C:$C,MATCH($E600,ISIN!$A:$A,0)),IFERROR(INDEX($R601:$R1200,MATCH($K600,$K601:$K1200,0)))),IF(AND($Y600="change",$H600="EUR"),IF($O600=$O601,$R601,IF($O600=$O599,$R599)),IFERROR(INDEX($R601:$R1200,MATCH(SUBSTITUTE($I600,"-","",1),$K601:$K1200,0)))))</f>
        <v/>
      </c>
      <c r="S600" s="37" t="str">
        <f t="shared" si="1"/>
        <v/>
      </c>
      <c r="T600" s="39" t="str">
        <f t="shared" si="2"/>
        <v/>
      </c>
      <c r="U600" s="40" t="str">
        <f t="shared" si="3"/>
        <v/>
      </c>
      <c r="V600" s="34" t="str">
        <f t="shared" si="4"/>
        <v/>
      </c>
      <c r="W600" s="41" t="str">
        <f>IFERROR(__xludf.DUMMYFUNCTION(" IF(Account!$F600&lt;&gt;"""", SPLIT(Account!$F600, "" ""), """")"),"")</f>
        <v/>
      </c>
      <c r="X600" s="42"/>
      <c r="Y600" s="42"/>
      <c r="Z600" s="42"/>
      <c r="AA600" s="42"/>
      <c r="AB600" s="42"/>
      <c r="AC600" s="42"/>
      <c r="AD600" s="42"/>
      <c r="AE600" s="42"/>
      <c r="AF600" s="42"/>
      <c r="AG600" s="42"/>
      <c r="AH600" s="42"/>
      <c r="AI600" s="42"/>
      <c r="AJ600" s="42"/>
      <c r="AK600" s="42"/>
    </row>
    <row r="601">
      <c r="A601" s="20"/>
      <c r="B601" s="20"/>
      <c r="C601" s="20"/>
      <c r="D601" s="20"/>
      <c r="E601" s="20"/>
      <c r="F601" s="21"/>
      <c r="G601" s="45"/>
      <c r="H601" s="20"/>
      <c r="I601" s="20"/>
      <c r="J601" s="20"/>
      <c r="K601" s="20"/>
      <c r="L601" s="21"/>
      <c r="M601" s="33" t="str">
        <f>IFERROR(__xludf.DUMMYFUNCTION("IFS(W601=""Achat"",IFERROR(VALUE(X601),VALUE(REGEXREPLACE(T(X601),""[^0-9]"",""""))),W601=""Vente"",-IFERROR(VALUE(X601),VALUE(REGEXREPLACE(T(X601),""[^0-9]"",""""))),Y601=""Change"",0,Y601&lt;&gt;""Change"","""")"),"")</f>
        <v/>
      </c>
      <c r="N601" s="34" t="str">
        <f>IFERROR(__xludf.DUMMYFUNCTION("IF(Account!$F601&lt;&gt;"""", VALUE(REGEXREPLACE($I601, ""\,"", ""."")), """")"),"")</f>
        <v/>
      </c>
      <c r="O601" s="35" t="str">
        <f>IF(Account!$F601&lt;&gt;"", DATEVALUE(MID($A601,4,3) &amp; LEFT($A601,3) &amp; RIGHT($A601,4)) + TIMEVALUE($B601), "")</f>
        <v/>
      </c>
      <c r="P601" s="36" t="str">
        <f>IF(Account!$F601&lt;&gt;"", DATEVALUE(MID($C601,4,3) &amp; LEFT($C601,3) &amp; RIGHT($C601,4)), "")</f>
        <v/>
      </c>
      <c r="Q601" s="37" t="str">
        <f t="array" ref="Q601">IF($R601&lt;&gt;"",IFERROR(INDEX(ISIN!$B:$B,MATCH($R601,ISIN!$C:$C,0))),)</f>
        <v/>
      </c>
      <c r="R601" s="38" t="str">
        <f t="array" ref="R601">IF($E601&lt;&gt;"",IFERROR(INDEX(ISIN!$C:$C,MATCH($E601,ISIN!$A:$A,0)),IFERROR(INDEX($R602:$R1200,MATCH($K601,$K602:$K1200,0)))),IF(AND($Y601="change",$H601="EUR"),IF($O601=$O602,$R602,IF($O601=$O600,$R600)),IFERROR(INDEX($R602:$R1200,MATCH(SUBSTITUTE($I601,"-","",1),$K602:$K1200,0)))))</f>
        <v/>
      </c>
      <c r="S601" s="37" t="str">
        <f t="shared" si="1"/>
        <v/>
      </c>
      <c r="T601" s="39" t="str">
        <f t="shared" si="2"/>
        <v/>
      </c>
      <c r="U601" s="40" t="str">
        <f t="shared" si="3"/>
        <v/>
      </c>
      <c r="V601" s="34" t="str">
        <f t="shared" si="4"/>
        <v/>
      </c>
      <c r="W601" s="41" t="str">
        <f>IFERROR(__xludf.DUMMYFUNCTION(" IF(Account!$F601&lt;&gt;"""", SPLIT(Account!$F601, "" ""), """")"),"")</f>
        <v/>
      </c>
      <c r="X601" s="42"/>
      <c r="Y601" s="42"/>
      <c r="Z601" s="42"/>
      <c r="AA601" s="42"/>
      <c r="AB601" s="42"/>
      <c r="AC601" s="42"/>
      <c r="AD601" s="42"/>
      <c r="AE601" s="42"/>
      <c r="AF601" s="42"/>
      <c r="AG601" s="42"/>
      <c r="AH601" s="42"/>
      <c r="AI601" s="42"/>
      <c r="AJ601" s="42"/>
      <c r="AK601" s="42"/>
    </row>
    <row r="602">
      <c r="A602" s="20"/>
      <c r="B602" s="20"/>
      <c r="C602" s="20"/>
      <c r="D602" s="20"/>
      <c r="E602" s="20"/>
      <c r="F602" s="21"/>
      <c r="G602" s="45"/>
      <c r="H602" s="20"/>
      <c r="I602" s="20"/>
      <c r="J602" s="20"/>
      <c r="K602" s="20"/>
      <c r="L602" s="21"/>
      <c r="M602" s="33" t="str">
        <f>IFERROR(__xludf.DUMMYFUNCTION("IFS(W602=""Achat"",IFERROR(VALUE(X602),VALUE(REGEXREPLACE(T(X602),""[^0-9]"",""""))),W602=""Vente"",-IFERROR(VALUE(X602),VALUE(REGEXREPLACE(T(X602),""[^0-9]"",""""))),Y602=""Change"",0,Y602&lt;&gt;""Change"","""")"),"")</f>
        <v/>
      </c>
      <c r="N602" s="34" t="str">
        <f>IFERROR(__xludf.DUMMYFUNCTION("IF(Account!$F602&lt;&gt;"""", VALUE(REGEXREPLACE($I602, ""\,"", ""."")), """")"),"")</f>
        <v/>
      </c>
      <c r="O602" s="35" t="str">
        <f>IF(Account!$F602&lt;&gt;"", DATEVALUE(MID($A602,4,3) &amp; LEFT($A602,3) &amp; RIGHT($A602,4)) + TIMEVALUE($B602), "")</f>
        <v/>
      </c>
      <c r="P602" s="36" t="str">
        <f>IF(Account!$F602&lt;&gt;"", DATEVALUE(MID($C602,4,3) &amp; LEFT($C602,3) &amp; RIGHT($C602,4)), "")</f>
        <v/>
      </c>
      <c r="Q602" s="37" t="str">
        <f t="array" ref="Q602">IF($R602&lt;&gt;"",IFERROR(INDEX(ISIN!$B:$B,MATCH($R602,ISIN!$C:$C,0))),)</f>
        <v/>
      </c>
      <c r="R602" s="38" t="str">
        <f t="array" ref="R602">IF($E602&lt;&gt;"",IFERROR(INDEX(ISIN!$C:$C,MATCH($E602,ISIN!$A:$A,0)),IFERROR(INDEX($R603:$R1200,MATCH($K602,$K603:$K1200,0)))),IF(AND($Y602="change",$H602="EUR"),IF($O602=$O603,$R603,IF($O602=$O601,$R601)),IFERROR(INDEX($R603:$R1200,MATCH(SUBSTITUTE($I602,"-","",1),$K603:$K1200,0)))))</f>
        <v/>
      </c>
      <c r="S602" s="37" t="str">
        <f t="shared" si="1"/>
        <v/>
      </c>
      <c r="T602" s="39" t="str">
        <f t="shared" si="2"/>
        <v/>
      </c>
      <c r="U602" s="40" t="str">
        <f t="shared" si="3"/>
        <v/>
      </c>
      <c r="V602" s="34" t="str">
        <f t="shared" si="4"/>
        <v/>
      </c>
      <c r="W602" s="41" t="str">
        <f>IFERROR(__xludf.DUMMYFUNCTION(" IF(Account!$F602&lt;&gt;"""", SPLIT(Account!$F602, "" ""), """")"),"")</f>
        <v/>
      </c>
      <c r="X602" s="42"/>
      <c r="Y602" s="42"/>
      <c r="Z602" s="42"/>
      <c r="AA602" s="42"/>
      <c r="AB602" s="42"/>
      <c r="AC602" s="42"/>
      <c r="AD602" s="42"/>
      <c r="AE602" s="42"/>
      <c r="AF602" s="42"/>
      <c r="AG602" s="42"/>
      <c r="AH602" s="42"/>
      <c r="AI602" s="42"/>
      <c r="AJ602" s="42"/>
      <c r="AK602" s="42"/>
    </row>
    <row r="603">
      <c r="A603" s="20"/>
      <c r="B603" s="20"/>
      <c r="C603" s="20"/>
      <c r="D603" s="20"/>
      <c r="E603" s="20"/>
      <c r="F603" s="21"/>
      <c r="G603" s="20"/>
      <c r="H603" s="20"/>
      <c r="I603" s="20"/>
      <c r="J603" s="20"/>
      <c r="K603" s="20"/>
      <c r="L603" s="21"/>
      <c r="M603" s="33" t="str">
        <f>IFERROR(__xludf.DUMMYFUNCTION("IFS(W603=""Achat"",IFERROR(VALUE(X603),VALUE(REGEXREPLACE(T(X603),""[^0-9]"",""""))),W603=""Vente"",-IFERROR(VALUE(X603),VALUE(REGEXREPLACE(T(X603),""[^0-9]"",""""))),Y603=""Change"",0,Y603&lt;&gt;""Change"","""")"),"")</f>
        <v/>
      </c>
      <c r="N603" s="34" t="str">
        <f>IFERROR(__xludf.DUMMYFUNCTION("IF(Account!$F603&lt;&gt;"""", VALUE(REGEXREPLACE($I603, ""\,"", ""."")), """")"),"")</f>
        <v/>
      </c>
      <c r="O603" s="35" t="str">
        <f>IF(Account!$F603&lt;&gt;"", DATEVALUE(MID($A603,4,3) &amp; LEFT($A603,3) &amp; RIGHT($A603,4)) + TIMEVALUE($B603), "")</f>
        <v/>
      </c>
      <c r="P603" s="36" t="str">
        <f>IF(Account!$F603&lt;&gt;"", DATEVALUE(MID($C603,4,3) &amp; LEFT($C603,3) &amp; RIGHT($C603,4)), "")</f>
        <v/>
      </c>
      <c r="Q603" s="37" t="str">
        <f t="array" ref="Q603">IF($R603&lt;&gt;"",IFERROR(INDEX(ISIN!$B:$B,MATCH($R603,ISIN!$C:$C,0))),)</f>
        <v/>
      </c>
      <c r="R603" s="38" t="str">
        <f t="array" ref="R603">IF($E603&lt;&gt;"",IFERROR(INDEX(ISIN!$C:$C,MATCH($E603,ISIN!$A:$A,0)),IFERROR(INDEX($R604:$R1200,MATCH($K603,$K604:$K1200,0)))),IF(AND($Y603="change",$H603="EUR"),IF($O603=$O604,$R604,IF($O603=$O602,$R602)),IFERROR(INDEX($R604:$R1200,MATCH(SUBSTITUTE($I603,"-","",1),$K604:$K1200,0)))))</f>
        <v/>
      </c>
      <c r="S603" s="37" t="str">
        <f t="shared" si="1"/>
        <v/>
      </c>
      <c r="T603" s="39" t="str">
        <f t="shared" si="2"/>
        <v/>
      </c>
      <c r="U603" s="40" t="str">
        <f t="shared" si="3"/>
        <v/>
      </c>
      <c r="V603" s="34" t="str">
        <f t="shared" si="4"/>
        <v/>
      </c>
      <c r="W603" s="41" t="str">
        <f>IFERROR(__xludf.DUMMYFUNCTION(" IF(Account!$F603&lt;&gt;"""", SPLIT(Account!$F603, "" ""), """")"),"")</f>
        <v/>
      </c>
      <c r="X603" s="42"/>
      <c r="Y603" s="42"/>
      <c r="Z603" s="42"/>
      <c r="AA603" s="42"/>
      <c r="AB603" s="42"/>
      <c r="AC603" s="42"/>
      <c r="AD603" s="42"/>
      <c r="AE603" s="42"/>
      <c r="AF603" s="42"/>
      <c r="AG603" s="42"/>
      <c r="AH603" s="42"/>
      <c r="AI603" s="42"/>
      <c r="AJ603" s="42"/>
      <c r="AK603" s="42"/>
    </row>
    <row r="604">
      <c r="A604" s="20"/>
      <c r="B604" s="20"/>
      <c r="C604" s="20"/>
      <c r="D604" s="20"/>
      <c r="E604" s="20"/>
      <c r="F604" s="21"/>
      <c r="G604" s="45"/>
      <c r="H604" s="20"/>
      <c r="I604" s="20"/>
      <c r="J604" s="20"/>
      <c r="K604" s="20"/>
      <c r="L604" s="21"/>
      <c r="M604" s="33" t="str">
        <f>IFERROR(__xludf.DUMMYFUNCTION("IFS(W604=""Achat"",IFERROR(VALUE(X604),VALUE(REGEXREPLACE(T(X604),""[^0-9]"",""""))),W604=""Vente"",-IFERROR(VALUE(X604),VALUE(REGEXREPLACE(T(X604),""[^0-9]"",""""))),Y604=""Change"",0,Y604&lt;&gt;""Change"","""")"),"")</f>
        <v/>
      </c>
      <c r="N604" s="34" t="str">
        <f>IFERROR(__xludf.DUMMYFUNCTION("IF(Account!$F604&lt;&gt;"""", VALUE(REGEXREPLACE($I604, ""\,"", ""."")), """")"),"")</f>
        <v/>
      </c>
      <c r="O604" s="35" t="str">
        <f>IF(Account!$F604&lt;&gt;"", DATEVALUE(MID($A604,4,3) &amp; LEFT($A604,3) &amp; RIGHT($A604,4)) + TIMEVALUE($B604), "")</f>
        <v/>
      </c>
      <c r="P604" s="36" t="str">
        <f>IF(Account!$F604&lt;&gt;"", DATEVALUE(MID($C604,4,3) &amp; LEFT($C604,3) &amp; RIGHT($C604,4)), "")</f>
        <v/>
      </c>
      <c r="Q604" s="37" t="str">
        <f t="array" ref="Q604">IF($R604&lt;&gt;"",IFERROR(INDEX(ISIN!$B:$B,MATCH($R604,ISIN!$C:$C,0))),)</f>
        <v/>
      </c>
      <c r="R604" s="38" t="str">
        <f t="array" ref="R604">IF($E604&lt;&gt;"",IFERROR(INDEX(ISIN!$C:$C,MATCH($E604,ISIN!$A:$A,0)),IFERROR(INDEX($R605:$R1200,MATCH($K604,$K605:$K1200,0)))),IF(AND($Y604="change",$H604="EUR"),IF($O604=$O605,$R605,IF($O604=$O603,$R603)),IFERROR(INDEX($R605:$R1200,MATCH(SUBSTITUTE($I604,"-","",1),$K605:$K1200,0)))))</f>
        <v/>
      </c>
      <c r="S604" s="37" t="str">
        <f t="shared" si="1"/>
        <v/>
      </c>
      <c r="T604" s="39" t="str">
        <f t="shared" si="2"/>
        <v/>
      </c>
      <c r="U604" s="40" t="str">
        <f t="shared" si="3"/>
        <v/>
      </c>
      <c r="V604" s="34" t="str">
        <f t="shared" si="4"/>
        <v/>
      </c>
      <c r="W604" s="41" t="str">
        <f>IFERROR(__xludf.DUMMYFUNCTION(" IF(Account!$F604&lt;&gt;"""", SPLIT(Account!$F604, "" ""), """")"),"")</f>
        <v/>
      </c>
      <c r="X604" s="42"/>
      <c r="Y604" s="42"/>
      <c r="Z604" s="42"/>
      <c r="AA604" s="42"/>
      <c r="AB604" s="42"/>
      <c r="AC604" s="42"/>
      <c r="AD604" s="42"/>
      <c r="AE604" s="42"/>
      <c r="AF604" s="42"/>
      <c r="AG604" s="42"/>
      <c r="AH604" s="42"/>
      <c r="AI604" s="42"/>
      <c r="AJ604" s="42"/>
      <c r="AK604" s="42"/>
    </row>
    <row r="605">
      <c r="A605" s="20"/>
      <c r="B605" s="20"/>
      <c r="C605" s="20"/>
      <c r="D605" s="20"/>
      <c r="E605" s="20"/>
      <c r="F605" s="21"/>
      <c r="G605" s="45"/>
      <c r="H605" s="20"/>
      <c r="I605" s="20"/>
      <c r="J605" s="20"/>
      <c r="K605" s="20"/>
      <c r="L605" s="21"/>
      <c r="M605" s="33" t="str">
        <f>IFERROR(__xludf.DUMMYFUNCTION("IFS(W605=""Achat"",IFERROR(VALUE(X605),VALUE(REGEXREPLACE(T(X605),""[^0-9]"",""""))),W605=""Vente"",-IFERROR(VALUE(X605),VALUE(REGEXREPLACE(T(X605),""[^0-9]"",""""))),Y605=""Change"",0,Y605&lt;&gt;""Change"","""")"),"")</f>
        <v/>
      </c>
      <c r="N605" s="34" t="str">
        <f>IFERROR(__xludf.DUMMYFUNCTION("IF(Account!$F605&lt;&gt;"""", VALUE(REGEXREPLACE($I605, ""\,"", ""."")), """")"),"")</f>
        <v/>
      </c>
      <c r="O605" s="35" t="str">
        <f>IF(Account!$F605&lt;&gt;"", DATEVALUE(MID($A605,4,3) &amp; LEFT($A605,3) &amp; RIGHT($A605,4)) + TIMEVALUE($B605), "")</f>
        <v/>
      </c>
      <c r="P605" s="36" t="str">
        <f>IF(Account!$F605&lt;&gt;"", DATEVALUE(MID($C605,4,3) &amp; LEFT($C605,3) &amp; RIGHT($C605,4)), "")</f>
        <v/>
      </c>
      <c r="Q605" s="37" t="str">
        <f t="array" ref="Q605">IF($R605&lt;&gt;"",IFERROR(INDEX(ISIN!$B:$B,MATCH($R605,ISIN!$C:$C,0))),)</f>
        <v/>
      </c>
      <c r="R605" s="38" t="str">
        <f t="array" ref="R605">IF($E605&lt;&gt;"",IFERROR(INDEX(ISIN!$C:$C,MATCH($E605,ISIN!$A:$A,0)),IFERROR(INDEX($R606:$R1200,MATCH($K605,$K606:$K1200,0)))),IF(AND($Y605="change",$H605="EUR"),IF($O605=$O606,$R606,IF($O605=$O604,$R604)),IFERROR(INDEX($R606:$R1200,MATCH(SUBSTITUTE($I605,"-","",1),$K606:$K1200,0)))))</f>
        <v/>
      </c>
      <c r="S605" s="37" t="str">
        <f t="shared" si="1"/>
        <v/>
      </c>
      <c r="T605" s="39" t="str">
        <f t="shared" si="2"/>
        <v/>
      </c>
      <c r="U605" s="40" t="str">
        <f t="shared" si="3"/>
        <v/>
      </c>
      <c r="V605" s="34" t="str">
        <f t="shared" si="4"/>
        <v/>
      </c>
      <c r="W605" s="41" t="str">
        <f>IFERROR(__xludf.DUMMYFUNCTION(" IF(Account!$F605&lt;&gt;"""", SPLIT(Account!$F605, "" ""), """")"),"")</f>
        <v/>
      </c>
      <c r="X605" s="42"/>
      <c r="Y605" s="42"/>
      <c r="Z605" s="42"/>
      <c r="AA605" s="42"/>
      <c r="AB605" s="42"/>
      <c r="AC605" s="42"/>
      <c r="AD605" s="42"/>
      <c r="AE605" s="42"/>
      <c r="AF605" s="42"/>
      <c r="AG605" s="42"/>
      <c r="AH605" s="42"/>
      <c r="AI605" s="42"/>
      <c r="AJ605" s="42"/>
      <c r="AK605" s="42"/>
    </row>
    <row r="606">
      <c r="A606" s="20"/>
      <c r="B606" s="20"/>
      <c r="C606" s="20"/>
      <c r="D606" s="20"/>
      <c r="E606" s="20"/>
      <c r="F606" s="21"/>
      <c r="G606" s="45"/>
      <c r="H606" s="20"/>
      <c r="I606" s="20"/>
      <c r="J606" s="20"/>
      <c r="K606" s="20"/>
      <c r="L606" s="21"/>
      <c r="M606" s="33" t="str">
        <f>IFERROR(__xludf.DUMMYFUNCTION("IFS(W606=""Achat"",IFERROR(VALUE(X606),VALUE(REGEXREPLACE(T(X606),""[^0-9]"",""""))),W606=""Vente"",-IFERROR(VALUE(X606),VALUE(REGEXREPLACE(T(X606),""[^0-9]"",""""))),Y606=""Change"",0,Y606&lt;&gt;""Change"","""")"),"")</f>
        <v/>
      </c>
      <c r="N606" s="34" t="str">
        <f>IFERROR(__xludf.DUMMYFUNCTION("IF(Account!$F606&lt;&gt;"""", VALUE(REGEXREPLACE($I606, ""\,"", ""."")), """")"),"")</f>
        <v/>
      </c>
      <c r="O606" s="35" t="str">
        <f>IF(Account!$F606&lt;&gt;"", DATEVALUE(MID($A606,4,3) &amp; LEFT($A606,3) &amp; RIGHT($A606,4)) + TIMEVALUE($B606), "")</f>
        <v/>
      </c>
      <c r="P606" s="36" t="str">
        <f>IF(Account!$F606&lt;&gt;"", DATEVALUE(MID($C606,4,3) &amp; LEFT($C606,3) &amp; RIGHT($C606,4)), "")</f>
        <v/>
      </c>
      <c r="Q606" s="37" t="str">
        <f t="array" ref="Q606">IF($R606&lt;&gt;"",IFERROR(INDEX(ISIN!$B:$B,MATCH($R606,ISIN!$C:$C,0))),)</f>
        <v/>
      </c>
      <c r="R606" s="38" t="str">
        <f t="array" ref="R606">IF($E606&lt;&gt;"",IFERROR(INDEX(ISIN!$C:$C,MATCH($E606,ISIN!$A:$A,0)),IFERROR(INDEX($R607:$R1200,MATCH($K606,$K607:$K1200,0)))),IF(AND($Y606="change",$H606="EUR"),IF($O606=$O607,$R607,IF($O606=$O605,$R605)),IFERROR(INDEX($R607:$R1200,MATCH(SUBSTITUTE($I606,"-","",1),$K607:$K1200,0)))))</f>
        <v/>
      </c>
      <c r="S606" s="37" t="str">
        <f t="shared" si="1"/>
        <v/>
      </c>
      <c r="T606" s="39" t="str">
        <f t="shared" si="2"/>
        <v/>
      </c>
      <c r="U606" s="40" t="str">
        <f t="shared" si="3"/>
        <v/>
      </c>
      <c r="V606" s="34" t="str">
        <f t="shared" si="4"/>
        <v/>
      </c>
      <c r="W606" s="41" t="str">
        <f>IFERROR(__xludf.DUMMYFUNCTION(" IF(Account!$F606&lt;&gt;"""", SPLIT(Account!$F606, "" ""), """")"),"")</f>
        <v/>
      </c>
      <c r="X606" s="42"/>
      <c r="Y606" s="42"/>
      <c r="Z606" s="42"/>
      <c r="AA606" s="42"/>
      <c r="AB606" s="42"/>
      <c r="AC606" s="42"/>
      <c r="AD606" s="42"/>
      <c r="AE606" s="42"/>
      <c r="AF606" s="42"/>
      <c r="AG606" s="42"/>
      <c r="AH606" s="42"/>
      <c r="AI606" s="42"/>
      <c r="AJ606" s="42"/>
      <c r="AK606" s="42"/>
    </row>
    <row r="607">
      <c r="A607" s="20"/>
      <c r="B607" s="20"/>
      <c r="C607" s="20"/>
      <c r="D607" s="20"/>
      <c r="E607" s="20"/>
      <c r="F607" s="21"/>
      <c r="G607" s="45"/>
      <c r="H607" s="20"/>
      <c r="I607" s="20"/>
      <c r="J607" s="20"/>
      <c r="K607" s="20"/>
      <c r="L607" s="21"/>
      <c r="M607" s="33" t="str">
        <f>IFERROR(__xludf.DUMMYFUNCTION("IFS(W607=""Achat"",IFERROR(VALUE(X607),VALUE(REGEXREPLACE(T(X607),""[^0-9]"",""""))),W607=""Vente"",-IFERROR(VALUE(X607),VALUE(REGEXREPLACE(T(X607),""[^0-9]"",""""))),Y607=""Change"",0,Y607&lt;&gt;""Change"","""")"),"")</f>
        <v/>
      </c>
      <c r="N607" s="34" t="str">
        <f>IFERROR(__xludf.DUMMYFUNCTION("IF(Account!$F607&lt;&gt;"""", VALUE(REGEXREPLACE($I607, ""\,"", ""."")), """")"),"")</f>
        <v/>
      </c>
      <c r="O607" s="35" t="str">
        <f>IF(Account!$F607&lt;&gt;"", DATEVALUE(MID($A607,4,3) &amp; LEFT($A607,3) &amp; RIGHT($A607,4)) + TIMEVALUE($B607), "")</f>
        <v/>
      </c>
      <c r="P607" s="36" t="str">
        <f>IF(Account!$F607&lt;&gt;"", DATEVALUE(MID($C607,4,3) &amp; LEFT($C607,3) &amp; RIGHT($C607,4)), "")</f>
        <v/>
      </c>
      <c r="Q607" s="37" t="str">
        <f t="array" ref="Q607">IF($R607&lt;&gt;"",IFERROR(INDEX(ISIN!$B:$B,MATCH($R607,ISIN!$C:$C,0))),)</f>
        <v/>
      </c>
      <c r="R607" s="38" t="str">
        <f t="array" ref="R607">IF($E607&lt;&gt;"",IFERROR(INDEX(ISIN!$C:$C,MATCH($E607,ISIN!$A:$A,0)),IFERROR(INDEX($R608:$R1200,MATCH($K607,$K608:$K1200,0)))),IF(AND($Y607="change",$H607="EUR"),IF($O607=$O608,$R608,IF($O607=$O606,$R606)),IFERROR(INDEX($R608:$R1200,MATCH(SUBSTITUTE($I607,"-","",1),$K608:$K1200,0)))))</f>
        <v/>
      </c>
      <c r="S607" s="37" t="str">
        <f t="shared" si="1"/>
        <v/>
      </c>
      <c r="T607" s="39" t="str">
        <f t="shared" si="2"/>
        <v/>
      </c>
      <c r="U607" s="40" t="str">
        <f t="shared" si="3"/>
        <v/>
      </c>
      <c r="V607" s="34" t="str">
        <f t="shared" si="4"/>
        <v/>
      </c>
      <c r="W607" s="41" t="str">
        <f>IFERROR(__xludf.DUMMYFUNCTION(" IF(Account!$F607&lt;&gt;"""", SPLIT(Account!$F607, "" ""), """")"),"")</f>
        <v/>
      </c>
      <c r="X607" s="42"/>
      <c r="Y607" s="42"/>
      <c r="Z607" s="42"/>
      <c r="AA607" s="42"/>
      <c r="AB607" s="42"/>
      <c r="AC607" s="42"/>
      <c r="AD607" s="42"/>
      <c r="AE607" s="42"/>
      <c r="AF607" s="42"/>
      <c r="AG607" s="42"/>
      <c r="AH607" s="42"/>
      <c r="AI607" s="42"/>
      <c r="AJ607" s="42"/>
      <c r="AK607" s="42"/>
    </row>
    <row r="608">
      <c r="A608" s="20"/>
      <c r="B608" s="20"/>
      <c r="C608" s="20"/>
      <c r="D608" s="20"/>
      <c r="E608" s="20"/>
      <c r="F608" s="21"/>
      <c r="G608" s="45"/>
      <c r="H608" s="20"/>
      <c r="I608" s="20"/>
      <c r="J608" s="20"/>
      <c r="K608" s="20"/>
      <c r="L608" s="21"/>
      <c r="M608" s="33" t="str">
        <f>IFERROR(__xludf.DUMMYFUNCTION("IFS(W608=""Achat"",IFERROR(VALUE(X608),VALUE(REGEXREPLACE(T(X608),""[^0-9]"",""""))),W608=""Vente"",-IFERROR(VALUE(X608),VALUE(REGEXREPLACE(T(X608),""[^0-9]"",""""))),Y608=""Change"",0,Y608&lt;&gt;""Change"","""")"),"")</f>
        <v/>
      </c>
      <c r="N608" s="34" t="str">
        <f>IFERROR(__xludf.DUMMYFUNCTION("IF(Account!$F608&lt;&gt;"""", VALUE(REGEXREPLACE($I608, ""\,"", ""."")), """")"),"")</f>
        <v/>
      </c>
      <c r="O608" s="35" t="str">
        <f>IF(Account!$F608&lt;&gt;"", DATEVALUE(MID($A608,4,3) &amp; LEFT($A608,3) &amp; RIGHT($A608,4)) + TIMEVALUE($B608), "")</f>
        <v/>
      </c>
      <c r="P608" s="36" t="str">
        <f>IF(Account!$F608&lt;&gt;"", DATEVALUE(MID($C608,4,3) &amp; LEFT($C608,3) &amp; RIGHT($C608,4)), "")</f>
        <v/>
      </c>
      <c r="Q608" s="37" t="str">
        <f t="array" ref="Q608">IF($R608&lt;&gt;"",IFERROR(INDEX(ISIN!$B:$B,MATCH($R608,ISIN!$C:$C,0))),)</f>
        <v/>
      </c>
      <c r="R608" s="38" t="str">
        <f t="array" ref="R608">IF($E608&lt;&gt;"",IFERROR(INDEX(ISIN!$C:$C,MATCH($E608,ISIN!$A:$A,0)),IFERROR(INDEX($R609:$R1200,MATCH($K608,$K609:$K1200,0)))),IF(AND($Y608="change",$H608="EUR"),IF($O608=$O609,$R609,IF($O608=$O607,$R607)),IFERROR(INDEX($R609:$R1200,MATCH(SUBSTITUTE($I608,"-","",1),$K609:$K1200,0)))))</f>
        <v/>
      </c>
      <c r="S608" s="37" t="str">
        <f t="shared" si="1"/>
        <v/>
      </c>
      <c r="T608" s="39" t="str">
        <f t="shared" si="2"/>
        <v/>
      </c>
      <c r="U608" s="40" t="str">
        <f t="shared" si="3"/>
        <v/>
      </c>
      <c r="V608" s="34" t="str">
        <f t="shared" si="4"/>
        <v/>
      </c>
      <c r="W608" s="41" t="str">
        <f>IFERROR(__xludf.DUMMYFUNCTION(" IF(Account!$F608&lt;&gt;"""", SPLIT(Account!$F608, "" ""), """")"),"")</f>
        <v/>
      </c>
      <c r="X608" s="42"/>
      <c r="Y608" s="42"/>
      <c r="Z608" s="42"/>
      <c r="AA608" s="42"/>
      <c r="AB608" s="42"/>
      <c r="AC608" s="42"/>
      <c r="AD608" s="42"/>
      <c r="AE608" s="42"/>
      <c r="AF608" s="42"/>
      <c r="AG608" s="42"/>
      <c r="AH608" s="42"/>
      <c r="AI608" s="42"/>
      <c r="AJ608" s="42"/>
      <c r="AK608" s="42"/>
    </row>
    <row r="609">
      <c r="A609" s="20"/>
      <c r="B609" s="20"/>
      <c r="C609" s="20"/>
      <c r="D609" s="20"/>
      <c r="E609" s="20"/>
      <c r="F609" s="21"/>
      <c r="G609" s="45"/>
      <c r="H609" s="20"/>
      <c r="I609" s="20"/>
      <c r="J609" s="20"/>
      <c r="K609" s="20"/>
      <c r="L609" s="21"/>
      <c r="M609" s="33" t="str">
        <f>IFERROR(__xludf.DUMMYFUNCTION("IFS(W609=""Achat"",IFERROR(VALUE(X609),VALUE(REGEXREPLACE(T(X609),""[^0-9]"",""""))),W609=""Vente"",-IFERROR(VALUE(X609),VALUE(REGEXREPLACE(T(X609),""[^0-9]"",""""))),Y609=""Change"",0,Y609&lt;&gt;""Change"","""")"),"")</f>
        <v/>
      </c>
      <c r="N609" s="34" t="str">
        <f>IFERROR(__xludf.DUMMYFUNCTION("IF(Account!$F609&lt;&gt;"""", VALUE(REGEXREPLACE($I609, ""\,"", ""."")), """")"),"")</f>
        <v/>
      </c>
      <c r="O609" s="35" t="str">
        <f>IF(Account!$F609&lt;&gt;"", DATEVALUE(MID($A609,4,3) &amp; LEFT($A609,3) &amp; RIGHT($A609,4)) + TIMEVALUE($B609), "")</f>
        <v/>
      </c>
      <c r="P609" s="36" t="str">
        <f>IF(Account!$F609&lt;&gt;"", DATEVALUE(MID($C609,4,3) &amp; LEFT($C609,3) &amp; RIGHT($C609,4)), "")</f>
        <v/>
      </c>
      <c r="Q609" s="37" t="str">
        <f t="array" ref="Q609">IF($R609&lt;&gt;"",IFERROR(INDEX(ISIN!$B:$B,MATCH($R609,ISIN!$C:$C,0))),)</f>
        <v/>
      </c>
      <c r="R609" s="38" t="str">
        <f t="array" ref="R609">IF($E609&lt;&gt;"",IFERROR(INDEX(ISIN!$C:$C,MATCH($E609,ISIN!$A:$A,0)),IFERROR(INDEX($R610:$R1200,MATCH($K609,$K610:$K1200,0)))),IF(AND($Y609="change",$H609="EUR"),IF($O609=$O610,$R610,IF($O609=$O608,$R608)),IFERROR(INDEX($R610:$R1200,MATCH(SUBSTITUTE($I609,"-","",1),$K610:$K1200,0)))))</f>
        <v/>
      </c>
      <c r="S609" s="37" t="str">
        <f t="shared" si="1"/>
        <v/>
      </c>
      <c r="T609" s="39" t="str">
        <f t="shared" si="2"/>
        <v/>
      </c>
      <c r="U609" s="40" t="str">
        <f t="shared" si="3"/>
        <v/>
      </c>
      <c r="V609" s="34" t="str">
        <f t="shared" si="4"/>
        <v/>
      </c>
      <c r="W609" s="41" t="str">
        <f>IFERROR(__xludf.DUMMYFUNCTION(" IF(Account!$F609&lt;&gt;"""", SPLIT(Account!$F609, "" ""), """")"),"")</f>
        <v/>
      </c>
      <c r="X609" s="42"/>
      <c r="Y609" s="42"/>
      <c r="Z609" s="42"/>
      <c r="AA609" s="42"/>
      <c r="AB609" s="42"/>
      <c r="AC609" s="42"/>
      <c r="AD609" s="42"/>
      <c r="AE609" s="42"/>
      <c r="AF609" s="42"/>
      <c r="AG609" s="42"/>
      <c r="AH609" s="42"/>
      <c r="AI609" s="42"/>
      <c r="AJ609" s="42"/>
      <c r="AK609" s="42"/>
    </row>
    <row r="610">
      <c r="A610" s="20"/>
      <c r="B610" s="20"/>
      <c r="C610" s="20"/>
      <c r="D610" s="20"/>
      <c r="E610" s="20"/>
      <c r="F610" s="21"/>
      <c r="G610" s="45"/>
      <c r="H610" s="20"/>
      <c r="I610" s="20"/>
      <c r="J610" s="20"/>
      <c r="K610" s="20"/>
      <c r="L610" s="21"/>
      <c r="M610" s="33" t="str">
        <f>IFERROR(__xludf.DUMMYFUNCTION("IFS(W610=""Achat"",IFERROR(VALUE(X610),VALUE(REGEXREPLACE(T(X610),""[^0-9]"",""""))),W610=""Vente"",-IFERROR(VALUE(X610),VALUE(REGEXREPLACE(T(X610),""[^0-9]"",""""))),Y610=""Change"",0,Y610&lt;&gt;""Change"","""")"),"")</f>
        <v/>
      </c>
      <c r="N610" s="34" t="str">
        <f>IFERROR(__xludf.DUMMYFUNCTION("IF(Account!$F610&lt;&gt;"""", VALUE(REGEXREPLACE($I610, ""\,"", ""."")), """")"),"")</f>
        <v/>
      </c>
      <c r="O610" s="35" t="str">
        <f>IF(Account!$F610&lt;&gt;"", DATEVALUE(MID($A610,4,3) &amp; LEFT($A610,3) &amp; RIGHT($A610,4)) + TIMEVALUE($B610), "")</f>
        <v/>
      </c>
      <c r="P610" s="36" t="str">
        <f>IF(Account!$F610&lt;&gt;"", DATEVALUE(MID($C610,4,3) &amp; LEFT($C610,3) &amp; RIGHT($C610,4)), "")</f>
        <v/>
      </c>
      <c r="Q610" s="37" t="str">
        <f t="array" ref="Q610">IF($R610&lt;&gt;"",IFERROR(INDEX(ISIN!$B:$B,MATCH($R610,ISIN!$C:$C,0))),)</f>
        <v/>
      </c>
      <c r="R610" s="38" t="str">
        <f t="array" ref="R610">IF($E610&lt;&gt;"",IFERROR(INDEX(ISIN!$C:$C,MATCH($E610,ISIN!$A:$A,0)),IFERROR(INDEX($R611:$R1200,MATCH($K610,$K611:$K1200,0)))),IF(AND($Y610="change",$H610="EUR"),IF($O610=$O611,$R611,IF($O610=$O609,$R609)),IFERROR(INDEX($R611:$R1200,MATCH(SUBSTITUTE($I610,"-","",1),$K611:$K1200,0)))))</f>
        <v/>
      </c>
      <c r="S610" s="37" t="str">
        <f t="shared" si="1"/>
        <v/>
      </c>
      <c r="T610" s="39" t="str">
        <f t="shared" si="2"/>
        <v/>
      </c>
      <c r="U610" s="40" t="str">
        <f t="shared" si="3"/>
        <v/>
      </c>
      <c r="V610" s="34" t="str">
        <f t="shared" si="4"/>
        <v/>
      </c>
      <c r="W610" s="41" t="str">
        <f>IFERROR(__xludf.DUMMYFUNCTION(" IF(Account!$F610&lt;&gt;"""", SPLIT(Account!$F610, "" ""), """")"),"")</f>
        <v/>
      </c>
      <c r="X610" s="42"/>
      <c r="Y610" s="42"/>
      <c r="Z610" s="42"/>
      <c r="AA610" s="42"/>
      <c r="AB610" s="42"/>
      <c r="AC610" s="42"/>
      <c r="AD610" s="42"/>
      <c r="AE610" s="42"/>
      <c r="AF610" s="42"/>
      <c r="AG610" s="42"/>
      <c r="AH610" s="42"/>
      <c r="AI610" s="42"/>
      <c r="AJ610" s="42"/>
      <c r="AK610" s="42"/>
    </row>
    <row r="611">
      <c r="A611" s="20"/>
      <c r="B611" s="20"/>
      <c r="C611" s="20"/>
      <c r="D611" s="20"/>
      <c r="E611" s="20"/>
      <c r="F611" s="21"/>
      <c r="G611" s="20"/>
      <c r="H611" s="20"/>
      <c r="I611" s="20"/>
      <c r="J611" s="20"/>
      <c r="K611" s="20"/>
      <c r="L611" s="21"/>
      <c r="M611" s="33" t="str">
        <f>IFERROR(__xludf.DUMMYFUNCTION("IFS(W611=""Achat"",IFERROR(VALUE(X611),VALUE(REGEXREPLACE(T(X611),""[^0-9]"",""""))),W611=""Vente"",-IFERROR(VALUE(X611),VALUE(REGEXREPLACE(T(X611),""[^0-9]"",""""))),Y611=""Change"",0,Y611&lt;&gt;""Change"","""")"),"")</f>
        <v/>
      </c>
      <c r="N611" s="34" t="str">
        <f>IFERROR(__xludf.DUMMYFUNCTION("IF(Account!$F611&lt;&gt;"""", VALUE(REGEXREPLACE($I611, ""\,"", ""."")), """")"),"")</f>
        <v/>
      </c>
      <c r="O611" s="35" t="str">
        <f>IF(Account!$F611&lt;&gt;"", DATEVALUE(MID($A611,4,3) &amp; LEFT($A611,3) &amp; RIGHT($A611,4)) + TIMEVALUE($B611), "")</f>
        <v/>
      </c>
      <c r="P611" s="36" t="str">
        <f>IF(Account!$F611&lt;&gt;"", DATEVALUE(MID($C611,4,3) &amp; LEFT($C611,3) &amp; RIGHT($C611,4)), "")</f>
        <v/>
      </c>
      <c r="Q611" s="37" t="str">
        <f t="array" ref="Q611">IF($R611&lt;&gt;"",IFERROR(INDEX(ISIN!$B:$B,MATCH($R611,ISIN!$C:$C,0))),)</f>
        <v/>
      </c>
      <c r="R611" s="38" t="str">
        <f t="array" ref="R611">IF($E611&lt;&gt;"",IFERROR(INDEX(ISIN!$C:$C,MATCH($E611,ISIN!$A:$A,0)),IFERROR(INDEX($R612:$R1200,MATCH($K611,$K612:$K1200,0)))),IF(AND($Y611="change",$H611="EUR"),IF($O611=$O612,$R612,IF($O611=$O610,$R610)),IFERROR(INDEX($R612:$R1200,MATCH(SUBSTITUTE($I611,"-","",1),$K612:$K1200,0)))))</f>
        <v/>
      </c>
      <c r="S611" s="37" t="str">
        <f t="shared" si="1"/>
        <v/>
      </c>
      <c r="T611" s="39" t="str">
        <f t="shared" si="2"/>
        <v/>
      </c>
      <c r="U611" s="40" t="str">
        <f t="shared" si="3"/>
        <v/>
      </c>
      <c r="V611" s="34" t="str">
        <f t="shared" si="4"/>
        <v/>
      </c>
      <c r="W611" s="41" t="str">
        <f>IFERROR(__xludf.DUMMYFUNCTION(" IF(Account!$F611&lt;&gt;"""", SPLIT(Account!$F611, "" ""), """")"),"")</f>
        <v/>
      </c>
      <c r="X611" s="42"/>
      <c r="Y611" s="42"/>
      <c r="Z611" s="42"/>
      <c r="AA611" s="42"/>
      <c r="AB611" s="42"/>
      <c r="AC611" s="42"/>
      <c r="AD611" s="42"/>
      <c r="AE611" s="42"/>
      <c r="AF611" s="42"/>
      <c r="AG611" s="42"/>
      <c r="AH611" s="42"/>
      <c r="AI611" s="42"/>
      <c r="AJ611" s="42"/>
      <c r="AK611" s="42"/>
    </row>
    <row r="612">
      <c r="A612" s="20"/>
      <c r="B612" s="20"/>
      <c r="C612" s="20"/>
      <c r="D612" s="20"/>
      <c r="E612" s="20"/>
      <c r="F612" s="21"/>
      <c r="G612" s="45"/>
      <c r="H612" s="20"/>
      <c r="I612" s="20"/>
      <c r="J612" s="20"/>
      <c r="K612" s="20"/>
      <c r="L612" s="21"/>
      <c r="M612" s="33" t="str">
        <f>IFERROR(__xludf.DUMMYFUNCTION("IFS(W612=""Achat"",IFERROR(VALUE(X612),VALUE(REGEXREPLACE(T(X612),""[^0-9]"",""""))),W612=""Vente"",-IFERROR(VALUE(X612),VALUE(REGEXREPLACE(T(X612),""[^0-9]"",""""))),Y612=""Change"",0,Y612&lt;&gt;""Change"","""")"),"")</f>
        <v/>
      </c>
      <c r="N612" s="34" t="str">
        <f>IFERROR(__xludf.DUMMYFUNCTION("IF(Account!$F612&lt;&gt;"""", VALUE(REGEXREPLACE($I612, ""\,"", ""."")), """")"),"")</f>
        <v/>
      </c>
      <c r="O612" s="35" t="str">
        <f>IF(Account!$F612&lt;&gt;"", DATEVALUE(MID($A612,4,3) &amp; LEFT($A612,3) &amp; RIGHT($A612,4)) + TIMEVALUE($B612), "")</f>
        <v/>
      </c>
      <c r="P612" s="36" t="str">
        <f>IF(Account!$F612&lt;&gt;"", DATEVALUE(MID($C612,4,3) &amp; LEFT($C612,3) &amp; RIGHT($C612,4)), "")</f>
        <v/>
      </c>
      <c r="Q612" s="37" t="str">
        <f t="array" ref="Q612">IF($R612&lt;&gt;"",IFERROR(INDEX(ISIN!$B:$B,MATCH($R612,ISIN!$C:$C,0))),)</f>
        <v/>
      </c>
      <c r="R612" s="38" t="str">
        <f t="array" ref="R612">IF($E612&lt;&gt;"",IFERROR(INDEX(ISIN!$C:$C,MATCH($E612,ISIN!$A:$A,0)),IFERROR(INDEX($R613:$R1200,MATCH($K612,$K613:$K1200,0)))),IF(AND($Y612="change",$H612="EUR"),IF($O612=$O613,$R613,IF($O612=$O611,$R611)),IFERROR(INDEX($R613:$R1200,MATCH(SUBSTITUTE($I612,"-","",1),$K613:$K1200,0)))))</f>
        <v/>
      </c>
      <c r="S612" s="37" t="str">
        <f t="shared" si="1"/>
        <v/>
      </c>
      <c r="T612" s="39" t="str">
        <f t="shared" si="2"/>
        <v/>
      </c>
      <c r="U612" s="40" t="str">
        <f t="shared" si="3"/>
        <v/>
      </c>
      <c r="V612" s="34" t="str">
        <f t="shared" si="4"/>
        <v/>
      </c>
      <c r="W612" s="41" t="str">
        <f>IFERROR(__xludf.DUMMYFUNCTION(" IF(Account!$F612&lt;&gt;"""", SPLIT(Account!$F612, "" ""), """")"),"")</f>
        <v/>
      </c>
      <c r="X612" s="42"/>
      <c r="Y612" s="42"/>
      <c r="Z612" s="42"/>
      <c r="AA612" s="42"/>
      <c r="AB612" s="42"/>
      <c r="AC612" s="42"/>
      <c r="AD612" s="42"/>
      <c r="AE612" s="42"/>
      <c r="AF612" s="42"/>
      <c r="AG612" s="42"/>
      <c r="AH612" s="42"/>
      <c r="AI612" s="42"/>
      <c r="AJ612" s="42"/>
      <c r="AK612" s="42"/>
    </row>
    <row r="613">
      <c r="A613" s="20"/>
      <c r="B613" s="20"/>
      <c r="C613" s="20"/>
      <c r="D613" s="20"/>
      <c r="E613" s="20"/>
      <c r="F613" s="21"/>
      <c r="G613" s="45"/>
      <c r="H613" s="20"/>
      <c r="I613" s="20"/>
      <c r="J613" s="20"/>
      <c r="K613" s="20"/>
      <c r="L613" s="21"/>
      <c r="M613" s="33" t="str">
        <f>IFERROR(__xludf.DUMMYFUNCTION("IFS(W613=""Achat"",IFERROR(VALUE(X613),VALUE(REGEXREPLACE(T(X613),""[^0-9]"",""""))),W613=""Vente"",-IFERROR(VALUE(X613),VALUE(REGEXREPLACE(T(X613),""[^0-9]"",""""))),Y613=""Change"",0,Y613&lt;&gt;""Change"","""")"),"")</f>
        <v/>
      </c>
      <c r="N613" s="34" t="str">
        <f>IFERROR(__xludf.DUMMYFUNCTION("IF(Account!$F613&lt;&gt;"""", VALUE(REGEXREPLACE($I613, ""\,"", ""."")), """")"),"")</f>
        <v/>
      </c>
      <c r="O613" s="35" t="str">
        <f>IF(Account!$F613&lt;&gt;"", DATEVALUE(MID($A613,4,3) &amp; LEFT($A613,3) &amp; RIGHT($A613,4)) + TIMEVALUE($B613), "")</f>
        <v/>
      </c>
      <c r="P613" s="36" t="str">
        <f>IF(Account!$F613&lt;&gt;"", DATEVALUE(MID($C613,4,3) &amp; LEFT($C613,3) &amp; RIGHT($C613,4)), "")</f>
        <v/>
      </c>
      <c r="Q613" s="37" t="str">
        <f t="array" ref="Q613">IF($R613&lt;&gt;"",IFERROR(INDEX(ISIN!$B:$B,MATCH($R613,ISIN!$C:$C,0))),)</f>
        <v/>
      </c>
      <c r="R613" s="38" t="str">
        <f t="array" ref="R613">IF($E613&lt;&gt;"",IFERROR(INDEX(ISIN!$C:$C,MATCH($E613,ISIN!$A:$A,0)),IFERROR(INDEX($R614:$R1200,MATCH($K613,$K614:$K1200,0)))),IF(AND($Y613="change",$H613="EUR"),IF($O613=$O614,$R614,IF($O613=$O612,$R612)),IFERROR(INDEX($R614:$R1200,MATCH(SUBSTITUTE($I613,"-","",1),$K614:$K1200,0)))))</f>
        <v/>
      </c>
      <c r="S613" s="37" t="str">
        <f t="shared" si="1"/>
        <v/>
      </c>
      <c r="T613" s="39" t="str">
        <f t="shared" si="2"/>
        <v/>
      </c>
      <c r="U613" s="40" t="str">
        <f t="shared" si="3"/>
        <v/>
      </c>
      <c r="V613" s="34" t="str">
        <f t="shared" si="4"/>
        <v/>
      </c>
      <c r="W613" s="41" t="str">
        <f>IFERROR(__xludf.DUMMYFUNCTION(" IF(Account!$F613&lt;&gt;"""", SPLIT(Account!$F613, "" ""), """")"),"")</f>
        <v/>
      </c>
      <c r="X613" s="42"/>
      <c r="Y613" s="42"/>
      <c r="Z613" s="42"/>
      <c r="AA613" s="42"/>
      <c r="AB613" s="42"/>
      <c r="AC613" s="42"/>
      <c r="AD613" s="42"/>
      <c r="AE613" s="42"/>
      <c r="AF613" s="42"/>
      <c r="AG613" s="42"/>
      <c r="AH613" s="42"/>
      <c r="AI613" s="42"/>
      <c r="AJ613" s="42"/>
      <c r="AK613" s="42"/>
    </row>
    <row r="614">
      <c r="A614" s="45"/>
      <c r="B614" s="45"/>
      <c r="C614" s="45"/>
      <c r="D614" s="45"/>
      <c r="E614" s="45"/>
      <c r="F614" s="46"/>
      <c r="G614" s="45"/>
      <c r="H614" s="45"/>
      <c r="I614" s="45"/>
      <c r="J614" s="45"/>
      <c r="K614" s="45"/>
      <c r="L614" s="21"/>
      <c r="M614" s="33" t="str">
        <f>IFERROR(__xludf.DUMMYFUNCTION("IFS(W614=""Achat"",IFERROR(VALUE(X614),VALUE(REGEXREPLACE(T(X614),""[^0-9]"",""""))),W614=""Vente"",-IFERROR(VALUE(X614),VALUE(REGEXREPLACE(T(X614),""[^0-9]"",""""))),Y614=""Change"",0,Y614&lt;&gt;""Change"","""")"),"")</f>
        <v/>
      </c>
      <c r="N614" s="34" t="str">
        <f>IFERROR(__xludf.DUMMYFUNCTION("IF(Account!$F614&lt;&gt;"""", VALUE(REGEXREPLACE($I614, ""\,"", ""."")), """")"),"")</f>
        <v/>
      </c>
      <c r="O614" s="35" t="str">
        <f>IF(Account!$F614&lt;&gt;"", DATEVALUE(MID($A614,4,3) &amp; LEFT($A614,3) &amp; RIGHT($A614,4)) + TIMEVALUE($B614), "")</f>
        <v/>
      </c>
      <c r="P614" s="36" t="str">
        <f>IF(Account!$F614&lt;&gt;"", DATEVALUE(MID($C614,4,3) &amp; LEFT($C614,3) &amp; RIGHT($C614,4)), "")</f>
        <v/>
      </c>
      <c r="Q614" s="37" t="str">
        <f t="array" ref="Q614">IF($R614&lt;&gt;"",IFERROR(INDEX(ISIN!$B:$B,MATCH($R614,ISIN!$C:$C,0))),)</f>
        <v/>
      </c>
      <c r="R614" s="38" t="str">
        <f t="array" ref="R614">IF($E614&lt;&gt;"",IFERROR(INDEX(ISIN!$C:$C,MATCH($E614,ISIN!$A:$A,0)),IFERROR(INDEX($R615:$R1200,MATCH($K614,$K615:$K1200,0)))),IF(AND($Y614="change",$H614="EUR"),IF($O614=$O615,$R615,IF($O614=$O613,$R613)),IFERROR(INDEX($R615:$R1200,MATCH(SUBSTITUTE($I614,"-","",1),$K615:$K1200,0)))))</f>
        <v/>
      </c>
      <c r="S614" s="37" t="str">
        <f t="shared" si="1"/>
        <v/>
      </c>
      <c r="T614" s="39" t="str">
        <f t="shared" si="2"/>
        <v/>
      </c>
      <c r="U614" s="40" t="str">
        <f t="shared" si="3"/>
        <v/>
      </c>
      <c r="V614" s="34" t="str">
        <f t="shared" si="4"/>
        <v/>
      </c>
      <c r="W614" s="41" t="str">
        <f>IFERROR(__xludf.DUMMYFUNCTION(" IF(Account!$F614&lt;&gt;"""", SPLIT(Account!$F614, "" ""), """")"),"")</f>
        <v/>
      </c>
      <c r="X614" s="42"/>
      <c r="Y614" s="42"/>
      <c r="Z614" s="42"/>
      <c r="AA614" s="42"/>
      <c r="AB614" s="42"/>
      <c r="AC614" s="42"/>
      <c r="AD614" s="42"/>
      <c r="AE614" s="42"/>
      <c r="AF614" s="42"/>
      <c r="AG614" s="42"/>
      <c r="AH614" s="42"/>
      <c r="AI614" s="42"/>
      <c r="AJ614" s="42"/>
      <c r="AK614" s="42"/>
    </row>
    <row r="615">
      <c r="A615" s="20"/>
      <c r="B615" s="20"/>
      <c r="C615" s="20"/>
      <c r="D615" s="20"/>
      <c r="E615" s="20"/>
      <c r="F615" s="21"/>
      <c r="G615" s="45"/>
      <c r="H615" s="20"/>
      <c r="I615" s="20"/>
      <c r="J615" s="20"/>
      <c r="K615" s="20"/>
      <c r="L615" s="21"/>
      <c r="M615" s="33" t="str">
        <f>IFERROR(__xludf.DUMMYFUNCTION("IFS(W615=""Achat"",IFERROR(VALUE(X615),VALUE(REGEXREPLACE(T(X615),""[^0-9]"",""""))),W615=""Vente"",-IFERROR(VALUE(X615),VALUE(REGEXREPLACE(T(X615),""[^0-9]"",""""))),Y615=""Change"",0,Y615&lt;&gt;""Change"","""")"),"")</f>
        <v/>
      </c>
      <c r="N615" s="34" t="str">
        <f>IFERROR(__xludf.DUMMYFUNCTION("IF(Account!$F615&lt;&gt;"""", VALUE(REGEXREPLACE($I615, ""\,"", ""."")), """")"),"")</f>
        <v/>
      </c>
      <c r="O615" s="35" t="str">
        <f>IF(Account!$F615&lt;&gt;"", DATEVALUE(MID($A615,4,3) &amp; LEFT($A615,3) &amp; RIGHT($A615,4)) + TIMEVALUE($B615), "")</f>
        <v/>
      </c>
      <c r="P615" s="36" t="str">
        <f>IF(Account!$F615&lt;&gt;"", DATEVALUE(MID($C615,4,3) &amp; LEFT($C615,3) &amp; RIGHT($C615,4)), "")</f>
        <v/>
      </c>
      <c r="Q615" s="37" t="str">
        <f t="array" ref="Q615">IF($R615&lt;&gt;"",IFERROR(INDEX(ISIN!$B:$B,MATCH($R615,ISIN!$C:$C,0))),)</f>
        <v/>
      </c>
      <c r="R615" s="38" t="str">
        <f t="array" ref="R615">IF($E615&lt;&gt;"",IFERROR(INDEX(ISIN!$C:$C,MATCH($E615,ISIN!$A:$A,0)),IFERROR(INDEX($R616:$R1200,MATCH($K615,$K616:$K1200,0)))),IF(AND($Y615="change",$H615="EUR"),IF($O615=$O616,$R616,IF($O615=$O614,$R614)),IFERROR(INDEX($R616:$R1200,MATCH(SUBSTITUTE($I615,"-","",1),$K616:$K1200,0)))))</f>
        <v/>
      </c>
      <c r="S615" s="37" t="str">
        <f t="shared" si="1"/>
        <v/>
      </c>
      <c r="T615" s="39" t="str">
        <f t="shared" si="2"/>
        <v/>
      </c>
      <c r="U615" s="40" t="str">
        <f t="shared" si="3"/>
        <v/>
      </c>
      <c r="V615" s="34" t="str">
        <f t="shared" si="4"/>
        <v/>
      </c>
      <c r="W615" s="41" t="str">
        <f>IFERROR(__xludf.DUMMYFUNCTION(" IF(Account!$F615&lt;&gt;"""", SPLIT(Account!$F615, "" ""), """")"),"")</f>
        <v/>
      </c>
      <c r="X615" s="42"/>
      <c r="Y615" s="42"/>
      <c r="Z615" s="42"/>
      <c r="AA615" s="42"/>
      <c r="AB615" s="42"/>
      <c r="AC615" s="42"/>
      <c r="AD615" s="42"/>
      <c r="AE615" s="42"/>
      <c r="AF615" s="42"/>
      <c r="AG615" s="42"/>
      <c r="AH615" s="42"/>
      <c r="AI615" s="42"/>
      <c r="AJ615" s="42"/>
      <c r="AK615" s="42"/>
    </row>
    <row r="616">
      <c r="A616" s="20"/>
      <c r="B616" s="20"/>
      <c r="C616" s="20"/>
      <c r="D616" s="20"/>
      <c r="E616" s="20"/>
      <c r="F616" s="21"/>
      <c r="G616" s="45"/>
      <c r="H616" s="20"/>
      <c r="I616" s="20"/>
      <c r="J616" s="20"/>
      <c r="K616" s="20"/>
      <c r="L616" s="21"/>
      <c r="M616" s="33" t="str">
        <f>IFERROR(__xludf.DUMMYFUNCTION("IFS(W616=""Achat"",IFERROR(VALUE(X616),VALUE(REGEXREPLACE(T(X616),""[^0-9]"",""""))),W616=""Vente"",-IFERROR(VALUE(X616),VALUE(REGEXREPLACE(T(X616),""[^0-9]"",""""))),Y616=""Change"",0,Y616&lt;&gt;""Change"","""")"),"")</f>
        <v/>
      </c>
      <c r="N616" s="34" t="str">
        <f>IFERROR(__xludf.DUMMYFUNCTION("IF(Account!$F616&lt;&gt;"""", VALUE(REGEXREPLACE($I616, ""\,"", ""."")), """")"),"")</f>
        <v/>
      </c>
      <c r="O616" s="35" t="str">
        <f>IF(Account!$F616&lt;&gt;"", DATEVALUE(MID($A616,4,3) &amp; LEFT($A616,3) &amp; RIGHT($A616,4)) + TIMEVALUE($B616), "")</f>
        <v/>
      </c>
      <c r="P616" s="36" t="str">
        <f>IF(Account!$F616&lt;&gt;"", DATEVALUE(MID($C616,4,3) &amp; LEFT($C616,3) &amp; RIGHT($C616,4)), "")</f>
        <v/>
      </c>
      <c r="Q616" s="37" t="str">
        <f t="array" ref="Q616">IF($R616&lt;&gt;"",IFERROR(INDEX(ISIN!$B:$B,MATCH($R616,ISIN!$C:$C,0))),)</f>
        <v/>
      </c>
      <c r="R616" s="38" t="str">
        <f t="array" ref="R616">IF($E616&lt;&gt;"",IFERROR(INDEX(ISIN!$C:$C,MATCH($E616,ISIN!$A:$A,0)),IFERROR(INDEX($R617:$R1200,MATCH($K616,$K617:$K1200,0)))),IF(AND($Y616="change",$H616="EUR"),IF($O616=$O617,$R617,IF($O616=$O615,$R615)),IFERROR(INDEX($R617:$R1200,MATCH(SUBSTITUTE($I616,"-","",1),$K617:$K1200,0)))))</f>
        <v/>
      </c>
      <c r="S616" s="37" t="str">
        <f t="shared" si="1"/>
        <v/>
      </c>
      <c r="T616" s="39" t="str">
        <f t="shared" si="2"/>
        <v/>
      </c>
      <c r="U616" s="40" t="str">
        <f t="shared" si="3"/>
        <v/>
      </c>
      <c r="V616" s="34" t="str">
        <f t="shared" si="4"/>
        <v/>
      </c>
      <c r="W616" s="41" t="str">
        <f>IFERROR(__xludf.DUMMYFUNCTION(" IF(Account!$F616&lt;&gt;"""", SPLIT(Account!$F616, "" ""), """")"),"")</f>
        <v/>
      </c>
      <c r="X616" s="42"/>
      <c r="Y616" s="42"/>
      <c r="Z616" s="42"/>
      <c r="AA616" s="42"/>
      <c r="AB616" s="42"/>
      <c r="AC616" s="42"/>
      <c r="AD616" s="42"/>
      <c r="AE616" s="42"/>
      <c r="AF616" s="42"/>
      <c r="AG616" s="42"/>
      <c r="AH616" s="42"/>
      <c r="AI616" s="42"/>
      <c r="AJ616" s="42"/>
      <c r="AK616" s="42"/>
    </row>
    <row r="617">
      <c r="A617" s="20"/>
      <c r="B617" s="20"/>
      <c r="C617" s="20"/>
      <c r="D617" s="45"/>
      <c r="E617" s="45"/>
      <c r="F617" s="21"/>
      <c r="G617" s="45"/>
      <c r="H617" s="20"/>
      <c r="I617" s="20"/>
      <c r="J617" s="20"/>
      <c r="K617" s="20"/>
      <c r="L617" s="46"/>
      <c r="M617" s="33" t="str">
        <f>IFERROR(__xludf.DUMMYFUNCTION("IFS(W617=""Achat"",IFERROR(VALUE(X617),VALUE(REGEXREPLACE(T(X617),""[^0-9]"",""""))),W617=""Vente"",-IFERROR(VALUE(X617),VALUE(REGEXREPLACE(T(X617),""[^0-9]"",""""))),Y617=""Change"",0,Y617&lt;&gt;""Change"","""")"),"")</f>
        <v/>
      </c>
      <c r="N617" s="34" t="str">
        <f>IFERROR(__xludf.DUMMYFUNCTION("IF(Account!$F617&lt;&gt;"""", VALUE(REGEXREPLACE($I617, ""\,"", ""."")), """")"),"")</f>
        <v/>
      </c>
      <c r="O617" s="35" t="str">
        <f>IF(Account!$F617&lt;&gt;"", DATEVALUE(MID($A617,4,3) &amp; LEFT($A617,3) &amp; RIGHT($A617,4)) + TIMEVALUE($B617), "")</f>
        <v/>
      </c>
      <c r="P617" s="36" t="str">
        <f>IF(Account!$F617&lt;&gt;"", DATEVALUE(MID($C617,4,3) &amp; LEFT($C617,3) &amp; RIGHT($C617,4)), "")</f>
        <v/>
      </c>
      <c r="Q617" s="37" t="str">
        <f t="array" ref="Q617">IF($R617&lt;&gt;"",IFERROR(INDEX(ISIN!$B:$B,MATCH($R617,ISIN!$C:$C,0))),)</f>
        <v/>
      </c>
      <c r="R617" s="38" t="str">
        <f t="array" ref="R617">IF($E617&lt;&gt;"",IFERROR(INDEX(ISIN!$C:$C,MATCH($E617,ISIN!$A:$A,0)),IFERROR(INDEX($R618:$R1200,MATCH($K617,$K618:$K1200,0)))),IF(AND($Y617="change",$H617="EUR"),IF($O617=$O618,$R618,IF($O617=$O616,$R616)),IFERROR(INDEX($R618:$R1200,MATCH(SUBSTITUTE($I617,"-","",1),$K618:$K1200,0)))))</f>
        <v/>
      </c>
      <c r="S617" s="37" t="str">
        <f t="shared" si="1"/>
        <v/>
      </c>
      <c r="T617" s="39" t="str">
        <f t="shared" si="2"/>
        <v/>
      </c>
      <c r="U617" s="40" t="str">
        <f t="shared" si="3"/>
        <v/>
      </c>
      <c r="V617" s="34" t="str">
        <f t="shared" si="4"/>
        <v/>
      </c>
      <c r="W617" s="41" t="str">
        <f>IFERROR(__xludf.DUMMYFUNCTION(" IF(Account!$F617&lt;&gt;"""", SPLIT(Account!$F617, "" ""), """")"),"")</f>
        <v/>
      </c>
      <c r="X617" s="42"/>
      <c r="Y617" s="42"/>
      <c r="Z617" s="42"/>
      <c r="AA617" s="42"/>
      <c r="AB617" s="42"/>
      <c r="AC617" s="42"/>
      <c r="AD617" s="42"/>
      <c r="AE617" s="42"/>
      <c r="AF617" s="42"/>
      <c r="AG617" s="42"/>
      <c r="AH617" s="42"/>
      <c r="AI617" s="42"/>
      <c r="AJ617" s="42"/>
      <c r="AK617" s="42"/>
    </row>
    <row r="618">
      <c r="A618" s="20"/>
      <c r="B618" s="20"/>
      <c r="C618" s="20"/>
      <c r="D618" s="45"/>
      <c r="E618" s="45"/>
      <c r="F618" s="21"/>
      <c r="G618" s="20"/>
      <c r="H618" s="20"/>
      <c r="I618" s="20"/>
      <c r="J618" s="20"/>
      <c r="K618" s="20"/>
      <c r="L618" s="46"/>
      <c r="M618" s="33" t="str">
        <f>IFERROR(__xludf.DUMMYFUNCTION("IFS(W618=""Achat"",IFERROR(VALUE(X618),VALUE(REGEXREPLACE(T(X618),""[^0-9]"",""""))),W618=""Vente"",-IFERROR(VALUE(X618),VALUE(REGEXREPLACE(T(X618),""[^0-9]"",""""))),Y618=""Change"",0,Y618&lt;&gt;""Change"","""")"),"")</f>
        <v/>
      </c>
      <c r="N618" s="34" t="str">
        <f>IFERROR(__xludf.DUMMYFUNCTION("IF(Account!$F618&lt;&gt;"""", VALUE(REGEXREPLACE($I618, ""\,"", ""."")), """")"),"")</f>
        <v/>
      </c>
      <c r="O618" s="35" t="str">
        <f>IF(Account!$F618&lt;&gt;"", DATEVALUE(MID($A618,4,3) &amp; LEFT($A618,3) &amp; RIGHT($A618,4)) + TIMEVALUE($B618), "")</f>
        <v/>
      </c>
      <c r="P618" s="36" t="str">
        <f>IF(Account!$F618&lt;&gt;"", DATEVALUE(MID($C618,4,3) &amp; LEFT($C618,3) &amp; RIGHT($C618,4)), "")</f>
        <v/>
      </c>
      <c r="Q618" s="37" t="str">
        <f t="array" ref="Q618">IF($R618&lt;&gt;"",IFERROR(INDEX(ISIN!$B:$B,MATCH($R618,ISIN!$C:$C,0))),)</f>
        <v/>
      </c>
      <c r="R618" s="38" t="str">
        <f t="array" ref="R618">IF($E618&lt;&gt;"",IFERROR(INDEX(ISIN!$C:$C,MATCH($E618,ISIN!$A:$A,0)),IFERROR(INDEX($R619:$R1200,MATCH($K618,$K619:$K1200,0)))),IF(AND($Y618="change",$H618="EUR"),IF($O618=$O619,$R619,IF($O618=$O617,$R617)),IFERROR(INDEX($R619:$R1200,MATCH(SUBSTITUTE($I618,"-","",1),$K619:$K1200,0)))))</f>
        <v/>
      </c>
      <c r="S618" s="37" t="str">
        <f t="shared" si="1"/>
        <v/>
      </c>
      <c r="T618" s="39" t="str">
        <f t="shared" si="2"/>
        <v/>
      </c>
      <c r="U618" s="40" t="str">
        <f t="shared" si="3"/>
        <v/>
      </c>
      <c r="V618" s="34" t="str">
        <f t="shared" si="4"/>
        <v/>
      </c>
      <c r="W618" s="41" t="str">
        <f>IFERROR(__xludf.DUMMYFUNCTION(" IF(Account!$F618&lt;&gt;"""", SPLIT(Account!$F618, "" ""), """")"),"")</f>
        <v/>
      </c>
      <c r="X618" s="42"/>
      <c r="Y618" s="42"/>
      <c r="Z618" s="42"/>
      <c r="AA618" s="42"/>
      <c r="AB618" s="42"/>
      <c r="AC618" s="42"/>
      <c r="AD618" s="42"/>
      <c r="AE618" s="42"/>
      <c r="AF618" s="42"/>
      <c r="AG618" s="42"/>
      <c r="AH618" s="42"/>
      <c r="AI618" s="42"/>
      <c r="AJ618" s="42"/>
      <c r="AK618" s="42"/>
    </row>
    <row r="619">
      <c r="A619" s="20"/>
      <c r="B619" s="20"/>
      <c r="C619" s="20"/>
      <c r="D619" s="20"/>
      <c r="E619" s="20"/>
      <c r="F619" s="21"/>
      <c r="G619" s="45"/>
      <c r="H619" s="20"/>
      <c r="I619" s="20"/>
      <c r="J619" s="20"/>
      <c r="K619" s="20"/>
      <c r="L619" s="46"/>
      <c r="M619" s="33" t="str">
        <f>IFERROR(__xludf.DUMMYFUNCTION("IFS(W619=""Achat"",IFERROR(VALUE(X619),VALUE(REGEXREPLACE(T(X619),""[^0-9]"",""""))),W619=""Vente"",-IFERROR(VALUE(X619),VALUE(REGEXREPLACE(T(X619),""[^0-9]"",""""))),Y619=""Change"",0,Y619&lt;&gt;""Change"","""")"),"")</f>
        <v/>
      </c>
      <c r="N619" s="34" t="str">
        <f>IFERROR(__xludf.DUMMYFUNCTION("IF(Account!$F619&lt;&gt;"""", VALUE(REGEXREPLACE($I619, ""\,"", ""."")), """")"),"")</f>
        <v/>
      </c>
      <c r="O619" s="35" t="str">
        <f>IF(Account!$F619&lt;&gt;"", DATEVALUE(MID($A619,4,3) &amp; LEFT($A619,3) &amp; RIGHT($A619,4)) + TIMEVALUE($B619), "")</f>
        <v/>
      </c>
      <c r="P619" s="36" t="str">
        <f>IF(Account!$F619&lt;&gt;"", DATEVALUE(MID($C619,4,3) &amp; LEFT($C619,3) &amp; RIGHT($C619,4)), "")</f>
        <v/>
      </c>
      <c r="Q619" s="37" t="str">
        <f t="array" ref="Q619">IF($R619&lt;&gt;"",IFERROR(INDEX(ISIN!$B:$B,MATCH($R619,ISIN!$C:$C,0))),)</f>
        <v/>
      </c>
      <c r="R619" s="38" t="str">
        <f t="array" ref="R619">IF($E619&lt;&gt;"",IFERROR(INDEX(ISIN!$C:$C,MATCH($E619,ISIN!$A:$A,0)),IFERROR(INDEX($R620:$R1200,MATCH($K619,$K620:$K1200,0)))),IF(AND($Y619="change",$H619="EUR"),IF($O619=$O620,$R620,IF($O619=$O618,$R618)),IFERROR(INDEX($R620:$R1200,MATCH(SUBSTITUTE($I619,"-","",1),$K620:$K1200,0)))))</f>
        <v/>
      </c>
      <c r="S619" s="37" t="str">
        <f t="shared" si="1"/>
        <v/>
      </c>
      <c r="T619" s="39" t="str">
        <f t="shared" si="2"/>
        <v/>
      </c>
      <c r="U619" s="40" t="str">
        <f t="shared" si="3"/>
        <v/>
      </c>
      <c r="V619" s="34" t="str">
        <f t="shared" si="4"/>
        <v/>
      </c>
      <c r="W619" s="41" t="str">
        <f>IFERROR(__xludf.DUMMYFUNCTION(" IF(Account!$F619&lt;&gt;"""", SPLIT(Account!$F619, "" ""), """")"),"")</f>
        <v/>
      </c>
      <c r="X619" s="42"/>
      <c r="Y619" s="42"/>
      <c r="Z619" s="42"/>
      <c r="AA619" s="42"/>
      <c r="AB619" s="42"/>
      <c r="AC619" s="42"/>
      <c r="AD619" s="42"/>
      <c r="AE619" s="42"/>
      <c r="AF619" s="42"/>
      <c r="AG619" s="42"/>
      <c r="AH619" s="42"/>
      <c r="AI619" s="42"/>
      <c r="AJ619" s="42"/>
      <c r="AK619" s="42"/>
    </row>
    <row r="620">
      <c r="A620" s="20"/>
      <c r="B620" s="20"/>
      <c r="C620" s="20"/>
      <c r="D620" s="45"/>
      <c r="E620" s="45"/>
      <c r="F620" s="21"/>
      <c r="G620" s="45"/>
      <c r="H620" s="20"/>
      <c r="I620" s="20"/>
      <c r="J620" s="20"/>
      <c r="K620" s="20"/>
      <c r="L620" s="46"/>
      <c r="M620" s="33" t="str">
        <f>IFERROR(__xludf.DUMMYFUNCTION("IFS(W620=""Achat"",IFERROR(VALUE(X620),VALUE(REGEXREPLACE(T(X620),""[^0-9]"",""""))),W620=""Vente"",-IFERROR(VALUE(X620),VALUE(REGEXREPLACE(T(X620),""[^0-9]"",""""))),Y620=""Change"",0,Y620&lt;&gt;""Change"","""")"),"")</f>
        <v/>
      </c>
      <c r="N620" s="34" t="str">
        <f>IFERROR(__xludf.DUMMYFUNCTION("IF(Account!$F620&lt;&gt;"""", VALUE(REGEXREPLACE($I620, ""\,"", ""."")), """")"),"")</f>
        <v/>
      </c>
      <c r="O620" s="35" t="str">
        <f>IF(Account!$F620&lt;&gt;"", DATEVALUE(MID($A620,4,3) &amp; LEFT($A620,3) &amp; RIGHT($A620,4)) + TIMEVALUE($B620), "")</f>
        <v/>
      </c>
      <c r="P620" s="36" t="str">
        <f>IF(Account!$F620&lt;&gt;"", DATEVALUE(MID($C620,4,3) &amp; LEFT($C620,3) &amp; RIGHT($C620,4)), "")</f>
        <v/>
      </c>
      <c r="Q620" s="37" t="str">
        <f t="array" ref="Q620">IF($R620&lt;&gt;"",IFERROR(INDEX(ISIN!$B:$B,MATCH($R620,ISIN!$C:$C,0))),)</f>
        <v/>
      </c>
      <c r="R620" s="38" t="str">
        <f t="array" ref="R620">IF($E620&lt;&gt;"",IFERROR(INDEX(ISIN!$C:$C,MATCH($E620,ISIN!$A:$A,0)),IFERROR(INDEX($R621:$R1200,MATCH($K620,$K621:$K1200,0)))),IF(AND($Y620="change",$H620="EUR"),IF($O620=$O621,$R621,IF($O620=$O619,$R619)),IFERROR(INDEX($R621:$R1200,MATCH(SUBSTITUTE($I620,"-","",1),$K621:$K1200,0)))))</f>
        <v/>
      </c>
      <c r="S620" s="37" t="str">
        <f t="shared" si="1"/>
        <v/>
      </c>
      <c r="T620" s="39" t="str">
        <f t="shared" si="2"/>
        <v/>
      </c>
      <c r="U620" s="40" t="str">
        <f t="shared" si="3"/>
        <v/>
      </c>
      <c r="V620" s="34" t="str">
        <f t="shared" si="4"/>
        <v/>
      </c>
      <c r="W620" s="41" t="str">
        <f>IFERROR(__xludf.DUMMYFUNCTION(" IF(Account!$F620&lt;&gt;"""", SPLIT(Account!$F620, "" ""), """")"),"")</f>
        <v/>
      </c>
      <c r="X620" s="42"/>
      <c r="Y620" s="42"/>
      <c r="Z620" s="42"/>
      <c r="AA620" s="42"/>
      <c r="AB620" s="42"/>
      <c r="AC620" s="42"/>
      <c r="AD620" s="42"/>
      <c r="AE620" s="42"/>
      <c r="AF620" s="42"/>
      <c r="AG620" s="42"/>
      <c r="AH620" s="42"/>
      <c r="AI620" s="42"/>
      <c r="AJ620" s="42"/>
      <c r="AK620" s="42"/>
    </row>
    <row r="621">
      <c r="A621" s="20"/>
      <c r="B621" s="20"/>
      <c r="C621" s="20"/>
      <c r="D621" s="45"/>
      <c r="E621" s="45"/>
      <c r="F621" s="21"/>
      <c r="G621" s="20"/>
      <c r="H621" s="20"/>
      <c r="I621" s="20"/>
      <c r="J621" s="20"/>
      <c r="K621" s="20"/>
      <c r="L621" s="46"/>
      <c r="M621" s="33" t="str">
        <f>IFERROR(__xludf.DUMMYFUNCTION("IFS(W621=""Achat"",IFERROR(VALUE(X621),VALUE(REGEXREPLACE(T(X621),""[^0-9]"",""""))),W621=""Vente"",-IFERROR(VALUE(X621),VALUE(REGEXREPLACE(T(X621),""[^0-9]"",""""))),Y621=""Change"",0,Y621&lt;&gt;""Change"","""")"),"")</f>
        <v/>
      </c>
      <c r="N621" s="34" t="str">
        <f>IFERROR(__xludf.DUMMYFUNCTION("IF(Account!$F621&lt;&gt;"""", VALUE(REGEXREPLACE($I621, ""\,"", ""."")), """")"),"")</f>
        <v/>
      </c>
      <c r="O621" s="35" t="str">
        <f>IF(Account!$F621&lt;&gt;"", DATEVALUE(MID($A621,4,3) &amp; LEFT($A621,3) &amp; RIGHT($A621,4)) + TIMEVALUE($B621), "")</f>
        <v/>
      </c>
      <c r="P621" s="36" t="str">
        <f>IF(Account!$F621&lt;&gt;"", DATEVALUE(MID($C621,4,3) &amp; LEFT($C621,3) &amp; RIGHT($C621,4)), "")</f>
        <v/>
      </c>
      <c r="Q621" s="37" t="str">
        <f t="array" ref="Q621">IF($R621&lt;&gt;"",IFERROR(INDEX(ISIN!$B:$B,MATCH($R621,ISIN!$C:$C,0))),)</f>
        <v/>
      </c>
      <c r="R621" s="38" t="str">
        <f t="array" ref="R621">IF($E621&lt;&gt;"",IFERROR(INDEX(ISIN!$C:$C,MATCH($E621,ISIN!$A:$A,0)),IFERROR(INDEX($R622:$R1200,MATCH($K621,$K622:$K1200,0)))),IF(AND($Y621="change",$H621="EUR"),IF($O621=$O622,$R622,IF($O621=$O620,$R620)),IFERROR(INDEX($R622:$R1200,MATCH(SUBSTITUTE($I621,"-","",1),$K622:$K1200,0)))))</f>
        <v/>
      </c>
      <c r="S621" s="37" t="str">
        <f t="shared" si="1"/>
        <v/>
      </c>
      <c r="T621" s="39" t="str">
        <f t="shared" si="2"/>
        <v/>
      </c>
      <c r="U621" s="40" t="str">
        <f t="shared" si="3"/>
        <v/>
      </c>
      <c r="V621" s="34" t="str">
        <f t="shared" si="4"/>
        <v/>
      </c>
      <c r="W621" s="41" t="str">
        <f>IFERROR(__xludf.DUMMYFUNCTION(" IF(Account!$F621&lt;&gt;"""", SPLIT(Account!$F621, "" ""), """")"),"")</f>
        <v/>
      </c>
      <c r="X621" s="42"/>
      <c r="Y621" s="42"/>
      <c r="Z621" s="42"/>
      <c r="AA621" s="42"/>
      <c r="AB621" s="42"/>
      <c r="AC621" s="42"/>
      <c r="AD621" s="42"/>
      <c r="AE621" s="42"/>
      <c r="AF621" s="42"/>
      <c r="AG621" s="42"/>
      <c r="AH621" s="42"/>
      <c r="AI621" s="42"/>
      <c r="AJ621" s="42"/>
      <c r="AK621" s="42"/>
    </row>
    <row r="622">
      <c r="A622" s="20"/>
      <c r="B622" s="20"/>
      <c r="C622" s="20"/>
      <c r="D622" s="20"/>
      <c r="E622" s="20"/>
      <c r="F622" s="21"/>
      <c r="G622" s="45"/>
      <c r="H622" s="20"/>
      <c r="I622" s="20"/>
      <c r="J622" s="20"/>
      <c r="K622" s="20"/>
      <c r="L622" s="46"/>
      <c r="M622" s="33" t="str">
        <f>IFERROR(__xludf.DUMMYFUNCTION("IFS(W622=""Achat"",IFERROR(VALUE(X622),VALUE(REGEXREPLACE(T(X622),""[^0-9]"",""""))),W622=""Vente"",-IFERROR(VALUE(X622),VALUE(REGEXREPLACE(T(X622),""[^0-9]"",""""))),Y622=""Change"",0,Y622&lt;&gt;""Change"","""")"),"")</f>
        <v/>
      </c>
      <c r="N622" s="34" t="str">
        <f>IFERROR(__xludf.DUMMYFUNCTION("IF(Account!$F622&lt;&gt;"""", VALUE(REGEXREPLACE($I622, ""\,"", ""."")), """")"),"")</f>
        <v/>
      </c>
      <c r="O622" s="35" t="str">
        <f>IF(Account!$F622&lt;&gt;"", DATEVALUE(MID($A622,4,3) &amp; LEFT($A622,3) &amp; RIGHT($A622,4)) + TIMEVALUE($B622), "")</f>
        <v/>
      </c>
      <c r="P622" s="36" t="str">
        <f>IF(Account!$F622&lt;&gt;"", DATEVALUE(MID($C622,4,3) &amp; LEFT($C622,3) &amp; RIGHT($C622,4)), "")</f>
        <v/>
      </c>
      <c r="Q622" s="37" t="str">
        <f t="array" ref="Q622">IF($R622&lt;&gt;"",IFERROR(INDEX(ISIN!$B:$B,MATCH($R622,ISIN!$C:$C,0))),)</f>
        <v/>
      </c>
      <c r="R622" s="38" t="str">
        <f t="array" ref="R622">IF($E622&lt;&gt;"",IFERROR(INDEX(ISIN!$C:$C,MATCH($E622,ISIN!$A:$A,0)),IFERROR(INDEX($R623:$R1200,MATCH($K622,$K623:$K1200,0)))),IF(AND($Y622="change",$H622="EUR"),IF($O622=$O623,$R623,IF($O622=$O621,$R621)),IFERROR(INDEX($R623:$R1200,MATCH(SUBSTITUTE($I622,"-","",1),$K623:$K1200,0)))))</f>
        <v/>
      </c>
      <c r="S622" s="37" t="str">
        <f t="shared" si="1"/>
        <v/>
      </c>
      <c r="T622" s="39" t="str">
        <f t="shared" si="2"/>
        <v/>
      </c>
      <c r="U622" s="40" t="str">
        <f t="shared" si="3"/>
        <v/>
      </c>
      <c r="V622" s="34" t="str">
        <f t="shared" si="4"/>
        <v/>
      </c>
      <c r="W622" s="41" t="str">
        <f>IFERROR(__xludf.DUMMYFUNCTION(" IF(Account!$F622&lt;&gt;"""", SPLIT(Account!$F622, "" ""), """")"),"")</f>
        <v/>
      </c>
      <c r="X622" s="42"/>
      <c r="Y622" s="42"/>
      <c r="Z622" s="42"/>
      <c r="AA622" s="42"/>
      <c r="AB622" s="42"/>
      <c r="AC622" s="42"/>
      <c r="AD622" s="42"/>
      <c r="AE622" s="42"/>
      <c r="AF622" s="42"/>
      <c r="AG622" s="42"/>
      <c r="AH622" s="42"/>
      <c r="AI622" s="42"/>
      <c r="AJ622" s="42"/>
      <c r="AK622" s="42"/>
    </row>
    <row r="623">
      <c r="A623" s="20"/>
      <c r="B623" s="20"/>
      <c r="C623" s="20"/>
      <c r="D623" s="20"/>
      <c r="E623" s="20"/>
      <c r="F623" s="21"/>
      <c r="G623" s="45"/>
      <c r="H623" s="20"/>
      <c r="I623" s="20"/>
      <c r="J623" s="20"/>
      <c r="K623" s="20"/>
      <c r="L623" s="46"/>
      <c r="M623" s="33" t="str">
        <f>IFERROR(__xludf.DUMMYFUNCTION("IFS(W623=""Achat"",IFERROR(VALUE(X623),VALUE(REGEXREPLACE(T(X623),""[^0-9]"",""""))),W623=""Vente"",-IFERROR(VALUE(X623),VALUE(REGEXREPLACE(T(X623),""[^0-9]"",""""))),Y623=""Change"",0,Y623&lt;&gt;""Change"","""")"),"")</f>
        <v/>
      </c>
      <c r="N623" s="34" t="str">
        <f>IFERROR(__xludf.DUMMYFUNCTION("IF(Account!$F623&lt;&gt;"""", VALUE(REGEXREPLACE($I623, ""\,"", ""."")), """")"),"")</f>
        <v/>
      </c>
      <c r="O623" s="35" t="str">
        <f>IF(Account!$F623&lt;&gt;"", DATEVALUE(MID($A623,4,3) &amp; LEFT($A623,3) &amp; RIGHT($A623,4)) + TIMEVALUE($B623), "")</f>
        <v/>
      </c>
      <c r="P623" s="36" t="str">
        <f>IF(Account!$F623&lt;&gt;"", DATEVALUE(MID($C623,4,3) &amp; LEFT($C623,3) &amp; RIGHT($C623,4)), "")</f>
        <v/>
      </c>
      <c r="Q623" s="37" t="str">
        <f t="array" ref="Q623">IF($R623&lt;&gt;"",IFERROR(INDEX(ISIN!$B:$B,MATCH($R623,ISIN!$C:$C,0))),)</f>
        <v/>
      </c>
      <c r="R623" s="38" t="str">
        <f t="array" ref="R623">IF($E623&lt;&gt;"",IFERROR(INDEX(ISIN!$C:$C,MATCH($E623,ISIN!$A:$A,0)),IFERROR(INDEX($R624:$R1200,MATCH($K623,$K624:$K1200,0)))),IF(AND($Y623="change",$H623="EUR"),IF($O623=$O624,$R624,IF($O623=$O622,$R622)),IFERROR(INDEX($R624:$R1200,MATCH(SUBSTITUTE($I623,"-","",1),$K624:$K1200,0)))))</f>
        <v/>
      </c>
      <c r="S623" s="37" t="str">
        <f t="shared" si="1"/>
        <v/>
      </c>
      <c r="T623" s="39" t="str">
        <f t="shared" si="2"/>
        <v/>
      </c>
      <c r="U623" s="40" t="str">
        <f t="shared" si="3"/>
        <v/>
      </c>
      <c r="V623" s="34" t="str">
        <f t="shared" si="4"/>
        <v/>
      </c>
      <c r="W623" s="41" t="str">
        <f>IFERROR(__xludf.DUMMYFUNCTION(" IF(Account!$F623&lt;&gt;"""", SPLIT(Account!$F623, "" ""), """")"),"")</f>
        <v/>
      </c>
      <c r="X623" s="42"/>
      <c r="Y623" s="42"/>
      <c r="Z623" s="42"/>
      <c r="AA623" s="42"/>
      <c r="AB623" s="42"/>
      <c r="AC623" s="42"/>
      <c r="AD623" s="42"/>
      <c r="AE623" s="42"/>
      <c r="AF623" s="42"/>
      <c r="AG623" s="42"/>
      <c r="AH623" s="42"/>
      <c r="AI623" s="42"/>
      <c r="AJ623" s="42"/>
      <c r="AK623" s="42"/>
    </row>
    <row r="624">
      <c r="A624" s="20"/>
      <c r="B624" s="20"/>
      <c r="C624" s="20"/>
      <c r="D624" s="20"/>
      <c r="E624" s="20"/>
      <c r="F624" s="21"/>
      <c r="G624" s="45"/>
      <c r="H624" s="20"/>
      <c r="I624" s="20"/>
      <c r="J624" s="20"/>
      <c r="K624" s="20"/>
      <c r="L624" s="21"/>
      <c r="M624" s="33" t="str">
        <f>IFERROR(__xludf.DUMMYFUNCTION("IFS(W624=""Achat"",IFERROR(VALUE(X624),VALUE(REGEXREPLACE(T(X624),""[^0-9]"",""""))),W624=""Vente"",-IFERROR(VALUE(X624),VALUE(REGEXREPLACE(T(X624),""[^0-9]"",""""))),Y624=""Change"",0,Y624&lt;&gt;""Change"","""")"),"")</f>
        <v/>
      </c>
      <c r="N624" s="34" t="str">
        <f>IFERROR(__xludf.DUMMYFUNCTION("IF(Account!$F624&lt;&gt;"""", VALUE(REGEXREPLACE($I624, ""\,"", ""."")), """")"),"")</f>
        <v/>
      </c>
      <c r="O624" s="35" t="str">
        <f>IF(Account!$F624&lt;&gt;"", DATEVALUE(MID($A624,4,3) &amp; LEFT($A624,3) &amp; RIGHT($A624,4)) + TIMEVALUE($B624), "")</f>
        <v/>
      </c>
      <c r="P624" s="36" t="str">
        <f>IF(Account!$F624&lt;&gt;"", DATEVALUE(MID($C624,4,3) &amp; LEFT($C624,3) &amp; RIGHT($C624,4)), "")</f>
        <v/>
      </c>
      <c r="Q624" s="37" t="str">
        <f t="array" ref="Q624">IF($R624&lt;&gt;"",IFERROR(INDEX(ISIN!$B:$B,MATCH($R624,ISIN!$C:$C,0))),)</f>
        <v/>
      </c>
      <c r="R624" s="38" t="str">
        <f t="array" ref="R624">IF($E624&lt;&gt;"",IFERROR(INDEX(ISIN!$C:$C,MATCH($E624,ISIN!$A:$A,0)),IFERROR(INDEX($R625:$R1200,MATCH($K624,$K625:$K1200,0)))),IF(AND($Y624="change",$H624="EUR"),IF($O624=$O625,$R625,IF($O624=$O623,$R623)),IFERROR(INDEX($R625:$R1200,MATCH(SUBSTITUTE($I624,"-","",1),$K625:$K1200,0)))))</f>
        <v/>
      </c>
      <c r="S624" s="37" t="str">
        <f t="shared" si="1"/>
        <v/>
      </c>
      <c r="T624" s="39" t="str">
        <f t="shared" si="2"/>
        <v/>
      </c>
      <c r="U624" s="40" t="str">
        <f t="shared" si="3"/>
        <v/>
      </c>
      <c r="V624" s="34" t="str">
        <f t="shared" si="4"/>
        <v/>
      </c>
      <c r="W624" s="41" t="str">
        <f>IFERROR(__xludf.DUMMYFUNCTION(" IF(Account!$F624&lt;&gt;"""", SPLIT(Account!$F624, "" ""), """")"),"")</f>
        <v/>
      </c>
      <c r="X624" s="42"/>
      <c r="Y624" s="42"/>
      <c r="Z624" s="42"/>
      <c r="AA624" s="42"/>
      <c r="AB624" s="42"/>
      <c r="AC624" s="42"/>
      <c r="AD624" s="42"/>
      <c r="AE624" s="42"/>
      <c r="AF624" s="42"/>
      <c r="AG624" s="42"/>
      <c r="AH624" s="42"/>
      <c r="AI624" s="42"/>
      <c r="AJ624" s="42"/>
      <c r="AK624" s="42"/>
    </row>
    <row r="625">
      <c r="A625" s="20"/>
      <c r="B625" s="20"/>
      <c r="C625" s="20"/>
      <c r="D625" s="20"/>
      <c r="E625" s="20"/>
      <c r="F625" s="21"/>
      <c r="G625" s="45"/>
      <c r="H625" s="20"/>
      <c r="I625" s="20"/>
      <c r="J625" s="20"/>
      <c r="K625" s="20"/>
      <c r="L625" s="21"/>
      <c r="M625" s="33" t="str">
        <f>IFERROR(__xludf.DUMMYFUNCTION("IFS(W625=""Achat"",IFERROR(VALUE(X625),VALUE(REGEXREPLACE(T(X625),""[^0-9]"",""""))),W625=""Vente"",-IFERROR(VALUE(X625),VALUE(REGEXREPLACE(T(X625),""[^0-9]"",""""))),Y625=""Change"",0,Y625&lt;&gt;""Change"","""")"),"")</f>
        <v/>
      </c>
      <c r="N625" s="34" t="str">
        <f>IFERROR(__xludf.DUMMYFUNCTION("IF(Account!$F625&lt;&gt;"""", VALUE(REGEXREPLACE($I625, ""\,"", ""."")), """")"),"")</f>
        <v/>
      </c>
      <c r="O625" s="35" t="str">
        <f>IF(Account!$F625&lt;&gt;"", DATEVALUE(MID($A625,4,3) &amp; LEFT($A625,3) &amp; RIGHT($A625,4)) + TIMEVALUE($B625), "")</f>
        <v/>
      </c>
      <c r="P625" s="36" t="str">
        <f>IF(Account!$F625&lt;&gt;"", DATEVALUE(MID($C625,4,3) &amp; LEFT($C625,3) &amp; RIGHT($C625,4)), "")</f>
        <v/>
      </c>
      <c r="Q625" s="37" t="str">
        <f t="array" ref="Q625">IF($R625&lt;&gt;"",IFERROR(INDEX(ISIN!$B:$B,MATCH($R625,ISIN!$C:$C,0))),)</f>
        <v/>
      </c>
      <c r="R625" s="38" t="str">
        <f t="array" ref="R625">IF($E625&lt;&gt;"",IFERROR(INDEX(ISIN!$C:$C,MATCH($E625,ISIN!$A:$A,0)),IFERROR(INDEX($R626:$R1200,MATCH($K625,$K626:$K1200,0)))),IF(AND($Y625="change",$H625="EUR"),IF($O625=$O626,$R626,IF($O625=$O624,$R624)),IFERROR(INDEX($R626:$R1200,MATCH(SUBSTITUTE($I625,"-","",1),$K626:$K1200,0)))))</f>
        <v/>
      </c>
      <c r="S625" s="37" t="str">
        <f t="shared" si="1"/>
        <v/>
      </c>
      <c r="T625" s="39" t="str">
        <f t="shared" si="2"/>
        <v/>
      </c>
      <c r="U625" s="40" t="str">
        <f t="shared" si="3"/>
        <v/>
      </c>
      <c r="V625" s="34" t="str">
        <f t="shared" si="4"/>
        <v/>
      </c>
      <c r="W625" s="41" t="str">
        <f>IFERROR(__xludf.DUMMYFUNCTION(" IF(Account!$F625&lt;&gt;"""", SPLIT(Account!$F625, "" ""), """")"),"")</f>
        <v/>
      </c>
      <c r="X625" s="42"/>
      <c r="Y625" s="42"/>
      <c r="Z625" s="42"/>
      <c r="AA625" s="42"/>
      <c r="AB625" s="42"/>
      <c r="AC625" s="42"/>
      <c r="AD625" s="42"/>
      <c r="AE625" s="42"/>
      <c r="AF625" s="42"/>
      <c r="AG625" s="42"/>
      <c r="AH625" s="42"/>
      <c r="AI625" s="42"/>
      <c r="AJ625" s="42"/>
      <c r="AK625" s="42"/>
    </row>
    <row r="626">
      <c r="A626" s="20"/>
      <c r="B626" s="20"/>
      <c r="C626" s="20"/>
      <c r="D626" s="20"/>
      <c r="E626" s="20"/>
      <c r="F626" s="21"/>
      <c r="G626" s="45"/>
      <c r="H626" s="20"/>
      <c r="I626" s="20"/>
      <c r="J626" s="20"/>
      <c r="K626" s="20"/>
      <c r="L626" s="21"/>
      <c r="M626" s="33" t="str">
        <f>IFERROR(__xludf.DUMMYFUNCTION("IFS(W626=""Achat"",IFERROR(VALUE(X626),VALUE(REGEXREPLACE(T(X626),""[^0-9]"",""""))),W626=""Vente"",-IFERROR(VALUE(X626),VALUE(REGEXREPLACE(T(X626),""[^0-9]"",""""))),Y626=""Change"",0,Y626&lt;&gt;""Change"","""")"),"")</f>
        <v/>
      </c>
      <c r="N626" s="34" t="str">
        <f>IFERROR(__xludf.DUMMYFUNCTION("IF(Account!$F626&lt;&gt;"""", VALUE(REGEXREPLACE($I626, ""\,"", ""."")), """")"),"")</f>
        <v/>
      </c>
      <c r="O626" s="35" t="str">
        <f>IF(Account!$F626&lt;&gt;"", DATEVALUE(MID($A626,4,3) &amp; LEFT($A626,3) &amp; RIGHT($A626,4)) + TIMEVALUE($B626), "")</f>
        <v/>
      </c>
      <c r="P626" s="36" t="str">
        <f>IF(Account!$F626&lt;&gt;"", DATEVALUE(MID($C626,4,3) &amp; LEFT($C626,3) &amp; RIGHT($C626,4)), "")</f>
        <v/>
      </c>
      <c r="Q626" s="37" t="str">
        <f t="array" ref="Q626">IF($R626&lt;&gt;"",IFERROR(INDEX(ISIN!$B:$B,MATCH($R626,ISIN!$C:$C,0))),)</f>
        <v/>
      </c>
      <c r="R626" s="38" t="str">
        <f t="array" ref="R626">IF($E626&lt;&gt;"",IFERROR(INDEX(ISIN!$C:$C,MATCH($E626,ISIN!$A:$A,0)),IFERROR(INDEX($R627:$R1200,MATCH($K626,$K627:$K1200,0)))),IF(AND($Y626="change",$H626="EUR"),IF($O626=$O627,$R627,IF($O626=$O625,$R625)),IFERROR(INDEX($R627:$R1200,MATCH(SUBSTITUTE($I626,"-","",1),$K627:$K1200,0)))))</f>
        <v/>
      </c>
      <c r="S626" s="37" t="str">
        <f t="shared" si="1"/>
        <v/>
      </c>
      <c r="T626" s="39" t="str">
        <f t="shared" si="2"/>
        <v/>
      </c>
      <c r="U626" s="40" t="str">
        <f t="shared" si="3"/>
        <v/>
      </c>
      <c r="V626" s="34" t="str">
        <f t="shared" si="4"/>
        <v/>
      </c>
      <c r="W626" s="41" t="str">
        <f>IFERROR(__xludf.DUMMYFUNCTION(" IF(Account!$F626&lt;&gt;"""", SPLIT(Account!$F626, "" ""), """")"),"")</f>
        <v/>
      </c>
      <c r="X626" s="42"/>
      <c r="Y626" s="42"/>
      <c r="Z626" s="42"/>
      <c r="AA626" s="42"/>
      <c r="AB626" s="42"/>
      <c r="AC626" s="42"/>
      <c r="AD626" s="42"/>
      <c r="AE626" s="42"/>
      <c r="AF626" s="42"/>
      <c r="AG626" s="42"/>
      <c r="AH626" s="42"/>
      <c r="AI626" s="42"/>
      <c r="AJ626" s="42"/>
      <c r="AK626" s="42"/>
    </row>
    <row r="627">
      <c r="A627" s="20"/>
      <c r="B627" s="20"/>
      <c r="C627" s="20"/>
      <c r="D627" s="20"/>
      <c r="E627" s="20"/>
      <c r="F627" s="21"/>
      <c r="G627" s="20"/>
      <c r="H627" s="20"/>
      <c r="I627" s="20"/>
      <c r="J627" s="20"/>
      <c r="K627" s="20"/>
      <c r="L627" s="21"/>
      <c r="M627" s="33" t="str">
        <f>IFERROR(__xludf.DUMMYFUNCTION("IFS(W627=""Achat"",IFERROR(VALUE(X627),VALUE(REGEXREPLACE(T(X627),""[^0-9]"",""""))),W627=""Vente"",-IFERROR(VALUE(X627),VALUE(REGEXREPLACE(T(X627),""[^0-9]"",""""))),Y627=""Change"",0,Y627&lt;&gt;""Change"","""")"),"")</f>
        <v/>
      </c>
      <c r="N627" s="34" t="str">
        <f>IFERROR(__xludf.DUMMYFUNCTION("IF(Account!$F627&lt;&gt;"""", VALUE(REGEXREPLACE($I627, ""\,"", ""."")), """")"),"")</f>
        <v/>
      </c>
      <c r="O627" s="35" t="str">
        <f>IF(Account!$F627&lt;&gt;"", DATEVALUE(MID($A627,4,3) &amp; LEFT($A627,3) &amp; RIGHT($A627,4)) + TIMEVALUE($B627), "")</f>
        <v/>
      </c>
      <c r="P627" s="36" t="str">
        <f>IF(Account!$F627&lt;&gt;"", DATEVALUE(MID($C627,4,3) &amp; LEFT($C627,3) &amp; RIGHT($C627,4)), "")</f>
        <v/>
      </c>
      <c r="Q627" s="37" t="str">
        <f t="array" ref="Q627">IF($R627&lt;&gt;"",IFERROR(INDEX(ISIN!$B:$B,MATCH($R627,ISIN!$C:$C,0))),)</f>
        <v/>
      </c>
      <c r="R627" s="38" t="str">
        <f t="array" ref="R627">IF($E627&lt;&gt;"",IFERROR(INDEX(ISIN!$C:$C,MATCH($E627,ISIN!$A:$A,0)),IFERROR(INDEX($R628:$R1200,MATCH($K627,$K628:$K1200,0)))),IF(AND($Y627="change",$H627="EUR"),IF($O627=$O628,$R628,IF($O627=$O626,$R626)),IFERROR(INDEX($R628:$R1200,MATCH(SUBSTITUTE($I627,"-","",1),$K628:$K1200,0)))))</f>
        <v/>
      </c>
      <c r="S627" s="37" t="str">
        <f t="shared" si="1"/>
        <v/>
      </c>
      <c r="T627" s="39" t="str">
        <f t="shared" si="2"/>
        <v/>
      </c>
      <c r="U627" s="40" t="str">
        <f t="shared" si="3"/>
        <v/>
      </c>
      <c r="V627" s="34" t="str">
        <f t="shared" si="4"/>
        <v/>
      </c>
      <c r="W627" s="41" t="str">
        <f>IFERROR(__xludf.DUMMYFUNCTION(" IF(Account!$F627&lt;&gt;"""", SPLIT(Account!$F627, "" ""), """")"),"")</f>
        <v/>
      </c>
      <c r="X627" s="42"/>
      <c r="Y627" s="42"/>
      <c r="Z627" s="42"/>
      <c r="AA627" s="42"/>
      <c r="AB627" s="42"/>
      <c r="AC627" s="42"/>
      <c r="AD627" s="42"/>
      <c r="AE627" s="42"/>
      <c r="AF627" s="42"/>
      <c r="AG627" s="42"/>
      <c r="AH627" s="42"/>
      <c r="AI627" s="42"/>
      <c r="AJ627" s="42"/>
      <c r="AK627" s="42"/>
    </row>
    <row r="628">
      <c r="A628" s="20"/>
      <c r="B628" s="20"/>
      <c r="C628" s="20"/>
      <c r="D628" s="20"/>
      <c r="E628" s="20"/>
      <c r="F628" s="21"/>
      <c r="G628" s="45"/>
      <c r="H628" s="20"/>
      <c r="I628" s="20"/>
      <c r="J628" s="20"/>
      <c r="K628" s="20"/>
      <c r="L628" s="21"/>
      <c r="M628" s="33" t="str">
        <f>IFERROR(__xludf.DUMMYFUNCTION("IFS(W628=""Achat"",IFERROR(VALUE(X628),VALUE(REGEXREPLACE(T(X628),""[^0-9]"",""""))),W628=""Vente"",-IFERROR(VALUE(X628),VALUE(REGEXREPLACE(T(X628),""[^0-9]"",""""))),Y628=""Change"",0,Y628&lt;&gt;""Change"","""")"),"")</f>
        <v/>
      </c>
      <c r="N628" s="34" t="str">
        <f>IFERROR(__xludf.DUMMYFUNCTION("IF(Account!$F628&lt;&gt;"""", VALUE(REGEXREPLACE($I628, ""\,"", ""."")), """")"),"")</f>
        <v/>
      </c>
      <c r="O628" s="35" t="str">
        <f>IF(Account!$F628&lt;&gt;"", DATEVALUE(MID($A628,4,3) &amp; LEFT($A628,3) &amp; RIGHT($A628,4)) + TIMEVALUE($B628), "")</f>
        <v/>
      </c>
      <c r="P628" s="36" t="str">
        <f>IF(Account!$F628&lt;&gt;"", DATEVALUE(MID($C628,4,3) &amp; LEFT($C628,3) &amp; RIGHT($C628,4)), "")</f>
        <v/>
      </c>
      <c r="Q628" s="37" t="str">
        <f t="array" ref="Q628">IF($R628&lt;&gt;"",IFERROR(INDEX(ISIN!$B:$B,MATCH($R628,ISIN!$C:$C,0))),)</f>
        <v/>
      </c>
      <c r="R628" s="38" t="str">
        <f t="array" ref="R628">IF($E628&lt;&gt;"",IFERROR(INDEX(ISIN!$C:$C,MATCH($E628,ISIN!$A:$A,0)),IFERROR(INDEX($R629:$R1200,MATCH($K628,$K629:$K1200,0)))),IF(AND($Y628="change",$H628="EUR"),IF($O628=$O629,$R629,IF($O628=$O627,$R627)),IFERROR(INDEX($R629:$R1200,MATCH(SUBSTITUTE($I628,"-","",1),$K629:$K1200,0)))))</f>
        <v/>
      </c>
      <c r="S628" s="37" t="str">
        <f t="shared" si="1"/>
        <v/>
      </c>
      <c r="T628" s="39" t="str">
        <f t="shared" si="2"/>
        <v/>
      </c>
      <c r="U628" s="40" t="str">
        <f t="shared" si="3"/>
        <v/>
      </c>
      <c r="V628" s="34" t="str">
        <f t="shared" si="4"/>
        <v/>
      </c>
      <c r="W628" s="41" t="str">
        <f>IFERROR(__xludf.DUMMYFUNCTION(" IF(Account!$F628&lt;&gt;"""", SPLIT(Account!$F628, "" ""), """")"),"")</f>
        <v/>
      </c>
      <c r="X628" s="42"/>
      <c r="Y628" s="42"/>
      <c r="Z628" s="42"/>
      <c r="AA628" s="42"/>
      <c r="AB628" s="42"/>
      <c r="AC628" s="42"/>
      <c r="AD628" s="42"/>
      <c r="AE628" s="42"/>
      <c r="AF628" s="42"/>
      <c r="AG628" s="42"/>
      <c r="AH628" s="42"/>
      <c r="AI628" s="42"/>
      <c r="AJ628" s="42"/>
      <c r="AK628" s="42"/>
    </row>
    <row r="629">
      <c r="A629" s="20"/>
      <c r="B629" s="20"/>
      <c r="C629" s="20"/>
      <c r="D629" s="20"/>
      <c r="E629" s="20"/>
      <c r="F629" s="21"/>
      <c r="G629" s="45"/>
      <c r="H629" s="20"/>
      <c r="I629" s="20"/>
      <c r="J629" s="20"/>
      <c r="K629" s="20"/>
      <c r="L629" s="21"/>
      <c r="M629" s="33" t="str">
        <f>IFERROR(__xludf.DUMMYFUNCTION("IFS(W629=""Achat"",IFERROR(VALUE(X629),VALUE(REGEXREPLACE(T(X629),""[^0-9]"",""""))),W629=""Vente"",-IFERROR(VALUE(X629),VALUE(REGEXREPLACE(T(X629),""[^0-9]"",""""))),Y629=""Change"",0,Y629&lt;&gt;""Change"","""")"),"")</f>
        <v/>
      </c>
      <c r="N629" s="34" t="str">
        <f>IFERROR(__xludf.DUMMYFUNCTION("IF(Account!$F629&lt;&gt;"""", VALUE(REGEXREPLACE($I629, ""\,"", ""."")), """")"),"")</f>
        <v/>
      </c>
      <c r="O629" s="35" t="str">
        <f>IF(Account!$F629&lt;&gt;"", DATEVALUE(MID($A629,4,3) &amp; LEFT($A629,3) &amp; RIGHT($A629,4)) + TIMEVALUE($B629), "")</f>
        <v/>
      </c>
      <c r="P629" s="36" t="str">
        <f>IF(Account!$F629&lt;&gt;"", DATEVALUE(MID($C629,4,3) &amp; LEFT($C629,3) &amp; RIGHT($C629,4)), "")</f>
        <v/>
      </c>
      <c r="Q629" s="37" t="str">
        <f t="array" ref="Q629">IF($R629&lt;&gt;"",IFERROR(INDEX(ISIN!$B:$B,MATCH($R629,ISIN!$C:$C,0))),)</f>
        <v/>
      </c>
      <c r="R629" s="38" t="str">
        <f t="array" ref="R629">IF($E629&lt;&gt;"",IFERROR(INDEX(ISIN!$C:$C,MATCH($E629,ISIN!$A:$A,0)),IFERROR(INDEX($R630:$R1200,MATCH($K629,$K630:$K1200,0)))),IF(AND($Y629="change",$H629="EUR"),IF($O629=$O630,$R630,IF($O629=$O628,$R628)),IFERROR(INDEX($R630:$R1200,MATCH(SUBSTITUTE($I629,"-","",1),$K630:$K1200,0)))))</f>
        <v/>
      </c>
      <c r="S629" s="37" t="str">
        <f t="shared" si="1"/>
        <v/>
      </c>
      <c r="T629" s="39" t="str">
        <f t="shared" si="2"/>
        <v/>
      </c>
      <c r="U629" s="40" t="str">
        <f t="shared" si="3"/>
        <v/>
      </c>
      <c r="V629" s="34" t="str">
        <f t="shared" si="4"/>
        <v/>
      </c>
      <c r="W629" s="41" t="str">
        <f>IFERROR(__xludf.DUMMYFUNCTION(" IF(Account!$F629&lt;&gt;"""", SPLIT(Account!$F629, "" ""), """")"),"")</f>
        <v/>
      </c>
      <c r="X629" s="42"/>
      <c r="Y629" s="42"/>
      <c r="Z629" s="42"/>
      <c r="AA629" s="42"/>
      <c r="AB629" s="42"/>
      <c r="AC629" s="42"/>
      <c r="AD629" s="42"/>
      <c r="AE629" s="42"/>
      <c r="AF629" s="42"/>
      <c r="AG629" s="42"/>
      <c r="AH629" s="42"/>
      <c r="AI629" s="42"/>
      <c r="AJ629" s="42"/>
      <c r="AK629" s="42"/>
    </row>
    <row r="630">
      <c r="A630" s="20"/>
      <c r="B630" s="20"/>
      <c r="C630" s="20"/>
      <c r="D630" s="20"/>
      <c r="E630" s="20"/>
      <c r="F630" s="21"/>
      <c r="G630" s="20"/>
      <c r="H630" s="20"/>
      <c r="I630" s="20"/>
      <c r="J630" s="20"/>
      <c r="K630" s="20"/>
      <c r="L630" s="21"/>
      <c r="M630" s="33" t="str">
        <f>IFERROR(__xludf.DUMMYFUNCTION("IFS(W630=""Achat"",IFERROR(VALUE(X630),VALUE(REGEXREPLACE(T(X630),""[^0-9]"",""""))),W630=""Vente"",-IFERROR(VALUE(X630),VALUE(REGEXREPLACE(T(X630),""[^0-9]"",""""))),Y630=""Change"",0,Y630&lt;&gt;""Change"","""")"),"")</f>
        <v/>
      </c>
      <c r="N630" s="34" t="str">
        <f>IFERROR(__xludf.DUMMYFUNCTION("IF(Account!$F630&lt;&gt;"""", VALUE(REGEXREPLACE($I630, ""\,"", ""."")), """")"),"")</f>
        <v/>
      </c>
      <c r="O630" s="35" t="str">
        <f>IF(Account!$F630&lt;&gt;"", DATEVALUE(MID($A630,4,3) &amp; LEFT($A630,3) &amp; RIGHT($A630,4)) + TIMEVALUE($B630), "")</f>
        <v/>
      </c>
      <c r="P630" s="36" t="str">
        <f>IF(Account!$F630&lt;&gt;"", DATEVALUE(MID($C630,4,3) &amp; LEFT($C630,3) &amp; RIGHT($C630,4)), "")</f>
        <v/>
      </c>
      <c r="Q630" s="37" t="str">
        <f t="array" ref="Q630">IF($R630&lt;&gt;"",IFERROR(INDEX(ISIN!$B:$B,MATCH($R630,ISIN!$C:$C,0))),)</f>
        <v/>
      </c>
      <c r="R630" s="38" t="str">
        <f t="array" ref="R630">IF($E630&lt;&gt;"",IFERROR(INDEX(ISIN!$C:$C,MATCH($E630,ISIN!$A:$A,0)),IFERROR(INDEX($R631:$R1200,MATCH($K630,$K631:$K1200,0)))),IF(AND($Y630="change",$H630="EUR"),IF($O630=$O631,$R631,IF($O630=$O629,$R629)),IFERROR(INDEX($R631:$R1200,MATCH(SUBSTITUTE($I630,"-","",1),$K631:$K1200,0)))))</f>
        <v/>
      </c>
      <c r="S630" s="37" t="str">
        <f t="shared" si="1"/>
        <v/>
      </c>
      <c r="T630" s="39" t="str">
        <f t="shared" si="2"/>
        <v/>
      </c>
      <c r="U630" s="40" t="str">
        <f t="shared" si="3"/>
        <v/>
      </c>
      <c r="V630" s="34" t="str">
        <f t="shared" si="4"/>
        <v/>
      </c>
      <c r="W630" s="41" t="str">
        <f>IFERROR(__xludf.DUMMYFUNCTION(" IF(Account!$F630&lt;&gt;"""", SPLIT(Account!$F630, "" ""), """")"),"")</f>
        <v/>
      </c>
      <c r="X630" s="42"/>
      <c r="Y630" s="42"/>
      <c r="Z630" s="42"/>
      <c r="AA630" s="42"/>
      <c r="AB630" s="42"/>
      <c r="AC630" s="42"/>
      <c r="AD630" s="42"/>
      <c r="AE630" s="42"/>
      <c r="AF630" s="42"/>
      <c r="AG630" s="42"/>
      <c r="AH630" s="42"/>
      <c r="AI630" s="42"/>
      <c r="AJ630" s="42"/>
      <c r="AK630" s="42"/>
    </row>
    <row r="631">
      <c r="A631" s="20"/>
      <c r="B631" s="20"/>
      <c r="C631" s="20"/>
      <c r="D631" s="20"/>
      <c r="E631" s="20"/>
      <c r="F631" s="21"/>
      <c r="G631" s="45"/>
      <c r="H631" s="20"/>
      <c r="I631" s="20"/>
      <c r="J631" s="20"/>
      <c r="K631" s="20"/>
      <c r="L631" s="21"/>
      <c r="M631" s="33" t="str">
        <f>IFERROR(__xludf.DUMMYFUNCTION("IFS(W631=""Achat"",IFERROR(VALUE(X631),VALUE(REGEXREPLACE(T(X631),""[^0-9]"",""""))),W631=""Vente"",-IFERROR(VALUE(X631),VALUE(REGEXREPLACE(T(X631),""[^0-9]"",""""))),Y631=""Change"",0,Y631&lt;&gt;""Change"","""")"),"")</f>
        <v/>
      </c>
      <c r="N631" s="34" t="str">
        <f>IFERROR(__xludf.DUMMYFUNCTION("IF(Account!$F631&lt;&gt;"""", VALUE(REGEXREPLACE($I631, ""\,"", ""."")), """")"),"")</f>
        <v/>
      </c>
      <c r="O631" s="35" t="str">
        <f>IF(Account!$F631&lt;&gt;"", DATEVALUE(MID($A631,4,3) &amp; LEFT($A631,3) &amp; RIGHT($A631,4)) + TIMEVALUE($B631), "")</f>
        <v/>
      </c>
      <c r="P631" s="36" t="str">
        <f>IF(Account!$F631&lt;&gt;"", DATEVALUE(MID($C631,4,3) &amp; LEFT($C631,3) &amp; RIGHT($C631,4)), "")</f>
        <v/>
      </c>
      <c r="Q631" s="37" t="str">
        <f t="array" ref="Q631">IF($R631&lt;&gt;"",IFERROR(INDEX(ISIN!$B:$B,MATCH($R631,ISIN!$C:$C,0))),)</f>
        <v/>
      </c>
      <c r="R631" s="38" t="str">
        <f t="array" ref="R631">IF($E631&lt;&gt;"",IFERROR(INDEX(ISIN!$C:$C,MATCH($E631,ISIN!$A:$A,0)),IFERROR(INDEX($R632:$R1200,MATCH($K631,$K632:$K1200,0)))),IF(AND($Y631="change",$H631="EUR"),IF($O631=$O632,$R632,IF($O631=$O630,$R630)),IFERROR(INDEX($R632:$R1200,MATCH(SUBSTITUTE($I631,"-","",1),$K632:$K1200,0)))))</f>
        <v/>
      </c>
      <c r="S631" s="37" t="str">
        <f t="shared" si="1"/>
        <v/>
      </c>
      <c r="T631" s="39" t="str">
        <f t="shared" si="2"/>
        <v/>
      </c>
      <c r="U631" s="40" t="str">
        <f t="shared" si="3"/>
        <v/>
      </c>
      <c r="V631" s="34" t="str">
        <f t="shared" si="4"/>
        <v/>
      </c>
      <c r="W631" s="41" t="str">
        <f>IFERROR(__xludf.DUMMYFUNCTION(" IF(Account!$F631&lt;&gt;"""", SPLIT(Account!$F631, "" ""), """")"),"")</f>
        <v/>
      </c>
      <c r="X631" s="42"/>
      <c r="Y631" s="42"/>
      <c r="Z631" s="42"/>
      <c r="AA631" s="42"/>
      <c r="AB631" s="42"/>
      <c r="AC631" s="42"/>
      <c r="AD631" s="42"/>
      <c r="AE631" s="42"/>
      <c r="AF631" s="42"/>
      <c r="AG631" s="42"/>
      <c r="AH631" s="42"/>
      <c r="AI631" s="42"/>
      <c r="AJ631" s="42"/>
      <c r="AK631" s="42"/>
    </row>
    <row r="632">
      <c r="A632" s="20"/>
      <c r="B632" s="20"/>
      <c r="C632" s="20"/>
      <c r="D632" s="20"/>
      <c r="E632" s="20"/>
      <c r="F632" s="21"/>
      <c r="G632" s="45"/>
      <c r="H632" s="20"/>
      <c r="I632" s="20"/>
      <c r="J632" s="20"/>
      <c r="K632" s="20"/>
      <c r="L632" s="21"/>
      <c r="M632" s="33" t="str">
        <f>IFERROR(__xludf.DUMMYFUNCTION("IFS(W632=""Achat"",IFERROR(VALUE(X632),VALUE(REGEXREPLACE(T(X632),""[^0-9]"",""""))),W632=""Vente"",-IFERROR(VALUE(X632),VALUE(REGEXREPLACE(T(X632),""[^0-9]"",""""))),Y632=""Change"",0,Y632&lt;&gt;""Change"","""")"),"")</f>
        <v/>
      </c>
      <c r="N632" s="34" t="str">
        <f>IFERROR(__xludf.DUMMYFUNCTION("IF(Account!$F632&lt;&gt;"""", VALUE(REGEXREPLACE($I632, ""\,"", ""."")), """")"),"")</f>
        <v/>
      </c>
      <c r="O632" s="35" t="str">
        <f>IF(Account!$F632&lt;&gt;"", DATEVALUE(MID($A632,4,3) &amp; LEFT($A632,3) &amp; RIGHT($A632,4)) + TIMEVALUE($B632), "")</f>
        <v/>
      </c>
      <c r="P632" s="36" t="str">
        <f>IF(Account!$F632&lt;&gt;"", DATEVALUE(MID($C632,4,3) &amp; LEFT($C632,3) &amp; RIGHT($C632,4)), "")</f>
        <v/>
      </c>
      <c r="Q632" s="37" t="str">
        <f t="array" ref="Q632">IF($R632&lt;&gt;"",IFERROR(INDEX(ISIN!$B:$B,MATCH($R632,ISIN!$C:$C,0))),)</f>
        <v/>
      </c>
      <c r="R632" s="38" t="str">
        <f t="array" ref="R632">IF($E632&lt;&gt;"",IFERROR(INDEX(ISIN!$C:$C,MATCH($E632,ISIN!$A:$A,0)),IFERROR(INDEX($R633:$R1200,MATCH($K632,$K633:$K1200,0)))),IF(AND($Y632="change",$H632="EUR"),IF($O632=$O633,$R633,IF($O632=$O631,$R631)),IFERROR(INDEX($R633:$R1200,MATCH(SUBSTITUTE($I632,"-","",1),$K633:$K1200,0)))))</f>
        <v/>
      </c>
      <c r="S632" s="37" t="str">
        <f t="shared" si="1"/>
        <v/>
      </c>
      <c r="T632" s="39" t="str">
        <f t="shared" si="2"/>
        <v/>
      </c>
      <c r="U632" s="40" t="str">
        <f t="shared" si="3"/>
        <v/>
      </c>
      <c r="V632" s="34" t="str">
        <f t="shared" si="4"/>
        <v/>
      </c>
      <c r="W632" s="41" t="str">
        <f>IFERROR(__xludf.DUMMYFUNCTION(" IF(Account!$F632&lt;&gt;"""", SPLIT(Account!$F632, "" ""), """")"),"")</f>
        <v/>
      </c>
      <c r="X632" s="42"/>
      <c r="Y632" s="42"/>
      <c r="Z632" s="42"/>
      <c r="AA632" s="42"/>
      <c r="AB632" s="42"/>
      <c r="AC632" s="42"/>
      <c r="AD632" s="42"/>
      <c r="AE632" s="42"/>
      <c r="AF632" s="42"/>
      <c r="AG632" s="42"/>
      <c r="AH632" s="42"/>
      <c r="AI632" s="42"/>
      <c r="AJ632" s="42"/>
      <c r="AK632" s="42"/>
    </row>
    <row r="633">
      <c r="A633" s="20"/>
      <c r="B633" s="20"/>
      <c r="C633" s="20"/>
      <c r="D633" s="20"/>
      <c r="E633" s="20"/>
      <c r="F633" s="21"/>
      <c r="G633" s="45"/>
      <c r="H633" s="20"/>
      <c r="I633" s="20"/>
      <c r="J633" s="20"/>
      <c r="K633" s="20"/>
      <c r="L633" s="21"/>
      <c r="M633" s="33" t="str">
        <f>IFERROR(__xludf.DUMMYFUNCTION("IFS(W633=""Achat"",IFERROR(VALUE(X633),VALUE(REGEXREPLACE(T(X633),""[^0-9]"",""""))),W633=""Vente"",-IFERROR(VALUE(X633),VALUE(REGEXREPLACE(T(X633),""[^0-9]"",""""))),Y633=""Change"",0,Y633&lt;&gt;""Change"","""")"),"")</f>
        <v/>
      </c>
      <c r="N633" s="34" t="str">
        <f>IFERROR(__xludf.DUMMYFUNCTION("IF(Account!$F633&lt;&gt;"""", VALUE(REGEXREPLACE($I633, ""\,"", ""."")), """")"),"")</f>
        <v/>
      </c>
      <c r="O633" s="35" t="str">
        <f>IF(Account!$F633&lt;&gt;"", DATEVALUE(MID($A633,4,3) &amp; LEFT($A633,3) &amp; RIGHT($A633,4)) + TIMEVALUE($B633), "")</f>
        <v/>
      </c>
      <c r="P633" s="36" t="str">
        <f>IF(Account!$F633&lt;&gt;"", DATEVALUE(MID($C633,4,3) &amp; LEFT($C633,3) &amp; RIGHT($C633,4)), "")</f>
        <v/>
      </c>
      <c r="Q633" s="37" t="str">
        <f t="array" ref="Q633">IF($R633&lt;&gt;"",IFERROR(INDEX(ISIN!$B:$B,MATCH($R633,ISIN!$C:$C,0))),)</f>
        <v/>
      </c>
      <c r="R633" s="38" t="str">
        <f t="array" ref="R633">IF($E633&lt;&gt;"",IFERROR(INDEX(ISIN!$C:$C,MATCH($E633,ISIN!$A:$A,0)),IFERROR(INDEX($R634:$R1200,MATCH($K633,$K634:$K1200,0)))),IF(AND($Y633="change",$H633="EUR"),IF($O633=$O634,$R634,IF($O633=$O632,$R632)),IFERROR(INDEX($R634:$R1200,MATCH(SUBSTITUTE($I633,"-","",1),$K634:$K1200,0)))))</f>
        <v/>
      </c>
      <c r="S633" s="37" t="str">
        <f t="shared" si="1"/>
        <v/>
      </c>
      <c r="T633" s="39" t="str">
        <f t="shared" si="2"/>
        <v/>
      </c>
      <c r="U633" s="40" t="str">
        <f t="shared" si="3"/>
        <v/>
      </c>
      <c r="V633" s="34" t="str">
        <f t="shared" si="4"/>
        <v/>
      </c>
      <c r="W633" s="41" t="str">
        <f>IFERROR(__xludf.DUMMYFUNCTION(" IF(Account!$F633&lt;&gt;"""", SPLIT(Account!$F633, "" ""), """")"),"")</f>
        <v/>
      </c>
      <c r="X633" s="42"/>
      <c r="Y633" s="42"/>
      <c r="Z633" s="42"/>
      <c r="AA633" s="42"/>
      <c r="AB633" s="42"/>
      <c r="AC633" s="42"/>
      <c r="AD633" s="42"/>
      <c r="AE633" s="42"/>
      <c r="AF633" s="42"/>
      <c r="AG633" s="42"/>
      <c r="AH633" s="42"/>
      <c r="AI633" s="42"/>
      <c r="AJ633" s="42"/>
      <c r="AK633" s="42"/>
    </row>
    <row r="634">
      <c r="A634" s="20"/>
      <c r="B634" s="20"/>
      <c r="C634" s="20"/>
      <c r="D634" s="20"/>
      <c r="E634" s="20"/>
      <c r="F634" s="21"/>
      <c r="G634" s="45"/>
      <c r="H634" s="20"/>
      <c r="I634" s="20"/>
      <c r="J634" s="20"/>
      <c r="K634" s="20"/>
      <c r="L634" s="21"/>
      <c r="M634" s="33" t="str">
        <f>IFERROR(__xludf.DUMMYFUNCTION("IFS(W634=""Achat"",IFERROR(VALUE(X634),VALUE(REGEXREPLACE(T(X634),""[^0-9]"",""""))),W634=""Vente"",-IFERROR(VALUE(X634),VALUE(REGEXREPLACE(T(X634),""[^0-9]"",""""))),Y634=""Change"",0,Y634&lt;&gt;""Change"","""")"),"")</f>
        <v/>
      </c>
      <c r="N634" s="34" t="str">
        <f>IFERROR(__xludf.DUMMYFUNCTION("IF(Account!$F634&lt;&gt;"""", VALUE(REGEXREPLACE($I634, ""\,"", ""."")), """")"),"")</f>
        <v/>
      </c>
      <c r="O634" s="35" t="str">
        <f>IF(Account!$F634&lt;&gt;"", DATEVALUE(MID($A634,4,3) &amp; LEFT($A634,3) &amp; RIGHT($A634,4)) + TIMEVALUE($B634), "")</f>
        <v/>
      </c>
      <c r="P634" s="36" t="str">
        <f>IF(Account!$F634&lt;&gt;"", DATEVALUE(MID($C634,4,3) &amp; LEFT($C634,3) &amp; RIGHT($C634,4)), "")</f>
        <v/>
      </c>
      <c r="Q634" s="37" t="str">
        <f t="array" ref="Q634">IF($R634&lt;&gt;"",IFERROR(INDEX(ISIN!$B:$B,MATCH($R634,ISIN!$C:$C,0))),)</f>
        <v/>
      </c>
      <c r="R634" s="38" t="str">
        <f t="array" ref="R634">IF($E634&lt;&gt;"",IFERROR(INDEX(ISIN!$C:$C,MATCH($E634,ISIN!$A:$A,0)),IFERROR(INDEX($R635:$R1200,MATCH($K634,$K635:$K1200,0)))),IF(AND($Y634="change",$H634="EUR"),IF($O634=$O635,$R635,IF($O634=$O633,$R633)),IFERROR(INDEX($R635:$R1200,MATCH(SUBSTITUTE($I634,"-","",1),$K635:$K1200,0)))))</f>
        <v/>
      </c>
      <c r="S634" s="37" t="str">
        <f t="shared" si="1"/>
        <v/>
      </c>
      <c r="T634" s="39" t="str">
        <f t="shared" si="2"/>
        <v/>
      </c>
      <c r="U634" s="40" t="str">
        <f t="shared" si="3"/>
        <v/>
      </c>
      <c r="V634" s="34" t="str">
        <f t="shared" si="4"/>
        <v/>
      </c>
      <c r="W634" s="41" t="str">
        <f>IFERROR(__xludf.DUMMYFUNCTION(" IF(Account!$F634&lt;&gt;"""", SPLIT(Account!$F634, "" ""), """")"),"")</f>
        <v/>
      </c>
      <c r="X634" s="42"/>
      <c r="Y634" s="42"/>
      <c r="Z634" s="42"/>
      <c r="AA634" s="42"/>
      <c r="AB634" s="42"/>
      <c r="AC634" s="42"/>
      <c r="AD634" s="42"/>
      <c r="AE634" s="42"/>
      <c r="AF634" s="42"/>
      <c r="AG634" s="42"/>
      <c r="AH634" s="42"/>
      <c r="AI634" s="42"/>
      <c r="AJ634" s="42"/>
      <c r="AK634" s="42"/>
    </row>
    <row r="635">
      <c r="A635" s="20"/>
      <c r="B635" s="20"/>
      <c r="C635" s="20"/>
      <c r="D635" s="20"/>
      <c r="E635" s="20"/>
      <c r="F635" s="21"/>
      <c r="G635" s="45"/>
      <c r="H635" s="20"/>
      <c r="I635" s="20"/>
      <c r="J635" s="20"/>
      <c r="K635" s="20"/>
      <c r="L635" s="21"/>
      <c r="M635" s="33" t="str">
        <f>IFERROR(__xludf.DUMMYFUNCTION("IFS(W635=""Achat"",IFERROR(VALUE(X635),VALUE(REGEXREPLACE(T(X635),""[^0-9]"",""""))),W635=""Vente"",-IFERROR(VALUE(X635),VALUE(REGEXREPLACE(T(X635),""[^0-9]"",""""))),Y635=""Change"",0,Y635&lt;&gt;""Change"","""")"),"")</f>
        <v/>
      </c>
      <c r="N635" s="34" t="str">
        <f>IFERROR(__xludf.DUMMYFUNCTION("IF(Account!$F635&lt;&gt;"""", VALUE(REGEXREPLACE($I635, ""\,"", ""."")), """")"),"")</f>
        <v/>
      </c>
      <c r="O635" s="35" t="str">
        <f>IF(Account!$F635&lt;&gt;"", DATEVALUE(MID($A635,4,3) &amp; LEFT($A635,3) &amp; RIGHT($A635,4)) + TIMEVALUE($B635), "")</f>
        <v/>
      </c>
      <c r="P635" s="36" t="str">
        <f>IF(Account!$F635&lt;&gt;"", DATEVALUE(MID($C635,4,3) &amp; LEFT($C635,3) &amp; RIGHT($C635,4)), "")</f>
        <v/>
      </c>
      <c r="Q635" s="37" t="str">
        <f t="array" ref="Q635">IF($R635&lt;&gt;"",IFERROR(INDEX(ISIN!$B:$B,MATCH($R635,ISIN!$C:$C,0))),)</f>
        <v/>
      </c>
      <c r="R635" s="38" t="str">
        <f t="array" ref="R635">IF($E635&lt;&gt;"",IFERROR(INDEX(ISIN!$C:$C,MATCH($E635,ISIN!$A:$A,0)),IFERROR(INDEX($R636:$R1200,MATCH($K635,$K636:$K1200,0)))),IF(AND($Y635="change",$H635="EUR"),IF($O635=$O636,$R636,IF($O635=$O634,$R634)),IFERROR(INDEX($R636:$R1200,MATCH(SUBSTITUTE($I635,"-","",1),$K636:$K1200,0)))))</f>
        <v/>
      </c>
      <c r="S635" s="37" t="str">
        <f t="shared" si="1"/>
        <v/>
      </c>
      <c r="T635" s="39" t="str">
        <f t="shared" si="2"/>
        <v/>
      </c>
      <c r="U635" s="40" t="str">
        <f t="shared" si="3"/>
        <v/>
      </c>
      <c r="V635" s="34" t="str">
        <f t="shared" si="4"/>
        <v/>
      </c>
      <c r="W635" s="41" t="str">
        <f>IFERROR(__xludf.DUMMYFUNCTION(" IF(Account!$F635&lt;&gt;"""", SPLIT(Account!$F635, "" ""), """")"),"")</f>
        <v/>
      </c>
      <c r="X635" s="42"/>
      <c r="Y635" s="42"/>
      <c r="Z635" s="42"/>
      <c r="AA635" s="42"/>
      <c r="AB635" s="42"/>
      <c r="AC635" s="42"/>
      <c r="AD635" s="42"/>
      <c r="AE635" s="42"/>
      <c r="AF635" s="42"/>
      <c r="AG635" s="42"/>
      <c r="AH635" s="42"/>
      <c r="AI635" s="42"/>
      <c r="AJ635" s="42"/>
      <c r="AK635" s="42"/>
    </row>
    <row r="636">
      <c r="A636" s="20"/>
      <c r="B636" s="20"/>
      <c r="C636" s="20"/>
      <c r="D636" s="20"/>
      <c r="E636" s="20"/>
      <c r="F636" s="21"/>
      <c r="G636" s="20"/>
      <c r="H636" s="20"/>
      <c r="I636" s="20"/>
      <c r="J636" s="20"/>
      <c r="K636" s="20"/>
      <c r="L636" s="21"/>
      <c r="M636" s="33" t="str">
        <f>IFERROR(__xludf.DUMMYFUNCTION("IFS(W636=""Achat"",IFERROR(VALUE(X636),VALUE(REGEXREPLACE(T(X636),""[^0-9]"",""""))),W636=""Vente"",-IFERROR(VALUE(X636),VALUE(REGEXREPLACE(T(X636),""[^0-9]"",""""))),Y636=""Change"",0,Y636&lt;&gt;""Change"","""")"),"")</f>
        <v/>
      </c>
      <c r="N636" s="34" t="str">
        <f>IFERROR(__xludf.DUMMYFUNCTION("IF(Account!$F636&lt;&gt;"""", VALUE(REGEXREPLACE($I636, ""\,"", ""."")), """")"),"")</f>
        <v/>
      </c>
      <c r="O636" s="35" t="str">
        <f>IF(Account!$F636&lt;&gt;"", DATEVALUE(MID($A636,4,3) &amp; LEFT($A636,3) &amp; RIGHT($A636,4)) + TIMEVALUE($B636), "")</f>
        <v/>
      </c>
      <c r="P636" s="36" t="str">
        <f>IF(Account!$F636&lt;&gt;"", DATEVALUE(MID($C636,4,3) &amp; LEFT($C636,3) &amp; RIGHT($C636,4)), "")</f>
        <v/>
      </c>
      <c r="Q636" s="37" t="str">
        <f t="array" ref="Q636">IF($R636&lt;&gt;"",IFERROR(INDEX(ISIN!$B:$B,MATCH($R636,ISIN!$C:$C,0))),)</f>
        <v/>
      </c>
      <c r="R636" s="38" t="str">
        <f t="array" ref="R636">IF($E636&lt;&gt;"",IFERROR(INDEX(ISIN!$C:$C,MATCH($E636,ISIN!$A:$A,0)),IFERROR(INDEX($R637:$R1200,MATCH($K636,$K637:$K1200,0)))),IF(AND($Y636="change",$H636="EUR"),IF($O636=$O637,$R637,IF($O636=$O635,$R635)),IFERROR(INDEX($R637:$R1200,MATCH(SUBSTITUTE($I636,"-","",1),$K637:$K1200,0)))))</f>
        <v/>
      </c>
      <c r="S636" s="37" t="str">
        <f t="shared" si="1"/>
        <v/>
      </c>
      <c r="T636" s="39" t="str">
        <f t="shared" si="2"/>
        <v/>
      </c>
      <c r="U636" s="40" t="str">
        <f t="shared" si="3"/>
        <v/>
      </c>
      <c r="V636" s="34" t="str">
        <f t="shared" si="4"/>
        <v/>
      </c>
      <c r="W636" s="41" t="str">
        <f>IFERROR(__xludf.DUMMYFUNCTION(" IF(Account!$F636&lt;&gt;"""", SPLIT(Account!$F636, "" ""), """")"),"")</f>
        <v/>
      </c>
      <c r="X636" s="42"/>
      <c r="Y636" s="42"/>
      <c r="Z636" s="42"/>
      <c r="AA636" s="42"/>
      <c r="AB636" s="42"/>
      <c r="AC636" s="42"/>
      <c r="AD636" s="42"/>
      <c r="AE636" s="42"/>
      <c r="AF636" s="42"/>
      <c r="AG636" s="42"/>
      <c r="AH636" s="42"/>
      <c r="AI636" s="42"/>
      <c r="AJ636" s="42"/>
      <c r="AK636" s="42"/>
    </row>
    <row r="637">
      <c r="A637" s="20"/>
      <c r="B637" s="20"/>
      <c r="C637" s="20"/>
      <c r="D637" s="20"/>
      <c r="E637" s="20"/>
      <c r="F637" s="21"/>
      <c r="G637" s="45"/>
      <c r="H637" s="20"/>
      <c r="I637" s="20"/>
      <c r="J637" s="20"/>
      <c r="K637" s="20"/>
      <c r="L637" s="21"/>
      <c r="M637" s="33" t="str">
        <f>IFERROR(__xludf.DUMMYFUNCTION("IFS(W637=""Achat"",IFERROR(VALUE(X637),VALUE(REGEXREPLACE(T(X637),""[^0-9]"",""""))),W637=""Vente"",-IFERROR(VALUE(X637),VALUE(REGEXREPLACE(T(X637),""[^0-9]"",""""))),Y637=""Change"",0,Y637&lt;&gt;""Change"","""")"),"")</f>
        <v/>
      </c>
      <c r="N637" s="34" t="str">
        <f>IFERROR(__xludf.DUMMYFUNCTION("IF(Account!$F637&lt;&gt;"""", VALUE(REGEXREPLACE($I637, ""\,"", ""."")), """")"),"")</f>
        <v/>
      </c>
      <c r="O637" s="35" t="str">
        <f>IF(Account!$F637&lt;&gt;"", DATEVALUE(MID($A637,4,3) &amp; LEFT($A637,3) &amp; RIGHT($A637,4)) + TIMEVALUE($B637), "")</f>
        <v/>
      </c>
      <c r="P637" s="36" t="str">
        <f>IF(Account!$F637&lt;&gt;"", DATEVALUE(MID($C637,4,3) &amp; LEFT($C637,3) &amp; RIGHT($C637,4)), "")</f>
        <v/>
      </c>
      <c r="Q637" s="37" t="str">
        <f t="array" ref="Q637">IF($R637&lt;&gt;"",IFERROR(INDEX(ISIN!$B:$B,MATCH($R637,ISIN!$C:$C,0))),)</f>
        <v/>
      </c>
      <c r="R637" s="38" t="str">
        <f t="array" ref="R637">IF($E637&lt;&gt;"",IFERROR(INDEX(ISIN!$C:$C,MATCH($E637,ISIN!$A:$A,0)),IFERROR(INDEX($R638:$R1200,MATCH($K637,$K638:$K1200,0)))),IF(AND($Y637="change",$H637="EUR"),IF($O637=$O638,$R638,IF($O637=$O636,$R636)),IFERROR(INDEX($R638:$R1200,MATCH(SUBSTITUTE($I637,"-","",1),$K638:$K1200,0)))))</f>
        <v/>
      </c>
      <c r="S637" s="37" t="str">
        <f t="shared" si="1"/>
        <v/>
      </c>
      <c r="T637" s="39" t="str">
        <f t="shared" si="2"/>
        <v/>
      </c>
      <c r="U637" s="40" t="str">
        <f t="shared" si="3"/>
        <v/>
      </c>
      <c r="V637" s="34" t="str">
        <f t="shared" si="4"/>
        <v/>
      </c>
      <c r="W637" s="41" t="str">
        <f>IFERROR(__xludf.DUMMYFUNCTION(" IF(Account!$F637&lt;&gt;"""", SPLIT(Account!$F637, "" ""), """")"),"")</f>
        <v/>
      </c>
      <c r="X637" s="42"/>
      <c r="Y637" s="42"/>
      <c r="Z637" s="42"/>
      <c r="AA637" s="42"/>
      <c r="AB637" s="42"/>
      <c r="AC637" s="42"/>
      <c r="AD637" s="42"/>
      <c r="AE637" s="42"/>
      <c r="AF637" s="42"/>
      <c r="AG637" s="42"/>
      <c r="AH637" s="42"/>
      <c r="AI637" s="42"/>
      <c r="AJ637" s="42"/>
      <c r="AK637" s="42"/>
    </row>
    <row r="638">
      <c r="A638" s="20"/>
      <c r="B638" s="20"/>
      <c r="C638" s="20"/>
      <c r="D638" s="20"/>
      <c r="E638" s="20"/>
      <c r="F638" s="21"/>
      <c r="G638" s="20"/>
      <c r="H638" s="20"/>
      <c r="I638" s="20"/>
      <c r="J638" s="20"/>
      <c r="K638" s="20"/>
      <c r="L638" s="21"/>
      <c r="M638" s="33" t="str">
        <f>IFERROR(__xludf.DUMMYFUNCTION("IFS(W638=""Achat"",IFERROR(VALUE(X638),VALUE(REGEXREPLACE(T(X638),""[^0-9]"",""""))),W638=""Vente"",-IFERROR(VALUE(X638),VALUE(REGEXREPLACE(T(X638),""[^0-9]"",""""))),Y638=""Change"",0,Y638&lt;&gt;""Change"","""")"),"")</f>
        <v/>
      </c>
      <c r="N638" s="34" t="str">
        <f>IFERROR(__xludf.DUMMYFUNCTION("IF(Account!$F638&lt;&gt;"""", VALUE(REGEXREPLACE($I638, ""\,"", ""."")), """")"),"")</f>
        <v/>
      </c>
      <c r="O638" s="35" t="str">
        <f>IF(Account!$F638&lt;&gt;"", DATEVALUE(MID($A638,4,3) &amp; LEFT($A638,3) &amp; RIGHT($A638,4)) + TIMEVALUE($B638), "")</f>
        <v/>
      </c>
      <c r="P638" s="36" t="str">
        <f>IF(Account!$F638&lt;&gt;"", DATEVALUE(MID($C638,4,3) &amp; LEFT($C638,3) &amp; RIGHT($C638,4)), "")</f>
        <v/>
      </c>
      <c r="Q638" s="37" t="str">
        <f t="array" ref="Q638">IF($R638&lt;&gt;"",IFERROR(INDEX(ISIN!$B:$B,MATCH($R638,ISIN!$C:$C,0))),)</f>
        <v/>
      </c>
      <c r="R638" s="38" t="str">
        <f t="array" ref="R638">IF($E638&lt;&gt;"",IFERROR(INDEX(ISIN!$C:$C,MATCH($E638,ISIN!$A:$A,0)),IFERROR(INDEX($R639:$R1200,MATCH($K638,$K639:$K1200,0)))),IF(AND($Y638="change",$H638="EUR"),IF($O638=$O639,$R639,IF($O638=$O637,$R637)),IFERROR(INDEX($R639:$R1200,MATCH(SUBSTITUTE($I638,"-","",1),$K639:$K1200,0)))))</f>
        <v/>
      </c>
      <c r="S638" s="37" t="str">
        <f t="shared" si="1"/>
        <v/>
      </c>
      <c r="T638" s="39" t="str">
        <f t="shared" si="2"/>
        <v/>
      </c>
      <c r="U638" s="40" t="str">
        <f t="shared" si="3"/>
        <v/>
      </c>
      <c r="V638" s="34" t="str">
        <f t="shared" si="4"/>
        <v/>
      </c>
      <c r="W638" s="41" t="str">
        <f>IFERROR(__xludf.DUMMYFUNCTION(" IF(Account!$F638&lt;&gt;"""", SPLIT(Account!$F638, "" ""), """")"),"")</f>
        <v/>
      </c>
      <c r="X638" s="42"/>
      <c r="Y638" s="42"/>
      <c r="Z638" s="42"/>
      <c r="AA638" s="42"/>
      <c r="AB638" s="42"/>
      <c r="AC638" s="42"/>
      <c r="AD638" s="42"/>
      <c r="AE638" s="42"/>
      <c r="AF638" s="42"/>
      <c r="AG638" s="42"/>
      <c r="AH638" s="42"/>
      <c r="AI638" s="42"/>
      <c r="AJ638" s="42"/>
      <c r="AK638" s="42"/>
    </row>
    <row r="639">
      <c r="A639" s="20"/>
      <c r="B639" s="20"/>
      <c r="C639" s="20"/>
      <c r="D639" s="20"/>
      <c r="E639" s="20"/>
      <c r="F639" s="21"/>
      <c r="G639" s="45"/>
      <c r="H639" s="20"/>
      <c r="I639" s="20"/>
      <c r="J639" s="20"/>
      <c r="K639" s="20"/>
      <c r="L639" s="21"/>
      <c r="M639" s="33" t="str">
        <f>IFERROR(__xludf.DUMMYFUNCTION("IFS(W639=""Achat"",IFERROR(VALUE(X639),VALUE(REGEXREPLACE(T(X639),""[^0-9]"",""""))),W639=""Vente"",-IFERROR(VALUE(X639),VALUE(REGEXREPLACE(T(X639),""[^0-9]"",""""))),Y639=""Change"",0,Y639&lt;&gt;""Change"","""")"),"")</f>
        <v/>
      </c>
      <c r="N639" s="34" t="str">
        <f>IFERROR(__xludf.DUMMYFUNCTION("IF(Account!$F639&lt;&gt;"""", VALUE(REGEXREPLACE($I639, ""\,"", ""."")), """")"),"")</f>
        <v/>
      </c>
      <c r="O639" s="35" t="str">
        <f>IF(Account!$F639&lt;&gt;"", DATEVALUE(MID($A639,4,3) &amp; LEFT($A639,3) &amp; RIGHT($A639,4)) + TIMEVALUE($B639), "")</f>
        <v/>
      </c>
      <c r="P639" s="36" t="str">
        <f>IF(Account!$F639&lt;&gt;"", DATEVALUE(MID($C639,4,3) &amp; LEFT($C639,3) &amp; RIGHT($C639,4)), "")</f>
        <v/>
      </c>
      <c r="Q639" s="37" t="str">
        <f t="array" ref="Q639">IF($R639&lt;&gt;"",IFERROR(INDEX(ISIN!$B:$B,MATCH($R639,ISIN!$C:$C,0))),)</f>
        <v/>
      </c>
      <c r="R639" s="38" t="str">
        <f t="array" ref="R639">IF($E639&lt;&gt;"",IFERROR(INDEX(ISIN!$C:$C,MATCH($E639,ISIN!$A:$A,0)),IFERROR(INDEX($R640:$R1200,MATCH($K639,$K640:$K1200,0)))),IF(AND($Y639="change",$H639="EUR"),IF($O639=$O640,$R640,IF($O639=$O638,$R638)),IFERROR(INDEX($R640:$R1200,MATCH(SUBSTITUTE($I639,"-","",1),$K640:$K1200,0)))))</f>
        <v/>
      </c>
      <c r="S639" s="37" t="str">
        <f t="shared" si="1"/>
        <v/>
      </c>
      <c r="T639" s="39" t="str">
        <f t="shared" si="2"/>
        <v/>
      </c>
      <c r="U639" s="40" t="str">
        <f t="shared" si="3"/>
        <v/>
      </c>
      <c r="V639" s="34" t="str">
        <f t="shared" si="4"/>
        <v/>
      </c>
      <c r="W639" s="41" t="str">
        <f>IFERROR(__xludf.DUMMYFUNCTION(" IF(Account!$F639&lt;&gt;"""", SPLIT(Account!$F639, "" ""), """")"),"")</f>
        <v/>
      </c>
      <c r="X639" s="42"/>
      <c r="Y639" s="42"/>
      <c r="Z639" s="42"/>
      <c r="AA639" s="42"/>
      <c r="AB639" s="42"/>
      <c r="AC639" s="42"/>
      <c r="AD639" s="42"/>
      <c r="AE639" s="42"/>
      <c r="AF639" s="42"/>
      <c r="AG639" s="42"/>
      <c r="AH639" s="42"/>
      <c r="AI639" s="42"/>
      <c r="AJ639" s="42"/>
      <c r="AK639" s="42"/>
    </row>
    <row r="640">
      <c r="A640" s="20"/>
      <c r="B640" s="20"/>
      <c r="C640" s="20"/>
      <c r="D640" s="20"/>
      <c r="E640" s="20"/>
      <c r="F640" s="21"/>
      <c r="G640" s="20"/>
      <c r="H640" s="20"/>
      <c r="I640" s="20"/>
      <c r="J640" s="20"/>
      <c r="K640" s="20"/>
      <c r="L640" s="21"/>
      <c r="M640" s="33" t="str">
        <f>IFERROR(__xludf.DUMMYFUNCTION("IFS(W640=""Achat"",IFERROR(VALUE(X640),VALUE(REGEXREPLACE(T(X640),""[^0-9]"",""""))),W640=""Vente"",-IFERROR(VALUE(X640),VALUE(REGEXREPLACE(T(X640),""[^0-9]"",""""))),Y640=""Change"",0,Y640&lt;&gt;""Change"","""")"),"")</f>
        <v/>
      </c>
      <c r="N640" s="34" t="str">
        <f>IFERROR(__xludf.DUMMYFUNCTION("IF(Account!$F640&lt;&gt;"""", VALUE(REGEXREPLACE($I640, ""\,"", ""."")), """")"),"")</f>
        <v/>
      </c>
      <c r="O640" s="35" t="str">
        <f>IF(Account!$F640&lt;&gt;"", DATEVALUE(MID($A640,4,3) &amp; LEFT($A640,3) &amp; RIGHT($A640,4)) + TIMEVALUE($B640), "")</f>
        <v/>
      </c>
      <c r="P640" s="36" t="str">
        <f>IF(Account!$F640&lt;&gt;"", DATEVALUE(MID($C640,4,3) &amp; LEFT($C640,3) &amp; RIGHT($C640,4)), "")</f>
        <v/>
      </c>
      <c r="Q640" s="37" t="str">
        <f t="array" ref="Q640">IF($R640&lt;&gt;"",IFERROR(INDEX(ISIN!$B:$B,MATCH($R640,ISIN!$C:$C,0))),)</f>
        <v/>
      </c>
      <c r="R640" s="38" t="str">
        <f t="array" ref="R640">IF($E640&lt;&gt;"",IFERROR(INDEX(ISIN!$C:$C,MATCH($E640,ISIN!$A:$A,0)),IFERROR(INDEX($R641:$R1200,MATCH($K640,$K641:$K1200,0)))),IF(AND($Y640="change",$H640="EUR"),IF($O640=$O641,$R641,IF($O640=$O639,$R639)),IFERROR(INDEX($R641:$R1200,MATCH(SUBSTITUTE($I640,"-","",1),$K641:$K1200,0)))))</f>
        <v/>
      </c>
      <c r="S640" s="37" t="str">
        <f t="shared" si="1"/>
        <v/>
      </c>
      <c r="T640" s="39" t="str">
        <f t="shared" si="2"/>
        <v/>
      </c>
      <c r="U640" s="40" t="str">
        <f t="shared" si="3"/>
        <v/>
      </c>
      <c r="V640" s="34" t="str">
        <f t="shared" si="4"/>
        <v/>
      </c>
      <c r="W640" s="41" t="str">
        <f>IFERROR(__xludf.DUMMYFUNCTION(" IF(Account!$F640&lt;&gt;"""", SPLIT(Account!$F640, "" ""), """")"),"")</f>
        <v/>
      </c>
      <c r="X640" s="42"/>
      <c r="Y640" s="42"/>
      <c r="Z640" s="42"/>
      <c r="AA640" s="42"/>
      <c r="AB640" s="42"/>
      <c r="AC640" s="42"/>
      <c r="AD640" s="42"/>
      <c r="AE640" s="42"/>
      <c r="AF640" s="42"/>
      <c r="AG640" s="42"/>
      <c r="AH640" s="42"/>
      <c r="AI640" s="42"/>
      <c r="AJ640" s="42"/>
      <c r="AK640" s="42"/>
    </row>
    <row r="641">
      <c r="A641" s="20"/>
      <c r="B641" s="20"/>
      <c r="C641" s="20"/>
      <c r="D641" s="20"/>
      <c r="E641" s="20"/>
      <c r="F641" s="21"/>
      <c r="G641" s="45"/>
      <c r="H641" s="20"/>
      <c r="I641" s="20"/>
      <c r="J641" s="20"/>
      <c r="K641" s="20"/>
      <c r="L641" s="21"/>
      <c r="M641" s="33" t="str">
        <f>IFERROR(__xludf.DUMMYFUNCTION("IFS(W641=""Achat"",IFERROR(VALUE(X641),VALUE(REGEXREPLACE(T(X641),""[^0-9]"",""""))),W641=""Vente"",-IFERROR(VALUE(X641),VALUE(REGEXREPLACE(T(X641),""[^0-9]"",""""))),Y641=""Change"",0,Y641&lt;&gt;""Change"","""")"),"")</f>
        <v/>
      </c>
      <c r="N641" s="34" t="str">
        <f>IFERROR(__xludf.DUMMYFUNCTION("IF(Account!$F641&lt;&gt;"""", VALUE(REGEXREPLACE($I641, ""\,"", ""."")), """")"),"")</f>
        <v/>
      </c>
      <c r="O641" s="35" t="str">
        <f>IF(Account!$F641&lt;&gt;"", DATEVALUE(MID($A641,4,3) &amp; LEFT($A641,3) &amp; RIGHT($A641,4)) + TIMEVALUE($B641), "")</f>
        <v/>
      </c>
      <c r="P641" s="36" t="str">
        <f>IF(Account!$F641&lt;&gt;"", DATEVALUE(MID($C641,4,3) &amp; LEFT($C641,3) &amp; RIGHT($C641,4)), "")</f>
        <v/>
      </c>
      <c r="Q641" s="37" t="str">
        <f t="array" ref="Q641">IF($R641&lt;&gt;"",IFERROR(INDEX(ISIN!$B:$B,MATCH($R641,ISIN!$C:$C,0))),)</f>
        <v/>
      </c>
      <c r="R641" s="38" t="str">
        <f t="array" ref="R641">IF($E641&lt;&gt;"",IFERROR(INDEX(ISIN!$C:$C,MATCH($E641,ISIN!$A:$A,0)),IFERROR(INDEX($R642:$R1200,MATCH($K641,$K642:$K1200,0)))),IF(AND($Y641="change",$H641="EUR"),IF($O641=$O642,$R642,IF($O641=$O640,$R640)),IFERROR(INDEX($R642:$R1200,MATCH(SUBSTITUTE($I641,"-","",1),$K642:$K1200,0)))))</f>
        <v/>
      </c>
      <c r="S641" s="37" t="str">
        <f t="shared" si="1"/>
        <v/>
      </c>
      <c r="T641" s="39" t="str">
        <f t="shared" si="2"/>
        <v/>
      </c>
      <c r="U641" s="40" t="str">
        <f t="shared" si="3"/>
        <v/>
      </c>
      <c r="V641" s="34" t="str">
        <f t="shared" si="4"/>
        <v/>
      </c>
      <c r="W641" s="41" t="str">
        <f>IFERROR(__xludf.DUMMYFUNCTION(" IF(Account!$F641&lt;&gt;"""", SPLIT(Account!$F641, "" ""), """")"),"")</f>
        <v/>
      </c>
      <c r="X641" s="42"/>
      <c r="Y641" s="42"/>
      <c r="Z641" s="42"/>
      <c r="AA641" s="42"/>
      <c r="AB641" s="42"/>
      <c r="AC641" s="42"/>
      <c r="AD641" s="42"/>
      <c r="AE641" s="42"/>
      <c r="AF641" s="42"/>
      <c r="AG641" s="42"/>
      <c r="AH641" s="42"/>
      <c r="AI641" s="42"/>
      <c r="AJ641" s="42"/>
      <c r="AK641" s="42"/>
    </row>
    <row r="642">
      <c r="A642" s="20"/>
      <c r="B642" s="20"/>
      <c r="C642" s="20"/>
      <c r="D642" s="20"/>
      <c r="E642" s="20"/>
      <c r="F642" s="21"/>
      <c r="G642" s="20"/>
      <c r="H642" s="20"/>
      <c r="I642" s="20"/>
      <c r="J642" s="20"/>
      <c r="K642" s="20"/>
      <c r="L642" s="21"/>
      <c r="M642" s="33" t="str">
        <f>IFERROR(__xludf.DUMMYFUNCTION("IFS(W642=""Achat"",IFERROR(VALUE(X642),VALUE(REGEXREPLACE(T(X642),""[^0-9]"",""""))),W642=""Vente"",-IFERROR(VALUE(X642),VALUE(REGEXREPLACE(T(X642),""[^0-9]"",""""))),Y642=""Change"",0,Y642&lt;&gt;""Change"","""")"),"")</f>
        <v/>
      </c>
      <c r="N642" s="34" t="str">
        <f>IFERROR(__xludf.DUMMYFUNCTION("IF(Account!$F642&lt;&gt;"""", VALUE(REGEXREPLACE($I642, ""\,"", ""."")), """")"),"")</f>
        <v/>
      </c>
      <c r="O642" s="35" t="str">
        <f>IF(Account!$F642&lt;&gt;"", DATEVALUE(MID($A642,4,3) &amp; LEFT($A642,3) &amp; RIGHT($A642,4)) + TIMEVALUE($B642), "")</f>
        <v/>
      </c>
      <c r="P642" s="36" t="str">
        <f>IF(Account!$F642&lt;&gt;"", DATEVALUE(MID($C642,4,3) &amp; LEFT($C642,3) &amp; RIGHT($C642,4)), "")</f>
        <v/>
      </c>
      <c r="Q642" s="37" t="str">
        <f t="array" ref="Q642">IF($R642&lt;&gt;"",IFERROR(INDEX(ISIN!$B:$B,MATCH($R642,ISIN!$C:$C,0))),)</f>
        <v/>
      </c>
      <c r="R642" s="38" t="str">
        <f t="array" ref="R642">IF($E642&lt;&gt;"",IFERROR(INDEX(ISIN!$C:$C,MATCH($E642,ISIN!$A:$A,0)),IFERROR(INDEX($R643:$R1200,MATCH($K642,$K643:$K1200,0)))),IF(AND($Y642="change",$H642="EUR"),IF($O642=$O643,$R643,IF($O642=$O641,$R641)),IFERROR(INDEX($R643:$R1200,MATCH(SUBSTITUTE($I642,"-","",1),$K643:$K1200,0)))))</f>
        <v/>
      </c>
      <c r="S642" s="37" t="str">
        <f t="shared" si="1"/>
        <v/>
      </c>
      <c r="T642" s="39" t="str">
        <f t="shared" si="2"/>
        <v/>
      </c>
      <c r="U642" s="40" t="str">
        <f t="shared" si="3"/>
        <v/>
      </c>
      <c r="V642" s="34" t="str">
        <f t="shared" si="4"/>
        <v/>
      </c>
      <c r="W642" s="41" t="str">
        <f>IFERROR(__xludf.DUMMYFUNCTION(" IF(Account!$F642&lt;&gt;"""", SPLIT(Account!$F642, "" ""), """")"),"")</f>
        <v/>
      </c>
      <c r="X642" s="42"/>
      <c r="Y642" s="42"/>
      <c r="Z642" s="42"/>
      <c r="AA642" s="42"/>
      <c r="AB642" s="42"/>
      <c r="AC642" s="42"/>
      <c r="AD642" s="42"/>
      <c r="AE642" s="42"/>
      <c r="AF642" s="42"/>
      <c r="AG642" s="42"/>
      <c r="AH642" s="42"/>
      <c r="AI642" s="42"/>
      <c r="AJ642" s="42"/>
      <c r="AK642" s="42"/>
    </row>
    <row r="643">
      <c r="A643" s="20"/>
      <c r="B643" s="20"/>
      <c r="C643" s="20"/>
      <c r="D643" s="20"/>
      <c r="E643" s="20"/>
      <c r="F643" s="21"/>
      <c r="G643" s="45"/>
      <c r="H643" s="20"/>
      <c r="I643" s="20"/>
      <c r="J643" s="20"/>
      <c r="K643" s="20"/>
      <c r="L643" s="21"/>
      <c r="M643" s="33" t="str">
        <f>IFERROR(__xludf.DUMMYFUNCTION("IFS(W643=""Achat"",IFERROR(VALUE(X643),VALUE(REGEXREPLACE(T(X643),""[^0-9]"",""""))),W643=""Vente"",-IFERROR(VALUE(X643),VALUE(REGEXREPLACE(T(X643),""[^0-9]"",""""))),Y643=""Change"",0,Y643&lt;&gt;""Change"","""")"),"")</f>
        <v/>
      </c>
      <c r="N643" s="34" t="str">
        <f>IFERROR(__xludf.DUMMYFUNCTION("IF(Account!$F643&lt;&gt;"""", VALUE(REGEXREPLACE($I643, ""\,"", ""."")), """")"),"")</f>
        <v/>
      </c>
      <c r="O643" s="35" t="str">
        <f>IF(Account!$F643&lt;&gt;"", DATEVALUE(MID($A643,4,3) &amp; LEFT($A643,3) &amp; RIGHT($A643,4)) + TIMEVALUE($B643), "")</f>
        <v/>
      </c>
      <c r="P643" s="36" t="str">
        <f>IF(Account!$F643&lt;&gt;"", DATEVALUE(MID($C643,4,3) &amp; LEFT($C643,3) &amp; RIGHT($C643,4)), "")</f>
        <v/>
      </c>
      <c r="Q643" s="37" t="str">
        <f t="array" ref="Q643">IF($R643&lt;&gt;"",IFERROR(INDEX(ISIN!$B:$B,MATCH($R643,ISIN!$C:$C,0))),)</f>
        <v/>
      </c>
      <c r="R643" s="38" t="str">
        <f t="array" ref="R643">IF($E643&lt;&gt;"",IFERROR(INDEX(ISIN!$C:$C,MATCH($E643,ISIN!$A:$A,0)),IFERROR(INDEX($R644:$R1200,MATCH($K643,$K644:$K1200,0)))),IF(AND($Y643="change",$H643="EUR"),IF($O643=$O644,$R644,IF($O643=$O642,$R642)),IFERROR(INDEX($R644:$R1200,MATCH(SUBSTITUTE($I643,"-","",1),$K644:$K1200,0)))))</f>
        <v/>
      </c>
      <c r="S643" s="37" t="str">
        <f t="shared" si="1"/>
        <v/>
      </c>
      <c r="T643" s="39" t="str">
        <f t="shared" si="2"/>
        <v/>
      </c>
      <c r="U643" s="40" t="str">
        <f t="shared" si="3"/>
        <v/>
      </c>
      <c r="V643" s="34" t="str">
        <f t="shared" si="4"/>
        <v/>
      </c>
      <c r="W643" s="41" t="str">
        <f>IFERROR(__xludf.DUMMYFUNCTION(" IF(Account!$F643&lt;&gt;"""", SPLIT(Account!$F643, "" ""), """")"),"")</f>
        <v/>
      </c>
      <c r="X643" s="42"/>
      <c r="Y643" s="42"/>
      <c r="Z643" s="42"/>
      <c r="AA643" s="42"/>
      <c r="AB643" s="42"/>
      <c r="AC643" s="42"/>
      <c r="AD643" s="42"/>
      <c r="AE643" s="42"/>
      <c r="AF643" s="42"/>
      <c r="AG643" s="42"/>
      <c r="AH643" s="42"/>
      <c r="AI643" s="42"/>
      <c r="AJ643" s="42"/>
      <c r="AK643" s="42"/>
    </row>
    <row r="644">
      <c r="A644" s="20"/>
      <c r="B644" s="20"/>
      <c r="C644" s="20"/>
      <c r="D644" s="20"/>
      <c r="E644" s="20"/>
      <c r="F644" s="21"/>
      <c r="G644" s="45"/>
      <c r="H644" s="20"/>
      <c r="I644" s="20"/>
      <c r="J644" s="20"/>
      <c r="K644" s="20"/>
      <c r="L644" s="21"/>
      <c r="M644" s="33" t="str">
        <f>IFERROR(__xludf.DUMMYFUNCTION("IFS(W644=""Achat"",IFERROR(VALUE(X644),VALUE(REGEXREPLACE(T(X644),""[^0-9]"",""""))),W644=""Vente"",-IFERROR(VALUE(X644),VALUE(REGEXREPLACE(T(X644),""[^0-9]"",""""))),Y644=""Change"",0,Y644&lt;&gt;""Change"","""")"),"")</f>
        <v/>
      </c>
      <c r="N644" s="34" t="str">
        <f>IFERROR(__xludf.DUMMYFUNCTION("IF(Account!$F644&lt;&gt;"""", VALUE(REGEXREPLACE($I644, ""\,"", ""."")), """")"),"")</f>
        <v/>
      </c>
      <c r="O644" s="35" t="str">
        <f>IF(Account!$F644&lt;&gt;"", DATEVALUE(MID($A644,4,3) &amp; LEFT($A644,3) &amp; RIGHT($A644,4)) + TIMEVALUE($B644), "")</f>
        <v/>
      </c>
      <c r="P644" s="36" t="str">
        <f>IF(Account!$F644&lt;&gt;"", DATEVALUE(MID($C644,4,3) &amp; LEFT($C644,3) &amp; RIGHT($C644,4)), "")</f>
        <v/>
      </c>
      <c r="Q644" s="37" t="str">
        <f t="array" ref="Q644">IF($R644&lt;&gt;"",IFERROR(INDEX(ISIN!$B:$B,MATCH($R644,ISIN!$C:$C,0))),)</f>
        <v/>
      </c>
      <c r="R644" s="38" t="str">
        <f t="array" ref="R644">IF($E644&lt;&gt;"",IFERROR(INDEX(ISIN!$C:$C,MATCH($E644,ISIN!$A:$A,0)),IFERROR(INDEX($R645:$R1200,MATCH($K644,$K645:$K1200,0)))),IF(AND($Y644="change",$H644="EUR"),IF($O644=$O645,$R645,IF($O644=$O643,$R643)),IFERROR(INDEX($R645:$R1200,MATCH(SUBSTITUTE($I644,"-","",1),$K645:$K1200,0)))))</f>
        <v/>
      </c>
      <c r="S644" s="37" t="str">
        <f t="shared" si="1"/>
        <v/>
      </c>
      <c r="T644" s="39" t="str">
        <f t="shared" si="2"/>
        <v/>
      </c>
      <c r="U644" s="40" t="str">
        <f t="shared" si="3"/>
        <v/>
      </c>
      <c r="V644" s="34" t="str">
        <f t="shared" si="4"/>
        <v/>
      </c>
      <c r="W644" s="41" t="str">
        <f>IFERROR(__xludf.DUMMYFUNCTION(" IF(Account!$F644&lt;&gt;"""", SPLIT(Account!$F644, "" ""), """")"),"")</f>
        <v/>
      </c>
      <c r="X644" s="42"/>
      <c r="Y644" s="42"/>
      <c r="Z644" s="42"/>
      <c r="AA644" s="42"/>
      <c r="AB644" s="42"/>
      <c r="AC644" s="42"/>
      <c r="AD644" s="42"/>
      <c r="AE644" s="42"/>
      <c r="AF644" s="42"/>
      <c r="AG644" s="42"/>
      <c r="AH644" s="42"/>
      <c r="AI644" s="42"/>
      <c r="AJ644" s="42"/>
      <c r="AK644" s="42"/>
    </row>
    <row r="645">
      <c r="A645" s="20"/>
      <c r="B645" s="20"/>
      <c r="C645" s="20"/>
      <c r="D645" s="20"/>
      <c r="E645" s="20"/>
      <c r="F645" s="21"/>
      <c r="G645" s="45"/>
      <c r="H645" s="20"/>
      <c r="I645" s="20"/>
      <c r="J645" s="20"/>
      <c r="K645" s="20"/>
      <c r="L645" s="21"/>
      <c r="M645" s="33" t="str">
        <f>IFERROR(__xludf.DUMMYFUNCTION("IFS(W645=""Achat"",IFERROR(VALUE(X645),VALUE(REGEXREPLACE(T(X645),""[^0-9]"",""""))),W645=""Vente"",-IFERROR(VALUE(X645),VALUE(REGEXREPLACE(T(X645),""[^0-9]"",""""))),Y645=""Change"",0,Y645&lt;&gt;""Change"","""")"),"")</f>
        <v/>
      </c>
      <c r="N645" s="34" t="str">
        <f>IFERROR(__xludf.DUMMYFUNCTION("IF(Account!$F645&lt;&gt;"""", VALUE(REGEXREPLACE($I645, ""\,"", ""."")), """")"),"")</f>
        <v/>
      </c>
      <c r="O645" s="35" t="str">
        <f>IF(Account!$F645&lt;&gt;"", DATEVALUE(MID($A645,4,3) &amp; LEFT($A645,3) &amp; RIGHT($A645,4)) + TIMEVALUE($B645), "")</f>
        <v/>
      </c>
      <c r="P645" s="36" t="str">
        <f>IF(Account!$F645&lt;&gt;"", DATEVALUE(MID($C645,4,3) &amp; LEFT($C645,3) &amp; RIGHT($C645,4)), "")</f>
        <v/>
      </c>
      <c r="Q645" s="37" t="str">
        <f t="array" ref="Q645">IF($R645&lt;&gt;"",IFERROR(INDEX(ISIN!$B:$B,MATCH($R645,ISIN!$C:$C,0))),)</f>
        <v/>
      </c>
      <c r="R645" s="38" t="str">
        <f t="array" ref="R645">IF($E645&lt;&gt;"",IFERROR(INDEX(ISIN!$C:$C,MATCH($E645,ISIN!$A:$A,0)),IFERROR(INDEX($R646:$R1200,MATCH($K645,$K646:$K1200,0)))),IF(AND($Y645="change",$H645="EUR"),IF($O645=$O646,$R646,IF($O645=$O644,$R644)),IFERROR(INDEX($R646:$R1200,MATCH(SUBSTITUTE($I645,"-","",1),$K646:$K1200,0)))))</f>
        <v/>
      </c>
      <c r="S645" s="37" t="str">
        <f t="shared" si="1"/>
        <v/>
      </c>
      <c r="T645" s="39" t="str">
        <f t="shared" si="2"/>
        <v/>
      </c>
      <c r="U645" s="40" t="str">
        <f t="shared" si="3"/>
        <v/>
      </c>
      <c r="V645" s="34" t="str">
        <f t="shared" si="4"/>
        <v/>
      </c>
      <c r="W645" s="41" t="str">
        <f>IFERROR(__xludf.DUMMYFUNCTION(" IF(Account!$F645&lt;&gt;"""", SPLIT(Account!$F645, "" ""), """")"),"")</f>
        <v/>
      </c>
      <c r="X645" s="42"/>
      <c r="Y645" s="42"/>
      <c r="Z645" s="42"/>
      <c r="AA645" s="42"/>
      <c r="AB645" s="42"/>
      <c r="AC645" s="42"/>
      <c r="AD645" s="42"/>
      <c r="AE645" s="42"/>
      <c r="AF645" s="42"/>
      <c r="AG645" s="42"/>
      <c r="AH645" s="42"/>
      <c r="AI645" s="42"/>
      <c r="AJ645" s="42"/>
      <c r="AK645" s="42"/>
    </row>
    <row r="646">
      <c r="A646" s="20"/>
      <c r="B646" s="20"/>
      <c r="C646" s="20"/>
      <c r="D646" s="20"/>
      <c r="E646" s="20"/>
      <c r="F646" s="21"/>
      <c r="G646" s="45"/>
      <c r="H646" s="20"/>
      <c r="I646" s="20"/>
      <c r="J646" s="20"/>
      <c r="K646" s="20"/>
      <c r="L646" s="21"/>
      <c r="M646" s="33" t="str">
        <f>IFERROR(__xludf.DUMMYFUNCTION("IFS(W646=""Achat"",IFERROR(VALUE(X646),VALUE(REGEXREPLACE(T(X646),""[^0-9]"",""""))),W646=""Vente"",-IFERROR(VALUE(X646),VALUE(REGEXREPLACE(T(X646),""[^0-9]"",""""))),Y646=""Change"",0,Y646&lt;&gt;""Change"","""")"),"")</f>
        <v/>
      </c>
      <c r="N646" s="34" t="str">
        <f>IFERROR(__xludf.DUMMYFUNCTION("IF(Account!$F646&lt;&gt;"""", VALUE(REGEXREPLACE($I646, ""\,"", ""."")), """")"),"")</f>
        <v/>
      </c>
      <c r="O646" s="35" t="str">
        <f>IF(Account!$F646&lt;&gt;"", DATEVALUE(MID($A646,4,3) &amp; LEFT($A646,3) &amp; RIGHT($A646,4)) + TIMEVALUE($B646), "")</f>
        <v/>
      </c>
      <c r="P646" s="36" t="str">
        <f>IF(Account!$F646&lt;&gt;"", DATEVALUE(MID($C646,4,3) &amp; LEFT($C646,3) &amp; RIGHT($C646,4)), "")</f>
        <v/>
      </c>
      <c r="Q646" s="37" t="str">
        <f t="array" ref="Q646">IF($R646&lt;&gt;"",IFERROR(INDEX(ISIN!$B:$B,MATCH($R646,ISIN!$C:$C,0))),)</f>
        <v/>
      </c>
      <c r="R646" s="38" t="str">
        <f t="array" ref="R646">IF($E646&lt;&gt;"",IFERROR(INDEX(ISIN!$C:$C,MATCH($E646,ISIN!$A:$A,0)),IFERROR(INDEX($R647:$R1200,MATCH($K646,$K647:$K1200,0)))),IF(AND($Y646="change",$H646="EUR"),IF($O646=$O647,$R647,IF($O646=$O645,$R645)),IFERROR(INDEX($R647:$R1200,MATCH(SUBSTITUTE($I646,"-","",1),$K647:$K1200,0)))))</f>
        <v/>
      </c>
      <c r="S646" s="37" t="str">
        <f t="shared" si="1"/>
        <v/>
      </c>
      <c r="T646" s="39" t="str">
        <f t="shared" si="2"/>
        <v/>
      </c>
      <c r="U646" s="40" t="str">
        <f t="shared" si="3"/>
        <v/>
      </c>
      <c r="V646" s="34" t="str">
        <f t="shared" si="4"/>
        <v/>
      </c>
      <c r="W646" s="41" t="str">
        <f>IFERROR(__xludf.DUMMYFUNCTION(" IF(Account!$F646&lt;&gt;"""", SPLIT(Account!$F646, "" ""), """")"),"")</f>
        <v/>
      </c>
      <c r="X646" s="42"/>
      <c r="Y646" s="42"/>
      <c r="Z646" s="42"/>
      <c r="AA646" s="42"/>
      <c r="AB646" s="42"/>
      <c r="AC646" s="42"/>
      <c r="AD646" s="42"/>
      <c r="AE646" s="42"/>
      <c r="AF646" s="42"/>
      <c r="AG646" s="42"/>
      <c r="AH646" s="42"/>
      <c r="AI646" s="42"/>
      <c r="AJ646" s="42"/>
      <c r="AK646" s="42"/>
    </row>
    <row r="647">
      <c r="A647" s="20"/>
      <c r="B647" s="20"/>
      <c r="C647" s="20"/>
      <c r="D647" s="20"/>
      <c r="E647" s="20"/>
      <c r="F647" s="21"/>
      <c r="G647" s="45"/>
      <c r="H647" s="20"/>
      <c r="I647" s="20"/>
      <c r="J647" s="20"/>
      <c r="K647" s="20"/>
      <c r="L647" s="21"/>
      <c r="M647" s="33" t="str">
        <f>IFERROR(__xludf.DUMMYFUNCTION("IFS(W647=""Achat"",IFERROR(VALUE(X647),VALUE(REGEXREPLACE(T(X647),""[^0-9]"",""""))),W647=""Vente"",-IFERROR(VALUE(X647),VALUE(REGEXREPLACE(T(X647),""[^0-9]"",""""))),Y647=""Change"",0,Y647&lt;&gt;""Change"","""")"),"")</f>
        <v/>
      </c>
      <c r="N647" s="34" t="str">
        <f>IFERROR(__xludf.DUMMYFUNCTION("IF(Account!$F647&lt;&gt;"""", VALUE(REGEXREPLACE($I647, ""\,"", ""."")), """")"),"")</f>
        <v/>
      </c>
      <c r="O647" s="35" t="str">
        <f>IF(Account!$F647&lt;&gt;"", DATEVALUE(MID($A647,4,3) &amp; LEFT($A647,3) &amp; RIGHT($A647,4)) + TIMEVALUE($B647), "")</f>
        <v/>
      </c>
      <c r="P647" s="36" t="str">
        <f>IF(Account!$F647&lt;&gt;"", DATEVALUE(MID($C647,4,3) &amp; LEFT($C647,3) &amp; RIGHT($C647,4)), "")</f>
        <v/>
      </c>
      <c r="Q647" s="37" t="str">
        <f t="array" ref="Q647">IF($R647&lt;&gt;"",IFERROR(INDEX(ISIN!$B:$B,MATCH($R647,ISIN!$C:$C,0))),)</f>
        <v/>
      </c>
      <c r="R647" s="38" t="str">
        <f t="array" ref="R647">IF($E647&lt;&gt;"",IFERROR(INDEX(ISIN!$C:$C,MATCH($E647,ISIN!$A:$A,0)),IFERROR(INDEX($R648:$R1200,MATCH($K647,$K648:$K1200,0)))),IF(AND($Y647="change",$H647="EUR"),IF($O647=$O648,$R648,IF($O647=$O646,$R646)),IFERROR(INDEX($R648:$R1200,MATCH(SUBSTITUTE($I647,"-","",1),$K648:$K1200,0)))))</f>
        <v/>
      </c>
      <c r="S647" s="37" t="str">
        <f t="shared" si="1"/>
        <v/>
      </c>
      <c r="T647" s="39" t="str">
        <f t="shared" si="2"/>
        <v/>
      </c>
      <c r="U647" s="40" t="str">
        <f t="shared" si="3"/>
        <v/>
      </c>
      <c r="V647" s="34" t="str">
        <f t="shared" si="4"/>
        <v/>
      </c>
      <c r="W647" s="41" t="str">
        <f>IFERROR(__xludf.DUMMYFUNCTION(" IF(Account!$F647&lt;&gt;"""", SPLIT(Account!$F647, "" ""), """")"),"")</f>
        <v/>
      </c>
      <c r="X647" s="42"/>
      <c r="Y647" s="42"/>
      <c r="Z647" s="42"/>
      <c r="AA647" s="42"/>
      <c r="AB647" s="42"/>
      <c r="AC647" s="42"/>
      <c r="AD647" s="42"/>
      <c r="AE647" s="42"/>
      <c r="AF647" s="42"/>
      <c r="AG647" s="42"/>
      <c r="AH647" s="42"/>
      <c r="AI647" s="42"/>
      <c r="AJ647" s="42"/>
      <c r="AK647" s="42"/>
    </row>
    <row r="648">
      <c r="A648" s="20"/>
      <c r="B648" s="20"/>
      <c r="C648" s="20"/>
      <c r="D648" s="45"/>
      <c r="E648" s="45"/>
      <c r="F648" s="21"/>
      <c r="G648" s="45"/>
      <c r="H648" s="20"/>
      <c r="I648" s="20"/>
      <c r="J648" s="20"/>
      <c r="K648" s="20"/>
      <c r="L648" s="46"/>
      <c r="M648" s="33" t="str">
        <f>IFERROR(__xludf.DUMMYFUNCTION("IFS(W648=""Achat"",IFERROR(VALUE(X648),VALUE(REGEXREPLACE(T(X648),""[^0-9]"",""""))),W648=""Vente"",-IFERROR(VALUE(X648),VALUE(REGEXREPLACE(T(X648),""[^0-9]"",""""))),Y648=""Change"",0,Y648&lt;&gt;""Change"","""")"),"")</f>
        <v/>
      </c>
      <c r="N648" s="34" t="str">
        <f>IFERROR(__xludf.DUMMYFUNCTION("IF(Account!$F648&lt;&gt;"""", VALUE(REGEXREPLACE($I648, ""\,"", ""."")), """")"),"")</f>
        <v/>
      </c>
      <c r="O648" s="35" t="str">
        <f>IF(Account!$F648&lt;&gt;"", DATEVALUE(MID($A648,4,3) &amp; LEFT($A648,3) &amp; RIGHT($A648,4)) + TIMEVALUE($B648), "")</f>
        <v/>
      </c>
      <c r="P648" s="36" t="str">
        <f>IF(Account!$F648&lt;&gt;"", DATEVALUE(MID($C648,4,3) &amp; LEFT($C648,3) &amp; RIGHT($C648,4)), "")</f>
        <v/>
      </c>
      <c r="Q648" s="37" t="str">
        <f t="array" ref="Q648">IF($R648&lt;&gt;"",IFERROR(INDEX(ISIN!$B:$B,MATCH($R648,ISIN!$C:$C,0))),)</f>
        <v/>
      </c>
      <c r="R648" s="38" t="str">
        <f t="array" ref="R648">IF($E648&lt;&gt;"",IFERROR(INDEX(ISIN!$C:$C,MATCH($E648,ISIN!$A:$A,0)),IFERROR(INDEX($R649:$R1200,MATCH($K648,$K649:$K1200,0)))),IF(AND($Y648="change",$H648="EUR"),IF($O648=$O649,$R649,IF($O648=$O647,$R647)),IFERROR(INDEX($R649:$R1200,MATCH(SUBSTITUTE($I648,"-","",1),$K649:$K1200,0)))))</f>
        <v/>
      </c>
      <c r="S648" s="37" t="str">
        <f t="shared" si="1"/>
        <v/>
      </c>
      <c r="T648" s="39" t="str">
        <f t="shared" si="2"/>
        <v/>
      </c>
      <c r="U648" s="40" t="str">
        <f t="shared" si="3"/>
        <v/>
      </c>
      <c r="V648" s="34" t="str">
        <f t="shared" si="4"/>
        <v/>
      </c>
      <c r="W648" s="41" t="str">
        <f>IFERROR(__xludf.DUMMYFUNCTION(" IF(Account!$F648&lt;&gt;"""", SPLIT(Account!$F648, "" ""), """")"),"")</f>
        <v/>
      </c>
      <c r="X648" s="42"/>
      <c r="Y648" s="42"/>
      <c r="Z648" s="42"/>
      <c r="AA648" s="42"/>
      <c r="AB648" s="42"/>
      <c r="AC648" s="42"/>
      <c r="AD648" s="42"/>
      <c r="AE648" s="42"/>
      <c r="AF648" s="42"/>
      <c r="AG648" s="42"/>
      <c r="AH648" s="42"/>
      <c r="AI648" s="42"/>
      <c r="AJ648" s="42"/>
      <c r="AK648" s="42"/>
    </row>
    <row r="649">
      <c r="A649" s="20"/>
      <c r="B649" s="20"/>
      <c r="C649" s="20"/>
      <c r="D649" s="20"/>
      <c r="E649" s="20"/>
      <c r="F649" s="21"/>
      <c r="G649" s="45"/>
      <c r="H649" s="20"/>
      <c r="I649" s="20"/>
      <c r="J649" s="20"/>
      <c r="K649" s="20"/>
      <c r="L649" s="21"/>
      <c r="M649" s="33" t="str">
        <f>IFERROR(__xludf.DUMMYFUNCTION("IFS(W649=""Achat"",IFERROR(VALUE(X649),VALUE(REGEXREPLACE(T(X649),""[^0-9]"",""""))),W649=""Vente"",-IFERROR(VALUE(X649),VALUE(REGEXREPLACE(T(X649),""[^0-9]"",""""))),Y649=""Change"",0,Y649&lt;&gt;""Change"","""")"),"")</f>
        <v/>
      </c>
      <c r="N649" s="34" t="str">
        <f>IFERROR(__xludf.DUMMYFUNCTION("IF(Account!$F649&lt;&gt;"""", VALUE(REGEXREPLACE($I649, ""\,"", ""."")), """")"),"")</f>
        <v/>
      </c>
      <c r="O649" s="35" t="str">
        <f>IF(Account!$F649&lt;&gt;"", DATEVALUE(MID($A649,4,3) &amp; LEFT($A649,3) &amp; RIGHT($A649,4)) + TIMEVALUE($B649), "")</f>
        <v/>
      </c>
      <c r="P649" s="36" t="str">
        <f>IF(Account!$F649&lt;&gt;"", DATEVALUE(MID($C649,4,3) &amp; LEFT($C649,3) &amp; RIGHT($C649,4)), "")</f>
        <v/>
      </c>
      <c r="Q649" s="37" t="str">
        <f t="array" ref="Q649">IF($R649&lt;&gt;"",IFERROR(INDEX(ISIN!$B:$B,MATCH($R649,ISIN!$C:$C,0))),)</f>
        <v/>
      </c>
      <c r="R649" s="38" t="str">
        <f t="array" ref="R649">IF($E649&lt;&gt;"",IFERROR(INDEX(ISIN!$C:$C,MATCH($E649,ISIN!$A:$A,0)),IFERROR(INDEX($R650:$R1200,MATCH($K649,$K650:$K1200,0)))),IF(AND($Y649="change",$H649="EUR"),IF($O649=$O650,$R650,IF($O649=$O648,$R648)),IFERROR(INDEX($R650:$R1200,MATCH(SUBSTITUTE($I649,"-","",1),$K650:$K1200,0)))))</f>
        <v/>
      </c>
      <c r="S649" s="37" t="str">
        <f t="shared" si="1"/>
        <v/>
      </c>
      <c r="T649" s="39" t="str">
        <f t="shared" si="2"/>
        <v/>
      </c>
      <c r="U649" s="40" t="str">
        <f t="shared" si="3"/>
        <v/>
      </c>
      <c r="V649" s="34" t="str">
        <f t="shared" si="4"/>
        <v/>
      </c>
      <c r="W649" s="41" t="str">
        <f>IFERROR(__xludf.DUMMYFUNCTION(" IF(Account!$F649&lt;&gt;"""", SPLIT(Account!$F649, "" ""), """")"),"")</f>
        <v/>
      </c>
      <c r="X649" s="42"/>
      <c r="Y649" s="42"/>
      <c r="Z649" s="42"/>
      <c r="AA649" s="42"/>
      <c r="AB649" s="42"/>
      <c r="AC649" s="42"/>
      <c r="AD649" s="42"/>
      <c r="AE649" s="42"/>
      <c r="AF649" s="42"/>
      <c r="AG649" s="42"/>
      <c r="AH649" s="42"/>
      <c r="AI649" s="42"/>
      <c r="AJ649" s="42"/>
      <c r="AK649" s="42"/>
    </row>
    <row r="650">
      <c r="A650" s="20"/>
      <c r="B650" s="20"/>
      <c r="C650" s="20"/>
      <c r="D650" s="20"/>
      <c r="E650" s="20"/>
      <c r="F650" s="21"/>
      <c r="G650" s="20"/>
      <c r="H650" s="20"/>
      <c r="I650" s="20"/>
      <c r="J650" s="20"/>
      <c r="K650" s="20"/>
      <c r="L650" s="21"/>
      <c r="M650" s="33" t="str">
        <f>IFERROR(__xludf.DUMMYFUNCTION("IFS(W650=""Achat"",IFERROR(VALUE(X650),VALUE(REGEXREPLACE(T(X650),""[^0-9]"",""""))),W650=""Vente"",-IFERROR(VALUE(X650),VALUE(REGEXREPLACE(T(X650),""[^0-9]"",""""))),Y650=""Change"",0,Y650&lt;&gt;""Change"","""")"),"")</f>
        <v/>
      </c>
      <c r="N650" s="34" t="str">
        <f>IFERROR(__xludf.DUMMYFUNCTION("IF(Account!$F650&lt;&gt;"""", VALUE(REGEXREPLACE($I650, ""\,"", ""."")), """")"),"")</f>
        <v/>
      </c>
      <c r="O650" s="35" t="str">
        <f>IF(Account!$F650&lt;&gt;"", DATEVALUE(MID($A650,4,3) &amp; LEFT($A650,3) &amp; RIGHT($A650,4)) + TIMEVALUE($B650), "")</f>
        <v/>
      </c>
      <c r="P650" s="36" t="str">
        <f>IF(Account!$F650&lt;&gt;"", DATEVALUE(MID($C650,4,3) &amp; LEFT($C650,3) &amp; RIGHT($C650,4)), "")</f>
        <v/>
      </c>
      <c r="Q650" s="37" t="str">
        <f t="array" ref="Q650">IF($R650&lt;&gt;"",IFERROR(INDEX(ISIN!$B:$B,MATCH($R650,ISIN!$C:$C,0))),)</f>
        <v/>
      </c>
      <c r="R650" s="38" t="str">
        <f t="array" ref="R650">IF($E650&lt;&gt;"",IFERROR(INDEX(ISIN!$C:$C,MATCH($E650,ISIN!$A:$A,0)),IFERROR(INDEX($R651:$R1200,MATCH($K650,$K651:$K1200,0)))),IF(AND($Y650="change",$H650="EUR"),IF($O650=$O651,$R651,IF($O650=$O649,$R649)),IFERROR(INDEX($R651:$R1200,MATCH(SUBSTITUTE($I650,"-","",1),$K651:$K1200,0)))))</f>
        <v/>
      </c>
      <c r="S650" s="37" t="str">
        <f t="shared" si="1"/>
        <v/>
      </c>
      <c r="T650" s="39" t="str">
        <f t="shared" si="2"/>
        <v/>
      </c>
      <c r="U650" s="40" t="str">
        <f t="shared" si="3"/>
        <v/>
      </c>
      <c r="V650" s="34" t="str">
        <f t="shared" si="4"/>
        <v/>
      </c>
      <c r="W650" s="41" t="str">
        <f>IFERROR(__xludf.DUMMYFUNCTION(" IF(Account!$F650&lt;&gt;"""", SPLIT(Account!$F650, "" ""), """")"),"")</f>
        <v/>
      </c>
      <c r="X650" s="42"/>
      <c r="Y650" s="42"/>
      <c r="Z650" s="42"/>
      <c r="AA650" s="42"/>
      <c r="AB650" s="42"/>
      <c r="AC650" s="42"/>
      <c r="AD650" s="42"/>
      <c r="AE650" s="42"/>
      <c r="AF650" s="42"/>
      <c r="AG650" s="42"/>
      <c r="AH650" s="42"/>
      <c r="AI650" s="42"/>
      <c r="AJ650" s="42"/>
      <c r="AK650" s="42"/>
    </row>
    <row r="651">
      <c r="A651" s="20"/>
      <c r="B651" s="20"/>
      <c r="C651" s="20"/>
      <c r="D651" s="20"/>
      <c r="E651" s="20"/>
      <c r="F651" s="21"/>
      <c r="G651" s="45"/>
      <c r="H651" s="20"/>
      <c r="I651" s="20"/>
      <c r="J651" s="20"/>
      <c r="K651" s="20"/>
      <c r="L651" s="21"/>
      <c r="M651" s="33" t="str">
        <f>IFERROR(__xludf.DUMMYFUNCTION("IFS(W651=""Achat"",IFERROR(VALUE(X651),VALUE(REGEXREPLACE(T(X651),""[^0-9]"",""""))),W651=""Vente"",-IFERROR(VALUE(X651),VALUE(REGEXREPLACE(T(X651),""[^0-9]"",""""))),Y651=""Change"",0,Y651&lt;&gt;""Change"","""")"),"")</f>
        <v/>
      </c>
      <c r="N651" s="34" t="str">
        <f>IFERROR(__xludf.DUMMYFUNCTION("IF(Account!$F651&lt;&gt;"""", VALUE(REGEXREPLACE($I651, ""\,"", ""."")), """")"),"")</f>
        <v/>
      </c>
      <c r="O651" s="35" t="str">
        <f>IF(Account!$F651&lt;&gt;"", DATEVALUE(MID($A651,4,3) &amp; LEFT($A651,3) &amp; RIGHT($A651,4)) + TIMEVALUE($B651), "")</f>
        <v/>
      </c>
      <c r="P651" s="36" t="str">
        <f>IF(Account!$F651&lt;&gt;"", DATEVALUE(MID($C651,4,3) &amp; LEFT($C651,3) &amp; RIGHT($C651,4)), "")</f>
        <v/>
      </c>
      <c r="Q651" s="37" t="str">
        <f t="array" ref="Q651">IF($R651&lt;&gt;"",IFERROR(INDEX(ISIN!$B:$B,MATCH($R651,ISIN!$C:$C,0))),)</f>
        <v/>
      </c>
      <c r="R651" s="38" t="str">
        <f t="array" ref="R651">IF($E651&lt;&gt;"",IFERROR(INDEX(ISIN!$C:$C,MATCH($E651,ISIN!$A:$A,0)),IFERROR(INDEX($R652:$R1200,MATCH($K651,$K652:$K1200,0)))),IF(AND($Y651="change",$H651="EUR"),IF($O651=$O652,$R652,IF($O651=$O650,$R650)),IFERROR(INDEX($R652:$R1200,MATCH(SUBSTITUTE($I651,"-","",1),$K652:$K1200,0)))))</f>
        <v/>
      </c>
      <c r="S651" s="37" t="str">
        <f t="shared" si="1"/>
        <v/>
      </c>
      <c r="T651" s="39" t="str">
        <f t="shared" si="2"/>
        <v/>
      </c>
      <c r="U651" s="40" t="str">
        <f t="shared" si="3"/>
        <v/>
      </c>
      <c r="V651" s="34" t="str">
        <f t="shared" si="4"/>
        <v/>
      </c>
      <c r="W651" s="41" t="str">
        <f>IFERROR(__xludf.DUMMYFUNCTION(" IF(Account!$F651&lt;&gt;"""", SPLIT(Account!$F651, "" ""), """")"),"")</f>
        <v/>
      </c>
      <c r="X651" s="42"/>
      <c r="Y651" s="42"/>
      <c r="Z651" s="42"/>
      <c r="AA651" s="42"/>
      <c r="AB651" s="42"/>
      <c r="AC651" s="42"/>
      <c r="AD651" s="42"/>
      <c r="AE651" s="42"/>
      <c r="AF651" s="42"/>
      <c r="AG651" s="42"/>
      <c r="AH651" s="42"/>
      <c r="AI651" s="42"/>
      <c r="AJ651" s="42"/>
      <c r="AK651" s="42"/>
    </row>
    <row r="652">
      <c r="A652" s="20"/>
      <c r="B652" s="20"/>
      <c r="C652" s="20"/>
      <c r="D652" s="20"/>
      <c r="E652" s="20"/>
      <c r="F652" s="21"/>
      <c r="G652" s="45"/>
      <c r="H652" s="20"/>
      <c r="I652" s="20"/>
      <c r="J652" s="20"/>
      <c r="K652" s="20"/>
      <c r="L652" s="21"/>
      <c r="M652" s="33" t="str">
        <f>IFERROR(__xludf.DUMMYFUNCTION("IFS(W652=""Achat"",IFERROR(VALUE(X652),VALUE(REGEXREPLACE(T(X652),""[^0-9]"",""""))),W652=""Vente"",-IFERROR(VALUE(X652),VALUE(REGEXREPLACE(T(X652),""[^0-9]"",""""))),Y652=""Change"",0,Y652&lt;&gt;""Change"","""")"),"")</f>
        <v/>
      </c>
      <c r="N652" s="34" t="str">
        <f>IFERROR(__xludf.DUMMYFUNCTION("IF(Account!$F652&lt;&gt;"""", VALUE(REGEXREPLACE($I652, ""\,"", ""."")), """")"),"")</f>
        <v/>
      </c>
      <c r="O652" s="35" t="str">
        <f>IF(Account!$F652&lt;&gt;"", DATEVALUE(MID($A652,4,3) &amp; LEFT($A652,3) &amp; RIGHT($A652,4)) + TIMEVALUE($B652), "")</f>
        <v/>
      </c>
      <c r="P652" s="36" t="str">
        <f>IF(Account!$F652&lt;&gt;"", DATEVALUE(MID($C652,4,3) &amp; LEFT($C652,3) &amp; RIGHT($C652,4)), "")</f>
        <v/>
      </c>
      <c r="Q652" s="37" t="str">
        <f t="array" ref="Q652">IF($R652&lt;&gt;"",IFERROR(INDEX(ISIN!$B:$B,MATCH($R652,ISIN!$C:$C,0))),)</f>
        <v/>
      </c>
      <c r="R652" s="38" t="str">
        <f t="array" ref="R652">IF($E652&lt;&gt;"",IFERROR(INDEX(ISIN!$C:$C,MATCH($E652,ISIN!$A:$A,0)),IFERROR(INDEX($R653:$R1200,MATCH($K652,$K653:$K1200,0)))),IF(AND($Y652="change",$H652="EUR"),IF($O652=$O653,$R653,IF($O652=$O651,$R651)),IFERROR(INDEX($R653:$R1200,MATCH(SUBSTITUTE($I652,"-","",1),$K653:$K1200,0)))))</f>
        <v/>
      </c>
      <c r="S652" s="37" t="str">
        <f t="shared" si="1"/>
        <v/>
      </c>
      <c r="T652" s="39" t="str">
        <f t="shared" si="2"/>
        <v/>
      </c>
      <c r="U652" s="40" t="str">
        <f t="shared" si="3"/>
        <v/>
      </c>
      <c r="V652" s="34" t="str">
        <f t="shared" si="4"/>
        <v/>
      </c>
      <c r="W652" s="41" t="str">
        <f>IFERROR(__xludf.DUMMYFUNCTION(" IF(Account!$F652&lt;&gt;"""", SPLIT(Account!$F652, "" ""), """")"),"")</f>
        <v/>
      </c>
      <c r="X652" s="42"/>
      <c r="Y652" s="42"/>
      <c r="Z652" s="42"/>
      <c r="AA652" s="42"/>
      <c r="AB652" s="42"/>
      <c r="AC652" s="42"/>
      <c r="AD652" s="42"/>
      <c r="AE652" s="42"/>
      <c r="AF652" s="42"/>
      <c r="AG652" s="42"/>
      <c r="AH652" s="42"/>
      <c r="AI652" s="42"/>
      <c r="AJ652" s="42"/>
      <c r="AK652" s="42"/>
    </row>
    <row r="653">
      <c r="A653" s="20"/>
      <c r="B653" s="20"/>
      <c r="C653" s="20"/>
      <c r="D653" s="20"/>
      <c r="E653" s="20"/>
      <c r="F653" s="21"/>
      <c r="G653" s="20"/>
      <c r="H653" s="20"/>
      <c r="I653" s="20"/>
      <c r="J653" s="20"/>
      <c r="K653" s="20"/>
      <c r="L653" s="21"/>
      <c r="M653" s="33" t="str">
        <f>IFERROR(__xludf.DUMMYFUNCTION("IFS(W653=""Achat"",IFERROR(VALUE(X653),VALUE(REGEXREPLACE(T(X653),""[^0-9]"",""""))),W653=""Vente"",-IFERROR(VALUE(X653),VALUE(REGEXREPLACE(T(X653),""[^0-9]"",""""))),Y653=""Change"",0,Y653&lt;&gt;""Change"","""")"),"")</f>
        <v/>
      </c>
      <c r="N653" s="34" t="str">
        <f>IFERROR(__xludf.DUMMYFUNCTION("IF(Account!$F653&lt;&gt;"""", VALUE(REGEXREPLACE($I653, ""\,"", ""."")), """")"),"")</f>
        <v/>
      </c>
      <c r="O653" s="35" t="str">
        <f>IF(Account!$F653&lt;&gt;"", DATEVALUE(MID($A653,4,3) &amp; LEFT($A653,3) &amp; RIGHT($A653,4)) + TIMEVALUE($B653), "")</f>
        <v/>
      </c>
      <c r="P653" s="36" t="str">
        <f>IF(Account!$F653&lt;&gt;"", DATEVALUE(MID($C653,4,3) &amp; LEFT($C653,3) &amp; RIGHT($C653,4)), "")</f>
        <v/>
      </c>
      <c r="Q653" s="37" t="str">
        <f t="array" ref="Q653">IF($R653&lt;&gt;"",IFERROR(INDEX(ISIN!$B:$B,MATCH($R653,ISIN!$C:$C,0))),)</f>
        <v/>
      </c>
      <c r="R653" s="38" t="str">
        <f t="array" ref="R653">IF($E653&lt;&gt;"",IFERROR(INDEX(ISIN!$C:$C,MATCH($E653,ISIN!$A:$A,0)),IFERROR(INDEX($R654:$R1200,MATCH($K653,$K654:$K1200,0)))),IF(AND($Y653="change",$H653="EUR"),IF($O653=$O654,$R654,IF($O653=$O652,$R652)),IFERROR(INDEX($R654:$R1200,MATCH(SUBSTITUTE($I653,"-","",1),$K654:$K1200,0)))))</f>
        <v/>
      </c>
      <c r="S653" s="37" t="str">
        <f t="shared" si="1"/>
        <v/>
      </c>
      <c r="T653" s="39" t="str">
        <f t="shared" si="2"/>
        <v/>
      </c>
      <c r="U653" s="40" t="str">
        <f t="shared" si="3"/>
        <v/>
      </c>
      <c r="V653" s="34" t="str">
        <f t="shared" si="4"/>
        <v/>
      </c>
      <c r="W653" s="41" t="str">
        <f>IFERROR(__xludf.DUMMYFUNCTION(" IF(Account!$F653&lt;&gt;"""", SPLIT(Account!$F653, "" ""), """")"),"")</f>
        <v/>
      </c>
      <c r="X653" s="42"/>
      <c r="Y653" s="42"/>
      <c r="Z653" s="42"/>
      <c r="AA653" s="42"/>
      <c r="AB653" s="42"/>
      <c r="AC653" s="42"/>
      <c r="AD653" s="42"/>
      <c r="AE653" s="42"/>
      <c r="AF653" s="42"/>
      <c r="AG653" s="42"/>
      <c r="AH653" s="42"/>
      <c r="AI653" s="42"/>
      <c r="AJ653" s="42"/>
      <c r="AK653" s="42"/>
    </row>
    <row r="654">
      <c r="A654" s="20"/>
      <c r="B654" s="20"/>
      <c r="C654" s="20"/>
      <c r="D654" s="20"/>
      <c r="E654" s="20"/>
      <c r="F654" s="21"/>
      <c r="G654" s="45"/>
      <c r="H654" s="20"/>
      <c r="I654" s="20"/>
      <c r="J654" s="20"/>
      <c r="K654" s="20"/>
      <c r="L654" s="21"/>
      <c r="M654" s="33" t="str">
        <f>IFERROR(__xludf.DUMMYFUNCTION("IFS(W654=""Achat"",IFERROR(VALUE(X654),VALUE(REGEXREPLACE(T(X654),""[^0-9]"",""""))),W654=""Vente"",-IFERROR(VALUE(X654),VALUE(REGEXREPLACE(T(X654),""[^0-9]"",""""))),Y654=""Change"",0,Y654&lt;&gt;""Change"","""")"),"")</f>
        <v/>
      </c>
      <c r="N654" s="34" t="str">
        <f>IFERROR(__xludf.DUMMYFUNCTION("IF(Account!$F654&lt;&gt;"""", VALUE(REGEXREPLACE($I654, ""\,"", ""."")), """")"),"")</f>
        <v/>
      </c>
      <c r="O654" s="35" t="str">
        <f>IF(Account!$F654&lt;&gt;"", DATEVALUE(MID($A654,4,3) &amp; LEFT($A654,3) &amp; RIGHT($A654,4)) + TIMEVALUE($B654), "")</f>
        <v/>
      </c>
      <c r="P654" s="36" t="str">
        <f>IF(Account!$F654&lt;&gt;"", DATEVALUE(MID($C654,4,3) &amp; LEFT($C654,3) &amp; RIGHT($C654,4)), "")</f>
        <v/>
      </c>
      <c r="Q654" s="37" t="str">
        <f t="array" ref="Q654">IF($R654&lt;&gt;"",IFERROR(INDEX(ISIN!$B:$B,MATCH($R654,ISIN!$C:$C,0))),)</f>
        <v/>
      </c>
      <c r="R654" s="38" t="str">
        <f t="array" ref="R654">IF($E654&lt;&gt;"",IFERROR(INDEX(ISIN!$C:$C,MATCH($E654,ISIN!$A:$A,0)),IFERROR(INDEX($R655:$R1200,MATCH($K654,$K655:$K1200,0)))),IF(AND($Y654="change",$H654="EUR"),IF($O654=$O655,$R655,IF($O654=$O653,$R653)),IFERROR(INDEX($R655:$R1200,MATCH(SUBSTITUTE($I654,"-","",1),$K655:$K1200,0)))))</f>
        <v/>
      </c>
      <c r="S654" s="37" t="str">
        <f t="shared" si="1"/>
        <v/>
      </c>
      <c r="T654" s="39" t="str">
        <f t="shared" si="2"/>
        <v/>
      </c>
      <c r="U654" s="40" t="str">
        <f t="shared" si="3"/>
        <v/>
      </c>
      <c r="V654" s="34" t="str">
        <f t="shared" si="4"/>
        <v/>
      </c>
      <c r="W654" s="41" t="str">
        <f>IFERROR(__xludf.DUMMYFUNCTION(" IF(Account!$F654&lt;&gt;"""", SPLIT(Account!$F654, "" ""), """")"),"")</f>
        <v/>
      </c>
      <c r="X654" s="42"/>
      <c r="Y654" s="42"/>
      <c r="Z654" s="42"/>
      <c r="AA654" s="42"/>
      <c r="AB654" s="42"/>
      <c r="AC654" s="42"/>
      <c r="AD654" s="42"/>
      <c r="AE654" s="42"/>
      <c r="AF654" s="42"/>
      <c r="AG654" s="42"/>
      <c r="AH654" s="42"/>
      <c r="AI654" s="42"/>
      <c r="AJ654" s="42"/>
      <c r="AK654" s="42"/>
    </row>
    <row r="655">
      <c r="A655" s="20"/>
      <c r="B655" s="20"/>
      <c r="C655" s="20"/>
      <c r="D655" s="20"/>
      <c r="E655" s="20"/>
      <c r="F655" s="21"/>
      <c r="G655" s="45"/>
      <c r="H655" s="20"/>
      <c r="I655" s="20"/>
      <c r="J655" s="20"/>
      <c r="K655" s="20"/>
      <c r="L655" s="21"/>
      <c r="M655" s="33" t="str">
        <f>IFERROR(__xludf.DUMMYFUNCTION("IFS(W655=""Achat"",IFERROR(VALUE(X655),VALUE(REGEXREPLACE(T(X655),""[^0-9]"",""""))),W655=""Vente"",-IFERROR(VALUE(X655),VALUE(REGEXREPLACE(T(X655),""[^0-9]"",""""))),Y655=""Change"",0,Y655&lt;&gt;""Change"","""")"),"")</f>
        <v/>
      </c>
      <c r="N655" s="34" t="str">
        <f>IFERROR(__xludf.DUMMYFUNCTION("IF(Account!$F655&lt;&gt;"""", VALUE(REGEXREPLACE($I655, ""\,"", ""."")), """")"),"")</f>
        <v/>
      </c>
      <c r="O655" s="35" t="str">
        <f>IF(Account!$F655&lt;&gt;"", DATEVALUE(MID($A655,4,3) &amp; LEFT($A655,3) &amp; RIGHT($A655,4)) + TIMEVALUE($B655), "")</f>
        <v/>
      </c>
      <c r="P655" s="36" t="str">
        <f>IF(Account!$F655&lt;&gt;"", DATEVALUE(MID($C655,4,3) &amp; LEFT($C655,3) &amp; RIGHT($C655,4)), "")</f>
        <v/>
      </c>
      <c r="Q655" s="37" t="str">
        <f t="array" ref="Q655">IF($R655&lt;&gt;"",IFERROR(INDEX(ISIN!$B:$B,MATCH($R655,ISIN!$C:$C,0))),)</f>
        <v/>
      </c>
      <c r="R655" s="38" t="str">
        <f t="array" ref="R655">IF($E655&lt;&gt;"",IFERROR(INDEX(ISIN!$C:$C,MATCH($E655,ISIN!$A:$A,0)),IFERROR(INDEX($R656:$R1200,MATCH($K655,$K656:$K1200,0)))),IF(AND($Y655="change",$H655="EUR"),IF($O655=$O656,$R656,IF($O655=$O654,$R654)),IFERROR(INDEX($R656:$R1200,MATCH(SUBSTITUTE($I655,"-","",1),$K656:$K1200,0)))))</f>
        <v/>
      </c>
      <c r="S655" s="37" t="str">
        <f t="shared" si="1"/>
        <v/>
      </c>
      <c r="T655" s="39" t="str">
        <f t="shared" si="2"/>
        <v/>
      </c>
      <c r="U655" s="40" t="str">
        <f t="shared" si="3"/>
        <v/>
      </c>
      <c r="V655" s="34" t="str">
        <f t="shared" si="4"/>
        <v/>
      </c>
      <c r="W655" s="41" t="str">
        <f>IFERROR(__xludf.DUMMYFUNCTION(" IF(Account!$F655&lt;&gt;"""", SPLIT(Account!$F655, "" ""), """")"),"")</f>
        <v/>
      </c>
      <c r="X655" s="42"/>
      <c r="Y655" s="42"/>
      <c r="Z655" s="42"/>
      <c r="AA655" s="42"/>
      <c r="AB655" s="42"/>
      <c r="AC655" s="42"/>
      <c r="AD655" s="42"/>
      <c r="AE655" s="42"/>
      <c r="AF655" s="42"/>
      <c r="AG655" s="42"/>
      <c r="AH655" s="42"/>
      <c r="AI655" s="42"/>
      <c r="AJ655" s="42"/>
      <c r="AK655" s="42"/>
    </row>
    <row r="656">
      <c r="A656" s="20"/>
      <c r="B656" s="20"/>
      <c r="C656" s="20"/>
      <c r="D656" s="20"/>
      <c r="E656" s="20"/>
      <c r="F656" s="21"/>
      <c r="G656" s="45"/>
      <c r="H656" s="20"/>
      <c r="I656" s="20"/>
      <c r="J656" s="20"/>
      <c r="K656" s="20"/>
      <c r="L656" s="21"/>
      <c r="M656" s="33" t="str">
        <f>IFERROR(__xludf.DUMMYFUNCTION("IFS(W656=""Achat"",IFERROR(VALUE(X656),VALUE(REGEXREPLACE(T(X656),""[^0-9]"",""""))),W656=""Vente"",-IFERROR(VALUE(X656),VALUE(REGEXREPLACE(T(X656),""[^0-9]"",""""))),Y656=""Change"",0,Y656&lt;&gt;""Change"","""")"),"")</f>
        <v/>
      </c>
      <c r="N656" s="34" t="str">
        <f>IFERROR(__xludf.DUMMYFUNCTION("IF(Account!$F656&lt;&gt;"""", VALUE(REGEXREPLACE($I656, ""\,"", ""."")), """")"),"")</f>
        <v/>
      </c>
      <c r="O656" s="35" t="str">
        <f>IF(Account!$F656&lt;&gt;"", DATEVALUE(MID($A656,4,3) &amp; LEFT($A656,3) &amp; RIGHT($A656,4)) + TIMEVALUE($B656), "")</f>
        <v/>
      </c>
      <c r="P656" s="36" t="str">
        <f>IF(Account!$F656&lt;&gt;"", DATEVALUE(MID($C656,4,3) &amp; LEFT($C656,3) &amp; RIGHT($C656,4)), "")</f>
        <v/>
      </c>
      <c r="Q656" s="37" t="str">
        <f t="array" ref="Q656">IF($R656&lt;&gt;"",IFERROR(INDEX(ISIN!$B:$B,MATCH($R656,ISIN!$C:$C,0))),)</f>
        <v/>
      </c>
      <c r="R656" s="38" t="str">
        <f t="array" ref="R656">IF($E656&lt;&gt;"",IFERROR(INDEX(ISIN!$C:$C,MATCH($E656,ISIN!$A:$A,0)),IFERROR(INDEX($R657:$R1200,MATCH($K656,$K657:$K1200,0)))),IF(AND($Y656="change",$H656="EUR"),IF($O656=$O657,$R657,IF($O656=$O655,$R655)),IFERROR(INDEX($R657:$R1200,MATCH(SUBSTITUTE($I656,"-","",1),$K657:$K1200,0)))))</f>
        <v/>
      </c>
      <c r="S656" s="37" t="str">
        <f t="shared" si="1"/>
        <v/>
      </c>
      <c r="T656" s="39" t="str">
        <f t="shared" si="2"/>
        <v/>
      </c>
      <c r="U656" s="40" t="str">
        <f t="shared" si="3"/>
        <v/>
      </c>
      <c r="V656" s="34" t="str">
        <f t="shared" si="4"/>
        <v/>
      </c>
      <c r="W656" s="41" t="str">
        <f>IFERROR(__xludf.DUMMYFUNCTION(" IF(Account!$F656&lt;&gt;"""", SPLIT(Account!$F656, "" ""), """")"),"")</f>
        <v/>
      </c>
      <c r="X656" s="42"/>
      <c r="Y656" s="42"/>
      <c r="Z656" s="42"/>
      <c r="AA656" s="42"/>
      <c r="AB656" s="42"/>
      <c r="AC656" s="42"/>
      <c r="AD656" s="42"/>
      <c r="AE656" s="42"/>
      <c r="AF656" s="42"/>
      <c r="AG656" s="42"/>
      <c r="AH656" s="42"/>
      <c r="AI656" s="42"/>
      <c r="AJ656" s="42"/>
      <c r="AK656" s="42"/>
    </row>
    <row r="657">
      <c r="A657" s="20"/>
      <c r="B657" s="20"/>
      <c r="C657" s="20"/>
      <c r="D657" s="20"/>
      <c r="E657" s="20"/>
      <c r="F657" s="21"/>
      <c r="G657" s="45"/>
      <c r="H657" s="20"/>
      <c r="I657" s="20"/>
      <c r="J657" s="20"/>
      <c r="K657" s="20"/>
      <c r="L657" s="21"/>
      <c r="M657" s="33" t="str">
        <f>IFERROR(__xludf.DUMMYFUNCTION("IFS(W657=""Achat"",IFERROR(VALUE(X657),VALUE(REGEXREPLACE(T(X657),""[^0-9]"",""""))),W657=""Vente"",-IFERROR(VALUE(X657),VALUE(REGEXREPLACE(T(X657),""[^0-9]"",""""))),Y657=""Change"",0,Y657&lt;&gt;""Change"","""")"),"")</f>
        <v/>
      </c>
      <c r="N657" s="34" t="str">
        <f>IFERROR(__xludf.DUMMYFUNCTION("IF(Account!$F657&lt;&gt;"""", VALUE(REGEXREPLACE($I657, ""\,"", ""."")), """")"),"")</f>
        <v/>
      </c>
      <c r="O657" s="35" t="str">
        <f>IF(Account!$F657&lt;&gt;"", DATEVALUE(MID($A657,4,3) &amp; LEFT($A657,3) &amp; RIGHT($A657,4)) + TIMEVALUE($B657), "")</f>
        <v/>
      </c>
      <c r="P657" s="36" t="str">
        <f>IF(Account!$F657&lt;&gt;"", DATEVALUE(MID($C657,4,3) &amp; LEFT($C657,3) &amp; RIGHT($C657,4)), "")</f>
        <v/>
      </c>
      <c r="Q657" s="37" t="str">
        <f t="array" ref="Q657">IF($R657&lt;&gt;"",IFERROR(INDEX(ISIN!$B:$B,MATCH($R657,ISIN!$C:$C,0))),)</f>
        <v/>
      </c>
      <c r="R657" s="38" t="str">
        <f t="array" ref="R657">IF($E657&lt;&gt;"",IFERROR(INDEX(ISIN!$C:$C,MATCH($E657,ISIN!$A:$A,0)),IFERROR(INDEX($R658:$R1200,MATCH($K657,$K658:$K1200,0)))),IF(AND($Y657="change",$H657="EUR"),IF($O657=$O658,$R658,IF($O657=$O656,$R656)),IFERROR(INDEX($R658:$R1200,MATCH(SUBSTITUTE($I657,"-","",1),$K658:$K1200,0)))))</f>
        <v/>
      </c>
      <c r="S657" s="37" t="str">
        <f t="shared" si="1"/>
        <v/>
      </c>
      <c r="T657" s="39" t="str">
        <f t="shared" si="2"/>
        <v/>
      </c>
      <c r="U657" s="40" t="str">
        <f t="shared" si="3"/>
        <v/>
      </c>
      <c r="V657" s="34" t="str">
        <f t="shared" si="4"/>
        <v/>
      </c>
      <c r="W657" s="41" t="str">
        <f>IFERROR(__xludf.DUMMYFUNCTION(" IF(Account!$F657&lt;&gt;"""", SPLIT(Account!$F657, "" ""), """")"),"")</f>
        <v/>
      </c>
      <c r="X657" s="42"/>
      <c r="Y657" s="42"/>
      <c r="Z657" s="42"/>
      <c r="AA657" s="42"/>
      <c r="AB657" s="42"/>
      <c r="AC657" s="42"/>
      <c r="AD657" s="42"/>
      <c r="AE657" s="42"/>
      <c r="AF657" s="42"/>
      <c r="AG657" s="42"/>
      <c r="AH657" s="42"/>
      <c r="AI657" s="42"/>
      <c r="AJ657" s="42"/>
      <c r="AK657" s="42"/>
    </row>
    <row r="658">
      <c r="A658" s="20"/>
      <c r="B658" s="20"/>
      <c r="C658" s="20"/>
      <c r="D658" s="20"/>
      <c r="E658" s="20"/>
      <c r="F658" s="21"/>
      <c r="G658" s="45"/>
      <c r="H658" s="20"/>
      <c r="I658" s="20"/>
      <c r="J658" s="20"/>
      <c r="K658" s="20"/>
      <c r="L658" s="21"/>
      <c r="M658" s="33" t="str">
        <f>IFERROR(__xludf.DUMMYFUNCTION("IFS(W658=""Achat"",IFERROR(VALUE(X658),VALUE(REGEXREPLACE(T(X658),""[^0-9]"",""""))),W658=""Vente"",-IFERROR(VALUE(X658),VALUE(REGEXREPLACE(T(X658),""[^0-9]"",""""))),Y658=""Change"",0,Y658&lt;&gt;""Change"","""")"),"")</f>
        <v/>
      </c>
      <c r="N658" s="34" t="str">
        <f>IFERROR(__xludf.DUMMYFUNCTION("IF(Account!$F658&lt;&gt;"""", VALUE(REGEXREPLACE($I658, ""\,"", ""."")), """")"),"")</f>
        <v/>
      </c>
      <c r="O658" s="35" t="str">
        <f>IF(Account!$F658&lt;&gt;"", DATEVALUE(MID($A658,4,3) &amp; LEFT($A658,3) &amp; RIGHT($A658,4)) + TIMEVALUE($B658), "")</f>
        <v/>
      </c>
      <c r="P658" s="36" t="str">
        <f>IF(Account!$F658&lt;&gt;"", DATEVALUE(MID($C658,4,3) &amp; LEFT($C658,3) &amp; RIGHT($C658,4)), "")</f>
        <v/>
      </c>
      <c r="Q658" s="37" t="str">
        <f t="array" ref="Q658">IF($R658&lt;&gt;"",IFERROR(INDEX(ISIN!$B:$B,MATCH($R658,ISIN!$C:$C,0))),)</f>
        <v/>
      </c>
      <c r="R658" s="38" t="str">
        <f t="array" ref="R658">IF($E658&lt;&gt;"",IFERROR(INDEX(ISIN!$C:$C,MATCH($E658,ISIN!$A:$A,0)),IFERROR(INDEX($R659:$R1200,MATCH($K658,$K659:$K1200,0)))),IF(AND($Y658="change",$H658="EUR"),IF($O658=$O659,$R659,IF($O658=$O657,$R657)),IFERROR(INDEX($R659:$R1200,MATCH(SUBSTITUTE($I658,"-","",1),$K659:$K1200,0)))))</f>
        <v/>
      </c>
      <c r="S658" s="37" t="str">
        <f t="shared" si="1"/>
        <v/>
      </c>
      <c r="T658" s="39" t="str">
        <f t="shared" si="2"/>
        <v/>
      </c>
      <c r="U658" s="40" t="str">
        <f t="shared" si="3"/>
        <v/>
      </c>
      <c r="V658" s="34" t="str">
        <f t="shared" si="4"/>
        <v/>
      </c>
      <c r="W658" s="41" t="str">
        <f>IFERROR(__xludf.DUMMYFUNCTION(" IF(Account!$F658&lt;&gt;"""", SPLIT(Account!$F658, "" ""), """")"),"")</f>
        <v/>
      </c>
      <c r="X658" s="42"/>
      <c r="Y658" s="42"/>
      <c r="Z658" s="42"/>
      <c r="AA658" s="42"/>
      <c r="AB658" s="42"/>
      <c r="AC658" s="42"/>
      <c r="AD658" s="42"/>
      <c r="AE658" s="42"/>
      <c r="AF658" s="42"/>
      <c r="AG658" s="42"/>
      <c r="AH658" s="42"/>
      <c r="AI658" s="42"/>
      <c r="AJ658" s="42"/>
      <c r="AK658" s="42"/>
    </row>
    <row r="659">
      <c r="A659" s="20"/>
      <c r="B659" s="20"/>
      <c r="C659" s="20"/>
      <c r="D659" s="20"/>
      <c r="E659" s="20"/>
      <c r="F659" s="21"/>
      <c r="G659" s="45"/>
      <c r="H659" s="20"/>
      <c r="I659" s="20"/>
      <c r="J659" s="20"/>
      <c r="K659" s="20"/>
      <c r="L659" s="21"/>
      <c r="M659" s="33" t="str">
        <f>IFERROR(__xludf.DUMMYFUNCTION("IFS(W659=""Achat"",IFERROR(VALUE(X659),VALUE(REGEXREPLACE(T(X659),""[^0-9]"",""""))),W659=""Vente"",-IFERROR(VALUE(X659),VALUE(REGEXREPLACE(T(X659),""[^0-9]"",""""))),Y659=""Change"",0,Y659&lt;&gt;""Change"","""")"),"")</f>
        <v/>
      </c>
      <c r="N659" s="34" t="str">
        <f>IFERROR(__xludf.DUMMYFUNCTION("IF(Account!$F659&lt;&gt;"""", VALUE(REGEXREPLACE($I659, ""\,"", ""."")), """")"),"")</f>
        <v/>
      </c>
      <c r="O659" s="35" t="str">
        <f>IF(Account!$F659&lt;&gt;"", DATEVALUE(MID($A659,4,3) &amp; LEFT($A659,3) &amp; RIGHT($A659,4)) + TIMEVALUE($B659), "")</f>
        <v/>
      </c>
      <c r="P659" s="36" t="str">
        <f>IF(Account!$F659&lt;&gt;"", DATEVALUE(MID($C659,4,3) &amp; LEFT($C659,3) &amp; RIGHT($C659,4)), "")</f>
        <v/>
      </c>
      <c r="Q659" s="37" t="str">
        <f t="array" ref="Q659">IF($R659&lt;&gt;"",IFERROR(INDEX(ISIN!$B:$B,MATCH($R659,ISIN!$C:$C,0))),)</f>
        <v/>
      </c>
      <c r="R659" s="38" t="str">
        <f t="array" ref="R659">IF($E659&lt;&gt;"",IFERROR(INDEX(ISIN!$C:$C,MATCH($E659,ISIN!$A:$A,0)),IFERROR(INDEX($R660:$R1200,MATCH($K659,$K660:$K1200,0)))),IF(AND($Y659="change",$H659="EUR"),IF($O659=$O660,$R660,IF($O659=$O658,$R658)),IFERROR(INDEX($R660:$R1200,MATCH(SUBSTITUTE($I659,"-","",1),$K660:$K1200,0)))))</f>
        <v/>
      </c>
      <c r="S659" s="37" t="str">
        <f t="shared" si="1"/>
        <v/>
      </c>
      <c r="T659" s="39" t="str">
        <f t="shared" si="2"/>
        <v/>
      </c>
      <c r="U659" s="40" t="str">
        <f t="shared" si="3"/>
        <v/>
      </c>
      <c r="V659" s="34" t="str">
        <f t="shared" si="4"/>
        <v/>
      </c>
      <c r="W659" s="41" t="str">
        <f>IFERROR(__xludf.DUMMYFUNCTION(" IF(Account!$F659&lt;&gt;"""", SPLIT(Account!$F659, "" ""), """")"),"")</f>
        <v/>
      </c>
      <c r="X659" s="42"/>
      <c r="Y659" s="42"/>
      <c r="Z659" s="42"/>
      <c r="AA659" s="42"/>
      <c r="AB659" s="42"/>
      <c r="AC659" s="42"/>
      <c r="AD659" s="42"/>
      <c r="AE659" s="42"/>
      <c r="AF659" s="42"/>
      <c r="AG659" s="42"/>
      <c r="AH659" s="42"/>
      <c r="AI659" s="42"/>
      <c r="AJ659" s="42"/>
      <c r="AK659" s="42"/>
    </row>
    <row r="660">
      <c r="A660" s="20"/>
      <c r="B660" s="20"/>
      <c r="C660" s="20"/>
      <c r="D660" s="20"/>
      <c r="E660" s="20"/>
      <c r="F660" s="21"/>
      <c r="G660" s="20"/>
      <c r="H660" s="20"/>
      <c r="I660" s="20"/>
      <c r="J660" s="20"/>
      <c r="K660" s="20"/>
      <c r="L660" s="21"/>
      <c r="M660" s="33" t="str">
        <f>IFERROR(__xludf.DUMMYFUNCTION("IFS(W660=""Achat"",IFERROR(VALUE(X660),VALUE(REGEXREPLACE(T(X660),""[^0-9]"",""""))),W660=""Vente"",-IFERROR(VALUE(X660),VALUE(REGEXREPLACE(T(X660),""[^0-9]"",""""))),Y660=""Change"",0,Y660&lt;&gt;""Change"","""")"),"")</f>
        <v/>
      </c>
      <c r="N660" s="34" t="str">
        <f>IFERROR(__xludf.DUMMYFUNCTION("IF(Account!$F660&lt;&gt;"""", VALUE(REGEXREPLACE($I660, ""\,"", ""."")), """")"),"")</f>
        <v/>
      </c>
      <c r="O660" s="35" t="str">
        <f>IF(Account!$F660&lt;&gt;"", DATEVALUE(MID($A660,4,3) &amp; LEFT($A660,3) &amp; RIGHT($A660,4)) + TIMEVALUE($B660), "")</f>
        <v/>
      </c>
      <c r="P660" s="36" t="str">
        <f>IF(Account!$F660&lt;&gt;"", DATEVALUE(MID($C660,4,3) &amp; LEFT($C660,3) &amp; RIGHT($C660,4)), "")</f>
        <v/>
      </c>
      <c r="Q660" s="37" t="str">
        <f t="array" ref="Q660">IF($R660&lt;&gt;"",IFERROR(INDEX(ISIN!$B:$B,MATCH($R660,ISIN!$C:$C,0))),)</f>
        <v/>
      </c>
      <c r="R660" s="38" t="str">
        <f t="array" ref="R660">IF($E660&lt;&gt;"",IFERROR(INDEX(ISIN!$C:$C,MATCH($E660,ISIN!$A:$A,0)),IFERROR(INDEX($R661:$R1200,MATCH($K660,$K661:$K1200,0)))),IF(AND($Y660="change",$H660="EUR"),IF($O660=$O661,$R661,IF($O660=$O659,$R659)),IFERROR(INDEX($R661:$R1200,MATCH(SUBSTITUTE($I660,"-","",1),$K661:$K1200,0)))))</f>
        <v/>
      </c>
      <c r="S660" s="37" t="str">
        <f t="shared" si="1"/>
        <v/>
      </c>
      <c r="T660" s="39" t="str">
        <f t="shared" si="2"/>
        <v/>
      </c>
      <c r="U660" s="40" t="str">
        <f t="shared" si="3"/>
        <v/>
      </c>
      <c r="V660" s="34" t="str">
        <f t="shared" si="4"/>
        <v/>
      </c>
      <c r="W660" s="41" t="str">
        <f>IFERROR(__xludf.DUMMYFUNCTION(" IF(Account!$F660&lt;&gt;"""", SPLIT(Account!$F660, "" ""), """")"),"")</f>
        <v/>
      </c>
      <c r="X660" s="42"/>
      <c r="Y660" s="42"/>
      <c r="Z660" s="42"/>
      <c r="AA660" s="42"/>
      <c r="AB660" s="42"/>
      <c r="AC660" s="42"/>
      <c r="AD660" s="42"/>
      <c r="AE660" s="42"/>
      <c r="AF660" s="42"/>
      <c r="AG660" s="42"/>
      <c r="AH660" s="42"/>
      <c r="AI660" s="42"/>
      <c r="AJ660" s="42"/>
      <c r="AK660" s="42"/>
    </row>
    <row r="661">
      <c r="A661" s="20"/>
      <c r="B661" s="20"/>
      <c r="C661" s="20"/>
      <c r="D661" s="20"/>
      <c r="E661" s="20"/>
      <c r="F661" s="21"/>
      <c r="G661" s="45"/>
      <c r="H661" s="20"/>
      <c r="I661" s="20"/>
      <c r="J661" s="20"/>
      <c r="K661" s="20"/>
      <c r="L661" s="21"/>
      <c r="M661" s="33" t="str">
        <f>IFERROR(__xludf.DUMMYFUNCTION("IFS(W661=""Achat"",IFERROR(VALUE(X661),VALUE(REGEXREPLACE(T(X661),""[^0-9]"",""""))),W661=""Vente"",-IFERROR(VALUE(X661),VALUE(REGEXREPLACE(T(X661),""[^0-9]"",""""))),Y661=""Change"",0,Y661&lt;&gt;""Change"","""")"),"")</f>
        <v/>
      </c>
      <c r="N661" s="34" t="str">
        <f>IFERROR(__xludf.DUMMYFUNCTION("IF(Account!$F661&lt;&gt;"""", VALUE(REGEXREPLACE($I661, ""\,"", ""."")), """")"),"")</f>
        <v/>
      </c>
      <c r="O661" s="35" t="str">
        <f>IF(Account!$F661&lt;&gt;"", DATEVALUE(MID($A661,4,3) &amp; LEFT($A661,3) &amp; RIGHT($A661,4)) + TIMEVALUE($B661), "")</f>
        <v/>
      </c>
      <c r="P661" s="36" t="str">
        <f>IF(Account!$F661&lt;&gt;"", DATEVALUE(MID($C661,4,3) &amp; LEFT($C661,3) &amp; RIGHT($C661,4)), "")</f>
        <v/>
      </c>
      <c r="Q661" s="37" t="str">
        <f t="array" ref="Q661">IF($R661&lt;&gt;"",IFERROR(INDEX(ISIN!$B:$B,MATCH($R661,ISIN!$C:$C,0))),)</f>
        <v/>
      </c>
      <c r="R661" s="38" t="str">
        <f t="array" ref="R661">IF($E661&lt;&gt;"",IFERROR(INDEX(ISIN!$C:$C,MATCH($E661,ISIN!$A:$A,0)),IFERROR(INDEX($R662:$R1200,MATCH($K661,$K662:$K1200,0)))),IF(AND($Y661="change",$H661="EUR"),IF($O661=$O662,$R662,IF($O661=$O660,$R660)),IFERROR(INDEX($R662:$R1200,MATCH(SUBSTITUTE($I661,"-","",1),$K662:$K1200,0)))))</f>
        <v/>
      </c>
      <c r="S661" s="37" t="str">
        <f t="shared" si="1"/>
        <v/>
      </c>
      <c r="T661" s="39" t="str">
        <f t="shared" si="2"/>
        <v/>
      </c>
      <c r="U661" s="40" t="str">
        <f t="shared" si="3"/>
        <v/>
      </c>
      <c r="V661" s="34" t="str">
        <f t="shared" si="4"/>
        <v/>
      </c>
      <c r="W661" s="41" t="str">
        <f>IFERROR(__xludf.DUMMYFUNCTION(" IF(Account!$F661&lt;&gt;"""", SPLIT(Account!$F661, "" ""), """")"),"")</f>
        <v/>
      </c>
      <c r="X661" s="42"/>
      <c r="Y661" s="42"/>
      <c r="Z661" s="42"/>
      <c r="AA661" s="42"/>
      <c r="AB661" s="42"/>
      <c r="AC661" s="42"/>
      <c r="AD661" s="42"/>
      <c r="AE661" s="42"/>
      <c r="AF661" s="42"/>
      <c r="AG661" s="42"/>
      <c r="AH661" s="42"/>
      <c r="AI661" s="42"/>
      <c r="AJ661" s="42"/>
      <c r="AK661" s="42"/>
    </row>
    <row r="662">
      <c r="A662" s="20"/>
      <c r="B662" s="20"/>
      <c r="C662" s="20"/>
      <c r="D662" s="20"/>
      <c r="E662" s="20"/>
      <c r="F662" s="21"/>
      <c r="G662" s="45"/>
      <c r="H662" s="20"/>
      <c r="I662" s="20"/>
      <c r="J662" s="20"/>
      <c r="K662" s="20"/>
      <c r="L662" s="21"/>
      <c r="M662" s="33" t="str">
        <f>IFERROR(__xludf.DUMMYFUNCTION("IFS(W662=""Achat"",IFERROR(VALUE(X662),VALUE(REGEXREPLACE(T(X662),""[^0-9]"",""""))),W662=""Vente"",-IFERROR(VALUE(X662),VALUE(REGEXREPLACE(T(X662),""[^0-9]"",""""))),Y662=""Change"",0,Y662&lt;&gt;""Change"","""")"),"")</f>
        <v/>
      </c>
      <c r="N662" s="34" t="str">
        <f>IFERROR(__xludf.DUMMYFUNCTION("IF(Account!$F662&lt;&gt;"""", VALUE(REGEXREPLACE($I662, ""\,"", ""."")), """")"),"")</f>
        <v/>
      </c>
      <c r="O662" s="35" t="str">
        <f>IF(Account!$F662&lt;&gt;"", DATEVALUE(MID($A662,4,3) &amp; LEFT($A662,3) &amp; RIGHT($A662,4)) + TIMEVALUE($B662), "")</f>
        <v/>
      </c>
      <c r="P662" s="36" t="str">
        <f>IF(Account!$F662&lt;&gt;"", DATEVALUE(MID($C662,4,3) &amp; LEFT($C662,3) &amp; RIGHT($C662,4)), "")</f>
        <v/>
      </c>
      <c r="Q662" s="37" t="str">
        <f t="array" ref="Q662">IF($R662&lt;&gt;"",IFERROR(INDEX(ISIN!$B:$B,MATCH($R662,ISIN!$C:$C,0))),)</f>
        <v/>
      </c>
      <c r="R662" s="38" t="str">
        <f t="array" ref="R662">IF($E662&lt;&gt;"",IFERROR(INDEX(ISIN!$C:$C,MATCH($E662,ISIN!$A:$A,0)),IFERROR(INDEX($R663:$R1200,MATCH($K662,$K663:$K1200,0)))),IF(AND($Y662="change",$H662="EUR"),IF($O662=$O663,$R663,IF($O662=$O661,$R661)),IFERROR(INDEX($R663:$R1200,MATCH(SUBSTITUTE($I662,"-","",1),$K663:$K1200,0)))))</f>
        <v/>
      </c>
      <c r="S662" s="37" t="str">
        <f t="shared" si="1"/>
        <v/>
      </c>
      <c r="T662" s="39" t="str">
        <f t="shared" si="2"/>
        <v/>
      </c>
      <c r="U662" s="40" t="str">
        <f t="shared" si="3"/>
        <v/>
      </c>
      <c r="V662" s="34" t="str">
        <f t="shared" si="4"/>
        <v/>
      </c>
      <c r="W662" s="41" t="str">
        <f>IFERROR(__xludf.DUMMYFUNCTION(" IF(Account!$F662&lt;&gt;"""", SPLIT(Account!$F662, "" ""), """")"),"")</f>
        <v/>
      </c>
      <c r="X662" s="42"/>
      <c r="Y662" s="42"/>
      <c r="Z662" s="42"/>
      <c r="AA662" s="42"/>
      <c r="AB662" s="42"/>
      <c r="AC662" s="42"/>
      <c r="AD662" s="42"/>
      <c r="AE662" s="42"/>
      <c r="AF662" s="42"/>
      <c r="AG662" s="42"/>
      <c r="AH662" s="42"/>
      <c r="AI662" s="42"/>
      <c r="AJ662" s="42"/>
      <c r="AK662" s="42"/>
    </row>
    <row r="663">
      <c r="A663" s="20"/>
      <c r="B663" s="20"/>
      <c r="C663" s="20"/>
      <c r="D663" s="20"/>
      <c r="E663" s="20"/>
      <c r="F663" s="21"/>
      <c r="G663" s="20"/>
      <c r="H663" s="20"/>
      <c r="I663" s="20"/>
      <c r="J663" s="20"/>
      <c r="K663" s="20"/>
      <c r="L663" s="21"/>
      <c r="M663" s="33" t="str">
        <f>IFERROR(__xludf.DUMMYFUNCTION("IFS(W663=""Achat"",IFERROR(VALUE(X663),VALUE(REGEXREPLACE(T(X663),""[^0-9]"",""""))),W663=""Vente"",-IFERROR(VALUE(X663),VALUE(REGEXREPLACE(T(X663),""[^0-9]"",""""))),Y663=""Change"",0,Y663&lt;&gt;""Change"","""")"),"")</f>
        <v/>
      </c>
      <c r="N663" s="34" t="str">
        <f>IFERROR(__xludf.DUMMYFUNCTION("IF(Account!$F663&lt;&gt;"""", VALUE(REGEXREPLACE($I663, ""\,"", ""."")), """")"),"")</f>
        <v/>
      </c>
      <c r="O663" s="35" t="str">
        <f>IF(Account!$F663&lt;&gt;"", DATEVALUE(MID($A663,4,3) &amp; LEFT($A663,3) &amp; RIGHT($A663,4)) + TIMEVALUE($B663), "")</f>
        <v/>
      </c>
      <c r="P663" s="36" t="str">
        <f>IF(Account!$F663&lt;&gt;"", DATEVALUE(MID($C663,4,3) &amp; LEFT($C663,3) &amp; RIGHT($C663,4)), "")</f>
        <v/>
      </c>
      <c r="Q663" s="37" t="str">
        <f t="array" ref="Q663">IF($R663&lt;&gt;"",IFERROR(INDEX(ISIN!$B:$B,MATCH($R663,ISIN!$C:$C,0))),)</f>
        <v/>
      </c>
      <c r="R663" s="38" t="str">
        <f t="array" ref="R663">IF($E663&lt;&gt;"",IFERROR(INDEX(ISIN!$C:$C,MATCH($E663,ISIN!$A:$A,0)),IFERROR(INDEX($R664:$R1200,MATCH($K663,$K664:$K1200,0)))),IF(AND($Y663="change",$H663="EUR"),IF($O663=$O664,$R664,IF($O663=$O662,$R662)),IFERROR(INDEX($R664:$R1200,MATCH(SUBSTITUTE($I663,"-","",1),$K664:$K1200,0)))))</f>
        <v/>
      </c>
      <c r="S663" s="37" t="str">
        <f t="shared" si="1"/>
        <v/>
      </c>
      <c r="T663" s="39" t="str">
        <f t="shared" si="2"/>
        <v/>
      </c>
      <c r="U663" s="40" t="str">
        <f t="shared" si="3"/>
        <v/>
      </c>
      <c r="V663" s="34" t="str">
        <f t="shared" si="4"/>
        <v/>
      </c>
      <c r="W663" s="41" t="str">
        <f>IFERROR(__xludf.DUMMYFUNCTION(" IF(Account!$F663&lt;&gt;"""", SPLIT(Account!$F663, "" ""), """")"),"")</f>
        <v/>
      </c>
      <c r="X663" s="42"/>
      <c r="Y663" s="42"/>
      <c r="Z663" s="42"/>
      <c r="AA663" s="42"/>
      <c r="AB663" s="42"/>
      <c r="AC663" s="42"/>
      <c r="AD663" s="42"/>
      <c r="AE663" s="42"/>
      <c r="AF663" s="42"/>
      <c r="AG663" s="42"/>
      <c r="AH663" s="42"/>
      <c r="AI663" s="42"/>
      <c r="AJ663" s="42"/>
      <c r="AK663" s="42"/>
    </row>
    <row r="664">
      <c r="A664" s="20"/>
      <c r="B664" s="20"/>
      <c r="C664" s="20"/>
      <c r="D664" s="20"/>
      <c r="E664" s="20"/>
      <c r="F664" s="21"/>
      <c r="G664" s="45"/>
      <c r="H664" s="20"/>
      <c r="I664" s="20"/>
      <c r="J664" s="20"/>
      <c r="K664" s="20"/>
      <c r="L664" s="21"/>
      <c r="M664" s="33" t="str">
        <f>IFERROR(__xludf.DUMMYFUNCTION("IFS(W664=""Achat"",IFERROR(VALUE(X664),VALUE(REGEXREPLACE(T(X664),""[^0-9]"",""""))),W664=""Vente"",-IFERROR(VALUE(X664),VALUE(REGEXREPLACE(T(X664),""[^0-9]"",""""))),Y664=""Change"",0,Y664&lt;&gt;""Change"","""")"),"")</f>
        <v/>
      </c>
      <c r="N664" s="34" t="str">
        <f>IFERROR(__xludf.DUMMYFUNCTION("IF(Account!$F664&lt;&gt;"""", VALUE(REGEXREPLACE($I664, ""\,"", ""."")), """")"),"")</f>
        <v/>
      </c>
      <c r="O664" s="35" t="str">
        <f>IF(Account!$F664&lt;&gt;"", DATEVALUE(MID($A664,4,3) &amp; LEFT($A664,3) &amp; RIGHT($A664,4)) + TIMEVALUE($B664), "")</f>
        <v/>
      </c>
      <c r="P664" s="36" t="str">
        <f>IF(Account!$F664&lt;&gt;"", DATEVALUE(MID($C664,4,3) &amp; LEFT($C664,3) &amp; RIGHT($C664,4)), "")</f>
        <v/>
      </c>
      <c r="Q664" s="37" t="str">
        <f t="array" ref="Q664">IF($R664&lt;&gt;"",IFERROR(INDEX(ISIN!$B:$B,MATCH($R664,ISIN!$C:$C,0))),)</f>
        <v/>
      </c>
      <c r="R664" s="38" t="str">
        <f t="array" ref="R664">IF($E664&lt;&gt;"",IFERROR(INDEX(ISIN!$C:$C,MATCH($E664,ISIN!$A:$A,0)),IFERROR(INDEX($R665:$R1200,MATCH($K664,$K665:$K1200,0)))),IF(AND($Y664="change",$H664="EUR"),IF($O664=$O665,$R665,IF($O664=$O663,$R663)),IFERROR(INDEX($R665:$R1200,MATCH(SUBSTITUTE($I664,"-","",1),$K665:$K1200,0)))))</f>
        <v/>
      </c>
      <c r="S664" s="37" t="str">
        <f t="shared" si="1"/>
        <v/>
      </c>
      <c r="T664" s="39" t="str">
        <f t="shared" si="2"/>
        <v/>
      </c>
      <c r="U664" s="40" t="str">
        <f t="shared" si="3"/>
        <v/>
      </c>
      <c r="V664" s="34" t="str">
        <f t="shared" si="4"/>
        <v/>
      </c>
      <c r="W664" s="41" t="str">
        <f>IFERROR(__xludf.DUMMYFUNCTION(" IF(Account!$F664&lt;&gt;"""", SPLIT(Account!$F664, "" ""), """")"),"")</f>
        <v/>
      </c>
      <c r="X664" s="42"/>
      <c r="Y664" s="42"/>
      <c r="Z664" s="42"/>
      <c r="AA664" s="42"/>
      <c r="AB664" s="42"/>
      <c r="AC664" s="42"/>
      <c r="AD664" s="42"/>
      <c r="AE664" s="42"/>
      <c r="AF664" s="42"/>
      <c r="AG664" s="42"/>
      <c r="AH664" s="42"/>
      <c r="AI664" s="42"/>
      <c r="AJ664" s="42"/>
      <c r="AK664" s="42"/>
    </row>
    <row r="665">
      <c r="A665" s="20"/>
      <c r="B665" s="20"/>
      <c r="C665" s="20"/>
      <c r="D665" s="20"/>
      <c r="E665" s="20"/>
      <c r="F665" s="21"/>
      <c r="G665" s="45"/>
      <c r="H665" s="20"/>
      <c r="I665" s="20"/>
      <c r="J665" s="20"/>
      <c r="K665" s="20"/>
      <c r="L665" s="21"/>
      <c r="M665" s="33" t="str">
        <f>IFERROR(__xludf.DUMMYFUNCTION("IFS(W665=""Achat"",IFERROR(VALUE(X665),VALUE(REGEXREPLACE(T(X665),""[^0-9]"",""""))),W665=""Vente"",-IFERROR(VALUE(X665),VALUE(REGEXREPLACE(T(X665),""[^0-9]"",""""))),Y665=""Change"",0,Y665&lt;&gt;""Change"","""")"),"")</f>
        <v/>
      </c>
      <c r="N665" s="34" t="str">
        <f>IFERROR(__xludf.DUMMYFUNCTION("IF(Account!$F665&lt;&gt;"""", VALUE(REGEXREPLACE($I665, ""\,"", ""."")), """")"),"")</f>
        <v/>
      </c>
      <c r="O665" s="35" t="str">
        <f>IF(Account!$F665&lt;&gt;"", DATEVALUE(MID($A665,4,3) &amp; LEFT($A665,3) &amp; RIGHT($A665,4)) + TIMEVALUE($B665), "")</f>
        <v/>
      </c>
      <c r="P665" s="36" t="str">
        <f>IF(Account!$F665&lt;&gt;"", DATEVALUE(MID($C665,4,3) &amp; LEFT($C665,3) &amp; RIGHT($C665,4)), "")</f>
        <v/>
      </c>
      <c r="Q665" s="37" t="str">
        <f t="array" ref="Q665">IF($R665&lt;&gt;"",IFERROR(INDEX(ISIN!$B:$B,MATCH($R665,ISIN!$C:$C,0))),)</f>
        <v/>
      </c>
      <c r="R665" s="38" t="str">
        <f t="array" ref="R665">IF($E665&lt;&gt;"",IFERROR(INDEX(ISIN!$C:$C,MATCH($E665,ISIN!$A:$A,0)),IFERROR(INDEX($R666:$R1200,MATCH($K665,$K666:$K1200,0)))),IF(AND($Y665="change",$H665="EUR"),IF($O665=$O666,$R666,IF($O665=$O664,$R664)),IFERROR(INDEX($R666:$R1200,MATCH(SUBSTITUTE($I665,"-","",1),$K666:$K1200,0)))))</f>
        <v/>
      </c>
      <c r="S665" s="37" t="str">
        <f t="shared" si="1"/>
        <v/>
      </c>
      <c r="T665" s="39" t="str">
        <f t="shared" si="2"/>
        <v/>
      </c>
      <c r="U665" s="40" t="str">
        <f t="shared" si="3"/>
        <v/>
      </c>
      <c r="V665" s="34" t="str">
        <f t="shared" si="4"/>
        <v/>
      </c>
      <c r="W665" s="41" t="str">
        <f>IFERROR(__xludf.DUMMYFUNCTION(" IF(Account!$F665&lt;&gt;"""", SPLIT(Account!$F665, "" ""), """")"),"")</f>
        <v/>
      </c>
      <c r="X665" s="42"/>
      <c r="Y665" s="42"/>
      <c r="Z665" s="42"/>
      <c r="AA665" s="42"/>
      <c r="AB665" s="42"/>
      <c r="AC665" s="42"/>
      <c r="AD665" s="42"/>
      <c r="AE665" s="42"/>
      <c r="AF665" s="42"/>
      <c r="AG665" s="42"/>
      <c r="AH665" s="42"/>
      <c r="AI665" s="42"/>
      <c r="AJ665" s="42"/>
      <c r="AK665" s="42"/>
    </row>
    <row r="666">
      <c r="A666" s="45"/>
      <c r="B666" s="45"/>
      <c r="C666" s="45"/>
      <c r="D666" s="45"/>
      <c r="E666" s="45"/>
      <c r="F666" s="46"/>
      <c r="G666" s="45"/>
      <c r="H666" s="45"/>
      <c r="I666" s="45"/>
      <c r="J666" s="45"/>
      <c r="K666" s="45"/>
      <c r="L666" s="21"/>
      <c r="M666" s="33" t="str">
        <f>IFERROR(__xludf.DUMMYFUNCTION("IFS(W666=""Achat"",IFERROR(VALUE(X666),VALUE(REGEXREPLACE(T(X666),""[^0-9]"",""""))),W666=""Vente"",-IFERROR(VALUE(X666),VALUE(REGEXREPLACE(T(X666),""[^0-9]"",""""))),Y666=""Change"",0,Y666&lt;&gt;""Change"","""")"),"")</f>
        <v/>
      </c>
      <c r="N666" s="34" t="str">
        <f>IFERROR(__xludf.DUMMYFUNCTION("IF(Account!$F666&lt;&gt;"""", VALUE(REGEXREPLACE($I666, ""\,"", ""."")), """")"),"")</f>
        <v/>
      </c>
      <c r="O666" s="35" t="str">
        <f>IF(Account!$F666&lt;&gt;"", DATEVALUE(MID($A666,4,3) &amp; LEFT($A666,3) &amp; RIGHT($A666,4)) + TIMEVALUE($B666), "")</f>
        <v/>
      </c>
      <c r="P666" s="36" t="str">
        <f>IF(Account!$F666&lt;&gt;"", DATEVALUE(MID($C666,4,3) &amp; LEFT($C666,3) &amp; RIGHT($C666,4)), "")</f>
        <v/>
      </c>
      <c r="Q666" s="37" t="str">
        <f t="array" ref="Q666">IF($R666&lt;&gt;"",IFERROR(INDEX(ISIN!$B:$B,MATCH($R666,ISIN!$C:$C,0))),)</f>
        <v/>
      </c>
      <c r="R666" s="38" t="str">
        <f t="array" ref="R666">IF($E666&lt;&gt;"",IFERROR(INDEX(ISIN!$C:$C,MATCH($E666,ISIN!$A:$A,0)),IFERROR(INDEX($R667:$R1200,MATCH($K666,$K667:$K1200,0)))),IF(AND($Y666="change",$H666="EUR"),IF($O666=$O667,$R667,IF($O666=$O665,$R665)),IFERROR(INDEX($R667:$R1200,MATCH(SUBSTITUTE($I666,"-","",1),$K667:$K1200,0)))))</f>
        <v/>
      </c>
      <c r="S666" s="37" t="str">
        <f t="shared" si="1"/>
        <v/>
      </c>
      <c r="T666" s="39" t="str">
        <f t="shared" si="2"/>
        <v/>
      </c>
      <c r="U666" s="40" t="str">
        <f t="shared" si="3"/>
        <v/>
      </c>
      <c r="V666" s="34" t="str">
        <f t="shared" si="4"/>
        <v/>
      </c>
      <c r="W666" s="41" t="str">
        <f>IFERROR(__xludf.DUMMYFUNCTION(" IF(Account!$F666&lt;&gt;"""", SPLIT(Account!$F666, "" ""), """")"),"")</f>
        <v/>
      </c>
      <c r="X666" s="42"/>
      <c r="Y666" s="42"/>
      <c r="Z666" s="42"/>
      <c r="AA666" s="42"/>
      <c r="AB666" s="42"/>
      <c r="AC666" s="42"/>
      <c r="AD666" s="42"/>
      <c r="AE666" s="42"/>
      <c r="AF666" s="42"/>
      <c r="AG666" s="42"/>
      <c r="AH666" s="42"/>
      <c r="AI666" s="42"/>
      <c r="AJ666" s="42"/>
      <c r="AK666" s="42"/>
    </row>
    <row r="667">
      <c r="A667" s="20"/>
      <c r="B667" s="20"/>
      <c r="C667" s="20"/>
      <c r="D667" s="20"/>
      <c r="E667" s="20"/>
      <c r="F667" s="21"/>
      <c r="G667" s="45"/>
      <c r="H667" s="20"/>
      <c r="I667" s="20"/>
      <c r="J667" s="20"/>
      <c r="K667" s="20"/>
      <c r="L667" s="21"/>
      <c r="M667" s="33" t="str">
        <f>IFERROR(__xludf.DUMMYFUNCTION("IFS(W667=""Achat"",IFERROR(VALUE(X667),VALUE(REGEXREPLACE(T(X667),""[^0-9]"",""""))),W667=""Vente"",-IFERROR(VALUE(X667),VALUE(REGEXREPLACE(T(X667),""[^0-9]"",""""))),Y667=""Change"",0,Y667&lt;&gt;""Change"","""")"),"")</f>
        <v/>
      </c>
      <c r="N667" s="34" t="str">
        <f>IFERROR(__xludf.DUMMYFUNCTION("IF(Account!$F667&lt;&gt;"""", VALUE(REGEXREPLACE($I667, ""\,"", ""."")), """")"),"")</f>
        <v/>
      </c>
      <c r="O667" s="35" t="str">
        <f>IF(Account!$F667&lt;&gt;"", DATEVALUE(MID($A667,4,3) &amp; LEFT($A667,3) &amp; RIGHT($A667,4)) + TIMEVALUE($B667), "")</f>
        <v/>
      </c>
      <c r="P667" s="36" t="str">
        <f>IF(Account!$F667&lt;&gt;"", DATEVALUE(MID($C667,4,3) &amp; LEFT($C667,3) &amp; RIGHT($C667,4)), "")</f>
        <v/>
      </c>
      <c r="Q667" s="37" t="str">
        <f t="array" ref="Q667">IF($R667&lt;&gt;"",IFERROR(INDEX(ISIN!$B:$B,MATCH($R667,ISIN!$C:$C,0))),)</f>
        <v/>
      </c>
      <c r="R667" s="38" t="str">
        <f t="array" ref="R667">IF($E667&lt;&gt;"",IFERROR(INDEX(ISIN!$C:$C,MATCH($E667,ISIN!$A:$A,0)),IFERROR(INDEX($R668:$R1200,MATCH($K667,$K668:$K1200,0)))),IF(AND($Y667="change",$H667="EUR"),IF($O667=$O668,$R668,IF($O667=$O666,$R666)),IFERROR(INDEX($R668:$R1200,MATCH(SUBSTITUTE($I667,"-","",1),$K668:$K1200,0)))))</f>
        <v/>
      </c>
      <c r="S667" s="37" t="str">
        <f t="shared" si="1"/>
        <v/>
      </c>
      <c r="T667" s="39" t="str">
        <f t="shared" si="2"/>
        <v/>
      </c>
      <c r="U667" s="40" t="str">
        <f t="shared" si="3"/>
        <v/>
      </c>
      <c r="V667" s="34" t="str">
        <f t="shared" si="4"/>
        <v/>
      </c>
      <c r="W667" s="41" t="str">
        <f>IFERROR(__xludf.DUMMYFUNCTION(" IF(Account!$F667&lt;&gt;"""", SPLIT(Account!$F667, "" ""), """")"),"")</f>
        <v/>
      </c>
      <c r="X667" s="42"/>
      <c r="Y667" s="42"/>
      <c r="Z667" s="42"/>
      <c r="AA667" s="42"/>
      <c r="AB667" s="42"/>
      <c r="AC667" s="42"/>
      <c r="AD667" s="42"/>
      <c r="AE667" s="42"/>
      <c r="AF667" s="42"/>
      <c r="AG667" s="42"/>
      <c r="AH667" s="42"/>
      <c r="AI667" s="42"/>
      <c r="AJ667" s="42"/>
      <c r="AK667" s="42"/>
    </row>
    <row r="668">
      <c r="A668" s="20"/>
      <c r="B668" s="20"/>
      <c r="C668" s="20"/>
      <c r="D668" s="20"/>
      <c r="E668" s="20"/>
      <c r="F668" s="21"/>
      <c r="G668" s="45"/>
      <c r="H668" s="20"/>
      <c r="I668" s="20"/>
      <c r="J668" s="20"/>
      <c r="K668" s="20"/>
      <c r="L668" s="21"/>
      <c r="M668" s="33" t="str">
        <f>IFERROR(__xludf.DUMMYFUNCTION("IFS(W668=""Achat"",IFERROR(VALUE(X668),VALUE(REGEXREPLACE(T(X668),""[^0-9]"",""""))),W668=""Vente"",-IFERROR(VALUE(X668),VALUE(REGEXREPLACE(T(X668),""[^0-9]"",""""))),Y668=""Change"",0,Y668&lt;&gt;""Change"","""")"),"")</f>
        <v/>
      </c>
      <c r="N668" s="34" t="str">
        <f>IFERROR(__xludf.DUMMYFUNCTION("IF(Account!$F668&lt;&gt;"""", VALUE(REGEXREPLACE($I668, ""\,"", ""."")), """")"),"")</f>
        <v/>
      </c>
      <c r="O668" s="35" t="str">
        <f>IF(Account!$F668&lt;&gt;"", DATEVALUE(MID($A668,4,3) &amp; LEFT($A668,3) &amp; RIGHT($A668,4)) + TIMEVALUE($B668), "")</f>
        <v/>
      </c>
      <c r="P668" s="36" t="str">
        <f>IF(Account!$F668&lt;&gt;"", DATEVALUE(MID($C668,4,3) &amp; LEFT($C668,3) &amp; RIGHT($C668,4)), "")</f>
        <v/>
      </c>
      <c r="Q668" s="37" t="str">
        <f t="array" ref="Q668">IF($R668&lt;&gt;"",IFERROR(INDEX(ISIN!$B:$B,MATCH($R668,ISIN!$C:$C,0))),)</f>
        <v/>
      </c>
      <c r="R668" s="38" t="str">
        <f t="array" ref="R668">IF($E668&lt;&gt;"",IFERROR(INDEX(ISIN!$C:$C,MATCH($E668,ISIN!$A:$A,0)),IFERROR(INDEX($R669:$R1200,MATCH($K668,$K669:$K1200,0)))),IF(AND($Y668="change",$H668="EUR"),IF($O668=$O669,$R669,IF($O668=$O667,$R667)),IFERROR(INDEX($R669:$R1200,MATCH(SUBSTITUTE($I668,"-","",1),$K669:$K1200,0)))))</f>
        <v/>
      </c>
      <c r="S668" s="37" t="str">
        <f t="shared" si="1"/>
        <v/>
      </c>
      <c r="T668" s="39" t="str">
        <f t="shared" si="2"/>
        <v/>
      </c>
      <c r="U668" s="40" t="str">
        <f t="shared" si="3"/>
        <v/>
      </c>
      <c r="V668" s="34" t="str">
        <f t="shared" si="4"/>
        <v/>
      </c>
      <c r="W668" s="41" t="str">
        <f>IFERROR(__xludf.DUMMYFUNCTION(" IF(Account!$F668&lt;&gt;"""", SPLIT(Account!$F668, "" ""), """")"),"")</f>
        <v/>
      </c>
      <c r="X668" s="42"/>
      <c r="Y668" s="42"/>
      <c r="Z668" s="42"/>
      <c r="AA668" s="42"/>
      <c r="AB668" s="42"/>
      <c r="AC668" s="42"/>
      <c r="AD668" s="42"/>
      <c r="AE668" s="42"/>
      <c r="AF668" s="42"/>
      <c r="AG668" s="42"/>
      <c r="AH668" s="42"/>
      <c r="AI668" s="42"/>
      <c r="AJ668" s="42"/>
      <c r="AK668" s="42"/>
    </row>
    <row r="669">
      <c r="A669" s="20"/>
      <c r="B669" s="20"/>
      <c r="C669" s="20"/>
      <c r="D669" s="20"/>
      <c r="E669" s="20"/>
      <c r="F669" s="21"/>
      <c r="G669" s="45"/>
      <c r="H669" s="20"/>
      <c r="I669" s="20"/>
      <c r="J669" s="20"/>
      <c r="K669" s="20"/>
      <c r="L669" s="21"/>
      <c r="M669" s="33" t="str">
        <f>IFERROR(__xludf.DUMMYFUNCTION("IFS(W669=""Achat"",IFERROR(VALUE(X669),VALUE(REGEXREPLACE(T(X669),""[^0-9]"",""""))),W669=""Vente"",-IFERROR(VALUE(X669),VALUE(REGEXREPLACE(T(X669),""[^0-9]"",""""))),Y669=""Change"",0,Y669&lt;&gt;""Change"","""")"),"")</f>
        <v/>
      </c>
      <c r="N669" s="34" t="str">
        <f>IFERROR(__xludf.DUMMYFUNCTION("IF(Account!$F669&lt;&gt;"""", VALUE(REGEXREPLACE($I669, ""\,"", ""."")), """")"),"")</f>
        <v/>
      </c>
      <c r="O669" s="35" t="str">
        <f>IF(Account!$F669&lt;&gt;"", DATEVALUE(MID($A669,4,3) &amp; LEFT($A669,3) &amp; RIGHT($A669,4)) + TIMEVALUE($B669), "")</f>
        <v/>
      </c>
      <c r="P669" s="36" t="str">
        <f>IF(Account!$F669&lt;&gt;"", DATEVALUE(MID($C669,4,3) &amp; LEFT($C669,3) &amp; RIGHT($C669,4)), "")</f>
        <v/>
      </c>
      <c r="Q669" s="37" t="str">
        <f t="array" ref="Q669">IF($R669&lt;&gt;"",IFERROR(INDEX(ISIN!$B:$B,MATCH($R669,ISIN!$C:$C,0))),)</f>
        <v/>
      </c>
      <c r="R669" s="38" t="str">
        <f t="array" ref="R669">IF($E669&lt;&gt;"",IFERROR(INDEX(ISIN!$C:$C,MATCH($E669,ISIN!$A:$A,0)),IFERROR(INDEX($R670:$R1200,MATCH($K669,$K670:$K1200,0)))),IF(AND($Y669="change",$H669="EUR"),IF($O669=$O670,$R670,IF($O669=$O668,$R668)),IFERROR(INDEX($R670:$R1200,MATCH(SUBSTITUTE($I669,"-","",1),$K670:$K1200,0)))))</f>
        <v/>
      </c>
      <c r="S669" s="37" t="str">
        <f t="shared" si="1"/>
        <v/>
      </c>
      <c r="T669" s="39" t="str">
        <f t="shared" si="2"/>
        <v/>
      </c>
      <c r="U669" s="40" t="str">
        <f t="shared" si="3"/>
        <v/>
      </c>
      <c r="V669" s="34" t="str">
        <f t="shared" si="4"/>
        <v/>
      </c>
      <c r="W669" s="41" t="str">
        <f>IFERROR(__xludf.DUMMYFUNCTION(" IF(Account!$F669&lt;&gt;"""", SPLIT(Account!$F669, "" ""), """")"),"")</f>
        <v/>
      </c>
      <c r="X669" s="42"/>
      <c r="Y669" s="42"/>
      <c r="Z669" s="42"/>
      <c r="AA669" s="42"/>
      <c r="AB669" s="42"/>
      <c r="AC669" s="42"/>
      <c r="AD669" s="42"/>
      <c r="AE669" s="42"/>
      <c r="AF669" s="42"/>
      <c r="AG669" s="42"/>
      <c r="AH669" s="42"/>
      <c r="AI669" s="42"/>
      <c r="AJ669" s="42"/>
      <c r="AK669" s="42"/>
    </row>
    <row r="670">
      <c r="A670" s="20"/>
      <c r="B670" s="20"/>
      <c r="C670" s="20"/>
      <c r="D670" s="20"/>
      <c r="E670" s="20"/>
      <c r="F670" s="21"/>
      <c r="G670" s="45"/>
      <c r="H670" s="20"/>
      <c r="I670" s="20"/>
      <c r="J670" s="20"/>
      <c r="K670" s="20"/>
      <c r="L670" s="21"/>
      <c r="M670" s="33" t="str">
        <f>IFERROR(__xludf.DUMMYFUNCTION("IFS(W670=""Achat"",IFERROR(VALUE(X670),VALUE(REGEXREPLACE(T(X670),""[^0-9]"",""""))),W670=""Vente"",-IFERROR(VALUE(X670),VALUE(REGEXREPLACE(T(X670),""[^0-9]"",""""))),Y670=""Change"",0,Y670&lt;&gt;""Change"","""")"),"")</f>
        <v/>
      </c>
      <c r="N670" s="34" t="str">
        <f>IFERROR(__xludf.DUMMYFUNCTION("IF(Account!$F670&lt;&gt;"""", VALUE(REGEXREPLACE($I670, ""\,"", ""."")), """")"),"")</f>
        <v/>
      </c>
      <c r="O670" s="35" t="str">
        <f>IF(Account!$F670&lt;&gt;"", DATEVALUE(MID($A670,4,3) &amp; LEFT($A670,3) &amp; RIGHT($A670,4)) + TIMEVALUE($B670), "")</f>
        <v/>
      </c>
      <c r="P670" s="36" t="str">
        <f>IF(Account!$F670&lt;&gt;"", DATEVALUE(MID($C670,4,3) &amp; LEFT($C670,3) &amp; RIGHT($C670,4)), "")</f>
        <v/>
      </c>
      <c r="Q670" s="37" t="str">
        <f t="array" ref="Q670">IF($R670&lt;&gt;"",IFERROR(INDEX(ISIN!$B:$B,MATCH($R670,ISIN!$C:$C,0))),)</f>
        <v/>
      </c>
      <c r="R670" s="38" t="str">
        <f t="array" ref="R670">IF($E670&lt;&gt;"",IFERROR(INDEX(ISIN!$C:$C,MATCH($E670,ISIN!$A:$A,0)),IFERROR(INDEX($R671:$R1200,MATCH($K670,$K671:$K1200,0)))),IF(AND($Y670="change",$H670="EUR"),IF($O670=$O671,$R671,IF($O670=$O669,$R669)),IFERROR(INDEX($R671:$R1200,MATCH(SUBSTITUTE($I670,"-","",1),$K671:$K1200,0)))))</f>
        <v/>
      </c>
      <c r="S670" s="37" t="str">
        <f t="shared" si="1"/>
        <v/>
      </c>
      <c r="T670" s="39" t="str">
        <f t="shared" si="2"/>
        <v/>
      </c>
      <c r="U670" s="40" t="str">
        <f t="shared" si="3"/>
        <v/>
      </c>
      <c r="V670" s="34" t="str">
        <f t="shared" si="4"/>
        <v/>
      </c>
      <c r="W670" s="41" t="str">
        <f>IFERROR(__xludf.DUMMYFUNCTION(" IF(Account!$F670&lt;&gt;"""", SPLIT(Account!$F670, "" ""), """")"),"")</f>
        <v/>
      </c>
      <c r="X670" s="42"/>
      <c r="Y670" s="42"/>
      <c r="Z670" s="42"/>
      <c r="AA670" s="42"/>
      <c r="AB670" s="42"/>
      <c r="AC670" s="42"/>
      <c r="AD670" s="42"/>
      <c r="AE670" s="42"/>
      <c r="AF670" s="42"/>
      <c r="AG670" s="42"/>
      <c r="AH670" s="42"/>
      <c r="AI670" s="42"/>
      <c r="AJ670" s="42"/>
      <c r="AK670" s="42"/>
    </row>
    <row r="671">
      <c r="A671" s="20"/>
      <c r="B671" s="20"/>
      <c r="C671" s="20"/>
      <c r="D671" s="20"/>
      <c r="E671" s="20"/>
      <c r="F671" s="21"/>
      <c r="G671" s="45"/>
      <c r="H671" s="20"/>
      <c r="I671" s="20"/>
      <c r="J671" s="20"/>
      <c r="K671" s="20"/>
      <c r="L671" s="21"/>
      <c r="M671" s="33" t="str">
        <f>IFERROR(__xludf.DUMMYFUNCTION("IFS(W671=""Achat"",IFERROR(VALUE(X671),VALUE(REGEXREPLACE(T(X671),""[^0-9]"",""""))),W671=""Vente"",-IFERROR(VALUE(X671),VALUE(REGEXREPLACE(T(X671),""[^0-9]"",""""))),Y671=""Change"",0,Y671&lt;&gt;""Change"","""")"),"")</f>
        <v/>
      </c>
      <c r="N671" s="34" t="str">
        <f>IFERROR(__xludf.DUMMYFUNCTION("IF(Account!$F671&lt;&gt;"""", VALUE(REGEXREPLACE($I671, ""\,"", ""."")), """")"),"")</f>
        <v/>
      </c>
      <c r="O671" s="35" t="str">
        <f>IF(Account!$F671&lt;&gt;"", DATEVALUE(MID($A671,4,3) &amp; LEFT($A671,3) &amp; RIGHT($A671,4)) + TIMEVALUE($B671), "")</f>
        <v/>
      </c>
      <c r="P671" s="36" t="str">
        <f>IF(Account!$F671&lt;&gt;"", DATEVALUE(MID($C671,4,3) &amp; LEFT($C671,3) &amp; RIGHT($C671,4)), "")</f>
        <v/>
      </c>
      <c r="Q671" s="37" t="str">
        <f t="array" ref="Q671">IF($R671&lt;&gt;"",IFERROR(INDEX(ISIN!$B:$B,MATCH($R671,ISIN!$C:$C,0))),)</f>
        <v/>
      </c>
      <c r="R671" s="38" t="str">
        <f t="array" ref="R671">IF($E671&lt;&gt;"",IFERROR(INDEX(ISIN!$C:$C,MATCH($E671,ISIN!$A:$A,0)),IFERROR(INDEX($R672:$R1200,MATCH($K671,$K672:$K1200,0)))),IF(AND($Y671="change",$H671="EUR"),IF($O671=$O672,$R672,IF($O671=$O670,$R670)),IFERROR(INDEX($R672:$R1200,MATCH(SUBSTITUTE($I671,"-","",1),$K672:$K1200,0)))))</f>
        <v/>
      </c>
      <c r="S671" s="37" t="str">
        <f t="shared" si="1"/>
        <v/>
      </c>
      <c r="T671" s="39" t="str">
        <f t="shared" si="2"/>
        <v/>
      </c>
      <c r="U671" s="40" t="str">
        <f t="shared" si="3"/>
        <v/>
      </c>
      <c r="V671" s="34" t="str">
        <f t="shared" si="4"/>
        <v/>
      </c>
      <c r="W671" s="41" t="str">
        <f>IFERROR(__xludf.DUMMYFUNCTION(" IF(Account!$F671&lt;&gt;"""", SPLIT(Account!$F671, "" ""), """")"),"")</f>
        <v/>
      </c>
      <c r="X671" s="42"/>
      <c r="Y671" s="42"/>
      <c r="Z671" s="42"/>
      <c r="AA671" s="42"/>
      <c r="AB671" s="42"/>
      <c r="AC671" s="42"/>
      <c r="AD671" s="42"/>
      <c r="AE671" s="42"/>
      <c r="AF671" s="42"/>
      <c r="AG671" s="42"/>
      <c r="AH671" s="42"/>
      <c r="AI671" s="42"/>
      <c r="AJ671" s="42"/>
      <c r="AK671" s="42"/>
    </row>
    <row r="672">
      <c r="A672" s="20"/>
      <c r="B672" s="20"/>
      <c r="C672" s="20"/>
      <c r="D672" s="20"/>
      <c r="E672" s="20"/>
      <c r="F672" s="21"/>
      <c r="G672" s="45"/>
      <c r="H672" s="20"/>
      <c r="I672" s="20"/>
      <c r="J672" s="20"/>
      <c r="K672" s="20"/>
      <c r="L672" s="21"/>
      <c r="M672" s="33" t="str">
        <f>IFERROR(__xludf.DUMMYFUNCTION("IFS(W672=""Achat"",IFERROR(VALUE(X672),VALUE(REGEXREPLACE(T(X672),""[^0-9]"",""""))),W672=""Vente"",-IFERROR(VALUE(X672),VALUE(REGEXREPLACE(T(X672),""[^0-9]"",""""))),Y672=""Change"",0,Y672&lt;&gt;""Change"","""")"),"")</f>
        <v/>
      </c>
      <c r="N672" s="34" t="str">
        <f>IFERROR(__xludf.DUMMYFUNCTION("IF(Account!$F672&lt;&gt;"""", VALUE(REGEXREPLACE($I672, ""\,"", ""."")), """")"),"")</f>
        <v/>
      </c>
      <c r="O672" s="35" t="str">
        <f>IF(Account!$F672&lt;&gt;"", DATEVALUE(MID($A672,4,3) &amp; LEFT($A672,3) &amp; RIGHT($A672,4)) + TIMEVALUE($B672), "")</f>
        <v/>
      </c>
      <c r="P672" s="36" t="str">
        <f>IF(Account!$F672&lt;&gt;"", DATEVALUE(MID($C672,4,3) &amp; LEFT($C672,3) &amp; RIGHT($C672,4)), "")</f>
        <v/>
      </c>
      <c r="Q672" s="37" t="str">
        <f t="array" ref="Q672">IF($R672&lt;&gt;"",IFERROR(INDEX(ISIN!$B:$B,MATCH($R672,ISIN!$C:$C,0))),)</f>
        <v/>
      </c>
      <c r="R672" s="38" t="str">
        <f t="array" ref="R672">IF($E672&lt;&gt;"",IFERROR(INDEX(ISIN!$C:$C,MATCH($E672,ISIN!$A:$A,0)),IFERROR(INDEX($R673:$R1200,MATCH($K672,$K673:$K1200,0)))),IF(AND($Y672="change",$H672="EUR"),IF($O672=$O673,$R673,IF($O672=$O671,$R671)),IFERROR(INDEX($R673:$R1200,MATCH(SUBSTITUTE($I672,"-","",1),$K673:$K1200,0)))))</f>
        <v/>
      </c>
      <c r="S672" s="37" t="str">
        <f t="shared" si="1"/>
        <v/>
      </c>
      <c r="T672" s="39" t="str">
        <f t="shared" si="2"/>
        <v/>
      </c>
      <c r="U672" s="40" t="str">
        <f t="shared" si="3"/>
        <v/>
      </c>
      <c r="V672" s="34" t="str">
        <f t="shared" si="4"/>
        <v/>
      </c>
      <c r="W672" s="41" t="str">
        <f>IFERROR(__xludf.DUMMYFUNCTION(" IF(Account!$F672&lt;&gt;"""", SPLIT(Account!$F672, "" ""), """")"),"")</f>
        <v/>
      </c>
      <c r="X672" s="42"/>
      <c r="Y672" s="42"/>
      <c r="Z672" s="42"/>
      <c r="AA672" s="42"/>
      <c r="AB672" s="42"/>
      <c r="AC672" s="42"/>
      <c r="AD672" s="42"/>
      <c r="AE672" s="42"/>
      <c r="AF672" s="42"/>
      <c r="AG672" s="42"/>
      <c r="AH672" s="42"/>
      <c r="AI672" s="42"/>
      <c r="AJ672" s="42"/>
      <c r="AK672" s="42"/>
    </row>
    <row r="673">
      <c r="A673" s="20"/>
      <c r="B673" s="20"/>
      <c r="C673" s="20"/>
      <c r="D673" s="20"/>
      <c r="E673" s="20"/>
      <c r="F673" s="21"/>
      <c r="G673" s="20"/>
      <c r="H673" s="20"/>
      <c r="I673" s="20"/>
      <c r="J673" s="20"/>
      <c r="K673" s="20"/>
      <c r="L673" s="21"/>
      <c r="M673" s="33" t="str">
        <f>IFERROR(__xludf.DUMMYFUNCTION("IFS(W673=""Achat"",IFERROR(VALUE(X673),VALUE(REGEXREPLACE(T(X673),""[^0-9]"",""""))),W673=""Vente"",-IFERROR(VALUE(X673),VALUE(REGEXREPLACE(T(X673),""[^0-9]"",""""))),Y673=""Change"",0,Y673&lt;&gt;""Change"","""")"),"")</f>
        <v/>
      </c>
      <c r="N673" s="34" t="str">
        <f>IFERROR(__xludf.DUMMYFUNCTION("IF(Account!$F673&lt;&gt;"""", VALUE(REGEXREPLACE($I673, ""\,"", ""."")), """")"),"")</f>
        <v/>
      </c>
      <c r="O673" s="35" t="str">
        <f>IF(Account!$F673&lt;&gt;"", DATEVALUE(MID($A673,4,3) &amp; LEFT($A673,3) &amp; RIGHT($A673,4)) + TIMEVALUE($B673), "")</f>
        <v/>
      </c>
      <c r="P673" s="36" t="str">
        <f>IF(Account!$F673&lt;&gt;"", DATEVALUE(MID($C673,4,3) &amp; LEFT($C673,3) &amp; RIGHT($C673,4)), "")</f>
        <v/>
      </c>
      <c r="Q673" s="37" t="str">
        <f t="array" ref="Q673">IF($R673&lt;&gt;"",IFERROR(INDEX(ISIN!$B:$B,MATCH($R673,ISIN!$C:$C,0))),)</f>
        <v/>
      </c>
      <c r="R673" s="38" t="str">
        <f t="array" ref="R673">IF($E673&lt;&gt;"",IFERROR(INDEX(ISIN!$C:$C,MATCH($E673,ISIN!$A:$A,0)),IFERROR(INDEX($R674:$R1200,MATCH($K673,$K674:$K1200,0)))),IF(AND($Y673="change",$H673="EUR"),IF($O673=$O674,$R674,IF($O673=$O672,$R672)),IFERROR(INDEX($R674:$R1200,MATCH(SUBSTITUTE($I673,"-","",1),$K674:$K1200,0)))))</f>
        <v/>
      </c>
      <c r="S673" s="37" t="str">
        <f t="shared" si="1"/>
        <v/>
      </c>
      <c r="T673" s="39" t="str">
        <f t="shared" si="2"/>
        <v/>
      </c>
      <c r="U673" s="40" t="str">
        <f t="shared" si="3"/>
        <v/>
      </c>
      <c r="V673" s="34" t="str">
        <f t="shared" si="4"/>
        <v/>
      </c>
      <c r="W673" s="41" t="str">
        <f>IFERROR(__xludf.DUMMYFUNCTION(" IF(Account!$F673&lt;&gt;"""", SPLIT(Account!$F673, "" ""), """")"),"")</f>
        <v/>
      </c>
      <c r="X673" s="42"/>
      <c r="Y673" s="42"/>
      <c r="Z673" s="42"/>
      <c r="AA673" s="42"/>
      <c r="AB673" s="42"/>
      <c r="AC673" s="42"/>
      <c r="AD673" s="42"/>
      <c r="AE673" s="42"/>
      <c r="AF673" s="42"/>
      <c r="AG673" s="42"/>
      <c r="AH673" s="42"/>
      <c r="AI673" s="42"/>
      <c r="AJ673" s="42"/>
      <c r="AK673" s="42"/>
    </row>
    <row r="674">
      <c r="A674" s="20"/>
      <c r="B674" s="20"/>
      <c r="C674" s="20"/>
      <c r="D674" s="20"/>
      <c r="E674" s="20"/>
      <c r="F674" s="21"/>
      <c r="G674" s="45"/>
      <c r="H674" s="20"/>
      <c r="I674" s="20"/>
      <c r="J674" s="20"/>
      <c r="K674" s="20"/>
      <c r="L674" s="21"/>
      <c r="M674" s="33" t="str">
        <f>IFERROR(__xludf.DUMMYFUNCTION("IFS(W674=""Achat"",IFERROR(VALUE(X674),VALUE(REGEXREPLACE(T(X674),""[^0-9]"",""""))),W674=""Vente"",-IFERROR(VALUE(X674),VALUE(REGEXREPLACE(T(X674),""[^0-9]"",""""))),Y674=""Change"",0,Y674&lt;&gt;""Change"","""")"),"")</f>
        <v/>
      </c>
      <c r="N674" s="34" t="str">
        <f>IFERROR(__xludf.DUMMYFUNCTION("IF(Account!$F674&lt;&gt;"""", VALUE(REGEXREPLACE($I674, ""\,"", ""."")), """")"),"")</f>
        <v/>
      </c>
      <c r="O674" s="35" t="str">
        <f>IF(Account!$F674&lt;&gt;"", DATEVALUE(MID($A674,4,3) &amp; LEFT($A674,3) &amp; RIGHT($A674,4)) + TIMEVALUE($B674), "")</f>
        <v/>
      </c>
      <c r="P674" s="36" t="str">
        <f>IF(Account!$F674&lt;&gt;"", DATEVALUE(MID($C674,4,3) &amp; LEFT($C674,3) &amp; RIGHT($C674,4)), "")</f>
        <v/>
      </c>
      <c r="Q674" s="37" t="str">
        <f t="array" ref="Q674">IF($R674&lt;&gt;"",IFERROR(INDEX(ISIN!$B:$B,MATCH($R674,ISIN!$C:$C,0))),)</f>
        <v/>
      </c>
      <c r="R674" s="38" t="str">
        <f t="array" ref="R674">IF($E674&lt;&gt;"",IFERROR(INDEX(ISIN!$C:$C,MATCH($E674,ISIN!$A:$A,0)),IFERROR(INDEX($R675:$R1200,MATCH($K674,$K675:$K1200,0)))),IF(AND($Y674="change",$H674="EUR"),IF($O674=$O675,$R675,IF($O674=$O673,$R673)),IFERROR(INDEX($R675:$R1200,MATCH(SUBSTITUTE($I674,"-","",1),$K675:$K1200,0)))))</f>
        <v/>
      </c>
      <c r="S674" s="37" t="str">
        <f t="shared" si="1"/>
        <v/>
      </c>
      <c r="T674" s="39" t="str">
        <f t="shared" si="2"/>
        <v/>
      </c>
      <c r="U674" s="40" t="str">
        <f t="shared" si="3"/>
        <v/>
      </c>
      <c r="V674" s="34" t="str">
        <f t="shared" si="4"/>
        <v/>
      </c>
      <c r="W674" s="41" t="str">
        <f>IFERROR(__xludf.DUMMYFUNCTION(" IF(Account!$F674&lt;&gt;"""", SPLIT(Account!$F674, "" ""), """")"),"")</f>
        <v/>
      </c>
      <c r="X674" s="42"/>
      <c r="Y674" s="42"/>
      <c r="Z674" s="42"/>
      <c r="AA674" s="42"/>
      <c r="AB674" s="42"/>
      <c r="AC674" s="42"/>
      <c r="AD674" s="42"/>
      <c r="AE674" s="42"/>
      <c r="AF674" s="42"/>
      <c r="AG674" s="42"/>
      <c r="AH674" s="42"/>
      <c r="AI674" s="42"/>
      <c r="AJ674" s="42"/>
      <c r="AK674" s="42"/>
    </row>
    <row r="675">
      <c r="A675" s="20"/>
      <c r="B675" s="20"/>
      <c r="C675" s="20"/>
      <c r="D675" s="20"/>
      <c r="E675" s="20"/>
      <c r="F675" s="21"/>
      <c r="G675" s="20"/>
      <c r="H675" s="20"/>
      <c r="I675" s="20"/>
      <c r="J675" s="20"/>
      <c r="K675" s="20"/>
      <c r="L675" s="21"/>
      <c r="M675" s="33" t="str">
        <f>IFERROR(__xludf.DUMMYFUNCTION("IFS(W675=""Achat"",IFERROR(VALUE(X675),VALUE(REGEXREPLACE(T(X675),""[^0-9]"",""""))),W675=""Vente"",-IFERROR(VALUE(X675),VALUE(REGEXREPLACE(T(X675),""[^0-9]"",""""))),Y675=""Change"",0,Y675&lt;&gt;""Change"","""")"),"")</f>
        <v/>
      </c>
      <c r="N675" s="34" t="str">
        <f>IFERROR(__xludf.DUMMYFUNCTION("IF(Account!$F675&lt;&gt;"""", VALUE(REGEXREPLACE($I675, ""\,"", ""."")), """")"),"")</f>
        <v/>
      </c>
      <c r="O675" s="35" t="str">
        <f>IF(Account!$F675&lt;&gt;"", DATEVALUE(MID($A675,4,3) &amp; LEFT($A675,3) &amp; RIGHT($A675,4)) + TIMEVALUE($B675), "")</f>
        <v/>
      </c>
      <c r="P675" s="36" t="str">
        <f>IF(Account!$F675&lt;&gt;"", DATEVALUE(MID($C675,4,3) &amp; LEFT($C675,3) &amp; RIGHT($C675,4)), "")</f>
        <v/>
      </c>
      <c r="Q675" s="37" t="str">
        <f t="array" ref="Q675">IF($R675&lt;&gt;"",IFERROR(INDEX(ISIN!$B:$B,MATCH($R675,ISIN!$C:$C,0))),)</f>
        <v/>
      </c>
      <c r="R675" s="38" t="str">
        <f t="array" ref="R675">IF($E675&lt;&gt;"",IFERROR(INDEX(ISIN!$C:$C,MATCH($E675,ISIN!$A:$A,0)),IFERROR(INDEX($R676:$R1200,MATCH($K675,$K676:$K1200,0)))),IF(AND($Y675="change",$H675="EUR"),IF($O675=$O676,$R676,IF($O675=$O674,$R674)),IFERROR(INDEX($R676:$R1200,MATCH(SUBSTITUTE($I675,"-","",1),$K676:$K1200,0)))))</f>
        <v/>
      </c>
      <c r="S675" s="37" t="str">
        <f t="shared" si="1"/>
        <v/>
      </c>
      <c r="T675" s="39" t="str">
        <f t="shared" si="2"/>
        <v/>
      </c>
      <c r="U675" s="40" t="str">
        <f t="shared" si="3"/>
        <v/>
      </c>
      <c r="V675" s="34" t="str">
        <f t="shared" si="4"/>
        <v/>
      </c>
      <c r="W675" s="41" t="str">
        <f>IFERROR(__xludf.DUMMYFUNCTION(" IF(Account!$F675&lt;&gt;"""", SPLIT(Account!$F675, "" ""), """")"),"")</f>
        <v/>
      </c>
      <c r="X675" s="42"/>
      <c r="Y675" s="42"/>
      <c r="Z675" s="42"/>
      <c r="AA675" s="42"/>
      <c r="AB675" s="42"/>
      <c r="AC675" s="42"/>
      <c r="AD675" s="42"/>
      <c r="AE675" s="42"/>
      <c r="AF675" s="42"/>
      <c r="AG675" s="42"/>
      <c r="AH675" s="42"/>
      <c r="AI675" s="42"/>
      <c r="AJ675" s="42"/>
      <c r="AK675" s="42"/>
    </row>
    <row r="676">
      <c r="A676" s="20"/>
      <c r="B676" s="20"/>
      <c r="C676" s="20"/>
      <c r="D676" s="20"/>
      <c r="E676" s="20"/>
      <c r="F676" s="21"/>
      <c r="G676" s="45"/>
      <c r="H676" s="20"/>
      <c r="I676" s="20"/>
      <c r="J676" s="20"/>
      <c r="K676" s="20"/>
      <c r="L676" s="21"/>
      <c r="M676" s="33" t="str">
        <f>IFERROR(__xludf.DUMMYFUNCTION("IFS(W676=""Achat"",IFERROR(VALUE(X676),VALUE(REGEXREPLACE(T(X676),""[^0-9]"",""""))),W676=""Vente"",-IFERROR(VALUE(X676),VALUE(REGEXREPLACE(T(X676),""[^0-9]"",""""))),Y676=""Change"",0,Y676&lt;&gt;""Change"","""")"),"")</f>
        <v/>
      </c>
      <c r="N676" s="34" t="str">
        <f>IFERROR(__xludf.DUMMYFUNCTION("IF(Account!$F676&lt;&gt;"""", VALUE(REGEXREPLACE($I676, ""\,"", ""."")), """")"),"")</f>
        <v/>
      </c>
      <c r="O676" s="35" t="str">
        <f>IF(Account!$F676&lt;&gt;"", DATEVALUE(MID($A676,4,3) &amp; LEFT($A676,3) &amp; RIGHT($A676,4)) + TIMEVALUE($B676), "")</f>
        <v/>
      </c>
      <c r="P676" s="36" t="str">
        <f>IF(Account!$F676&lt;&gt;"", DATEVALUE(MID($C676,4,3) &amp; LEFT($C676,3) &amp; RIGHT($C676,4)), "")</f>
        <v/>
      </c>
      <c r="Q676" s="37" t="str">
        <f t="array" ref="Q676">IF($R676&lt;&gt;"",IFERROR(INDEX(ISIN!$B:$B,MATCH($R676,ISIN!$C:$C,0))),)</f>
        <v/>
      </c>
      <c r="R676" s="38" t="str">
        <f t="array" ref="R676">IF($E676&lt;&gt;"",IFERROR(INDEX(ISIN!$C:$C,MATCH($E676,ISIN!$A:$A,0)),IFERROR(INDEX($R677:$R1200,MATCH($K676,$K677:$K1200,0)))),IF(AND($Y676="change",$H676="EUR"),IF($O676=$O677,$R677,IF($O676=$O675,$R675)),IFERROR(INDEX($R677:$R1200,MATCH(SUBSTITUTE($I676,"-","",1),$K677:$K1200,0)))))</f>
        <v/>
      </c>
      <c r="S676" s="37" t="str">
        <f t="shared" si="1"/>
        <v/>
      </c>
      <c r="T676" s="39" t="str">
        <f t="shared" si="2"/>
        <v/>
      </c>
      <c r="U676" s="40" t="str">
        <f t="shared" si="3"/>
        <v/>
      </c>
      <c r="V676" s="34" t="str">
        <f t="shared" si="4"/>
        <v/>
      </c>
      <c r="W676" s="41" t="str">
        <f>IFERROR(__xludf.DUMMYFUNCTION(" IF(Account!$F676&lt;&gt;"""", SPLIT(Account!$F676, "" ""), """")"),"")</f>
        <v/>
      </c>
      <c r="X676" s="42"/>
      <c r="Y676" s="42"/>
      <c r="Z676" s="42"/>
      <c r="AA676" s="42"/>
      <c r="AB676" s="42"/>
      <c r="AC676" s="42"/>
      <c r="AD676" s="42"/>
      <c r="AE676" s="42"/>
      <c r="AF676" s="42"/>
      <c r="AG676" s="42"/>
      <c r="AH676" s="42"/>
      <c r="AI676" s="42"/>
      <c r="AJ676" s="42"/>
      <c r="AK676" s="42"/>
    </row>
    <row r="677">
      <c r="A677" s="20"/>
      <c r="B677" s="20"/>
      <c r="C677" s="20"/>
      <c r="D677" s="20"/>
      <c r="E677" s="20"/>
      <c r="F677" s="21"/>
      <c r="G677" s="45"/>
      <c r="H677" s="20"/>
      <c r="I677" s="20"/>
      <c r="J677" s="20"/>
      <c r="K677" s="20"/>
      <c r="L677" s="21"/>
      <c r="M677" s="33" t="str">
        <f>IFERROR(__xludf.DUMMYFUNCTION("IFS(W677=""Achat"",IFERROR(VALUE(X677),VALUE(REGEXREPLACE(T(X677),""[^0-9]"",""""))),W677=""Vente"",-IFERROR(VALUE(X677),VALUE(REGEXREPLACE(T(X677),""[^0-9]"",""""))),Y677=""Change"",0,Y677&lt;&gt;""Change"","""")"),"")</f>
        <v/>
      </c>
      <c r="N677" s="34" t="str">
        <f>IFERROR(__xludf.DUMMYFUNCTION("IF(Account!$F677&lt;&gt;"""", VALUE(REGEXREPLACE($I677, ""\,"", ""."")), """")"),"")</f>
        <v/>
      </c>
      <c r="O677" s="35" t="str">
        <f>IF(Account!$F677&lt;&gt;"", DATEVALUE(MID($A677,4,3) &amp; LEFT($A677,3) &amp; RIGHT($A677,4)) + TIMEVALUE($B677), "")</f>
        <v/>
      </c>
      <c r="P677" s="36" t="str">
        <f>IF(Account!$F677&lt;&gt;"", DATEVALUE(MID($C677,4,3) &amp; LEFT($C677,3) &amp; RIGHT($C677,4)), "")</f>
        <v/>
      </c>
      <c r="Q677" s="37" t="str">
        <f t="array" ref="Q677">IF($R677&lt;&gt;"",IFERROR(INDEX(ISIN!$B:$B,MATCH($R677,ISIN!$C:$C,0))),)</f>
        <v/>
      </c>
      <c r="R677" s="38" t="str">
        <f t="array" ref="R677">IF($E677&lt;&gt;"",IFERROR(INDEX(ISIN!$C:$C,MATCH($E677,ISIN!$A:$A,0)),IFERROR(INDEX($R678:$R1200,MATCH($K677,$K678:$K1200,0)))),IF(AND($Y677="change",$H677="EUR"),IF($O677=$O678,$R678,IF($O677=$O676,$R676)),IFERROR(INDEX($R678:$R1200,MATCH(SUBSTITUTE($I677,"-","",1),$K678:$K1200,0)))))</f>
        <v/>
      </c>
      <c r="S677" s="37" t="str">
        <f t="shared" si="1"/>
        <v/>
      </c>
      <c r="T677" s="39" t="str">
        <f t="shared" si="2"/>
        <v/>
      </c>
      <c r="U677" s="40" t="str">
        <f t="shared" si="3"/>
        <v/>
      </c>
      <c r="V677" s="34" t="str">
        <f t="shared" si="4"/>
        <v/>
      </c>
      <c r="W677" s="41" t="str">
        <f>IFERROR(__xludf.DUMMYFUNCTION(" IF(Account!$F677&lt;&gt;"""", SPLIT(Account!$F677, "" ""), """")"),"")</f>
        <v/>
      </c>
      <c r="X677" s="42"/>
      <c r="Y677" s="42"/>
      <c r="Z677" s="42"/>
      <c r="AA677" s="42"/>
      <c r="AB677" s="42"/>
      <c r="AC677" s="42"/>
      <c r="AD677" s="42"/>
      <c r="AE677" s="42"/>
      <c r="AF677" s="42"/>
      <c r="AG677" s="42"/>
      <c r="AH677" s="42"/>
      <c r="AI677" s="42"/>
      <c r="AJ677" s="42"/>
      <c r="AK677" s="42"/>
    </row>
    <row r="678">
      <c r="A678" s="20"/>
      <c r="B678" s="20"/>
      <c r="C678" s="20"/>
      <c r="D678" s="20"/>
      <c r="E678" s="20"/>
      <c r="F678" s="21"/>
      <c r="G678" s="45"/>
      <c r="H678" s="20"/>
      <c r="I678" s="20"/>
      <c r="J678" s="20"/>
      <c r="K678" s="20"/>
      <c r="L678" s="21"/>
      <c r="M678" s="33" t="str">
        <f>IFERROR(__xludf.DUMMYFUNCTION("IFS(W678=""Achat"",IFERROR(VALUE(X678),VALUE(REGEXREPLACE(T(X678),""[^0-9]"",""""))),W678=""Vente"",-IFERROR(VALUE(X678),VALUE(REGEXREPLACE(T(X678),""[^0-9]"",""""))),Y678=""Change"",0,Y678&lt;&gt;""Change"","""")"),"")</f>
        <v/>
      </c>
      <c r="N678" s="34" t="str">
        <f>IFERROR(__xludf.DUMMYFUNCTION("IF(Account!$F678&lt;&gt;"""", VALUE(REGEXREPLACE($I678, ""\,"", ""."")), """")"),"")</f>
        <v/>
      </c>
      <c r="O678" s="35" t="str">
        <f>IF(Account!$F678&lt;&gt;"", DATEVALUE(MID($A678,4,3) &amp; LEFT($A678,3) &amp; RIGHT($A678,4)) + TIMEVALUE($B678), "")</f>
        <v/>
      </c>
      <c r="P678" s="36" t="str">
        <f>IF(Account!$F678&lt;&gt;"", DATEVALUE(MID($C678,4,3) &amp; LEFT($C678,3) &amp; RIGHT($C678,4)), "")</f>
        <v/>
      </c>
      <c r="Q678" s="37" t="str">
        <f t="array" ref="Q678">IF($R678&lt;&gt;"",IFERROR(INDEX(ISIN!$B:$B,MATCH($R678,ISIN!$C:$C,0))),)</f>
        <v/>
      </c>
      <c r="R678" s="38" t="str">
        <f t="array" ref="R678">IF($E678&lt;&gt;"",IFERROR(INDEX(ISIN!$C:$C,MATCH($E678,ISIN!$A:$A,0)),IFERROR(INDEX($R679:$R1200,MATCH($K678,$K679:$K1200,0)))),IF(AND($Y678="change",$H678="EUR"),IF($O678=$O679,$R679,IF($O678=$O677,$R677)),IFERROR(INDEX($R679:$R1200,MATCH(SUBSTITUTE($I678,"-","",1),$K679:$K1200,0)))))</f>
        <v/>
      </c>
      <c r="S678" s="37" t="str">
        <f t="shared" si="1"/>
        <v/>
      </c>
      <c r="T678" s="39" t="str">
        <f t="shared" si="2"/>
        <v/>
      </c>
      <c r="U678" s="40" t="str">
        <f t="shared" si="3"/>
        <v/>
      </c>
      <c r="V678" s="34" t="str">
        <f t="shared" si="4"/>
        <v/>
      </c>
      <c r="W678" s="41" t="str">
        <f>IFERROR(__xludf.DUMMYFUNCTION(" IF(Account!$F678&lt;&gt;"""", SPLIT(Account!$F678, "" ""), """")"),"")</f>
        <v/>
      </c>
      <c r="X678" s="42"/>
      <c r="Y678" s="42"/>
      <c r="Z678" s="42"/>
      <c r="AA678" s="42"/>
      <c r="AB678" s="42"/>
      <c r="AC678" s="42"/>
      <c r="AD678" s="42"/>
      <c r="AE678" s="42"/>
      <c r="AF678" s="42"/>
      <c r="AG678" s="42"/>
      <c r="AH678" s="42"/>
      <c r="AI678" s="42"/>
      <c r="AJ678" s="42"/>
      <c r="AK678" s="42"/>
    </row>
    <row r="679">
      <c r="A679" s="20"/>
      <c r="B679" s="20"/>
      <c r="C679" s="20"/>
      <c r="D679" s="20"/>
      <c r="E679" s="20"/>
      <c r="F679" s="21"/>
      <c r="G679" s="45"/>
      <c r="H679" s="20"/>
      <c r="I679" s="20"/>
      <c r="J679" s="20"/>
      <c r="K679" s="20"/>
      <c r="L679" s="21"/>
      <c r="M679" s="33" t="str">
        <f>IFERROR(__xludf.DUMMYFUNCTION("IFS(W679=""Achat"",IFERROR(VALUE(X679),VALUE(REGEXREPLACE(T(X679),""[^0-9]"",""""))),W679=""Vente"",-IFERROR(VALUE(X679),VALUE(REGEXREPLACE(T(X679),""[^0-9]"",""""))),Y679=""Change"",0,Y679&lt;&gt;""Change"","""")"),"")</f>
        <v/>
      </c>
      <c r="N679" s="34" t="str">
        <f>IFERROR(__xludf.DUMMYFUNCTION("IF(Account!$F679&lt;&gt;"""", VALUE(REGEXREPLACE($I679, ""\,"", ""."")), """")"),"")</f>
        <v/>
      </c>
      <c r="O679" s="35" t="str">
        <f>IF(Account!$F679&lt;&gt;"", DATEVALUE(MID($A679,4,3) &amp; LEFT($A679,3) &amp; RIGHT($A679,4)) + TIMEVALUE($B679), "")</f>
        <v/>
      </c>
      <c r="P679" s="36" t="str">
        <f>IF(Account!$F679&lt;&gt;"", DATEVALUE(MID($C679,4,3) &amp; LEFT($C679,3) &amp; RIGHT($C679,4)), "")</f>
        <v/>
      </c>
      <c r="Q679" s="37" t="str">
        <f t="array" ref="Q679">IF($R679&lt;&gt;"",IFERROR(INDEX(ISIN!$B:$B,MATCH($R679,ISIN!$C:$C,0))),)</f>
        <v/>
      </c>
      <c r="R679" s="38" t="str">
        <f t="array" ref="R679">IF($E679&lt;&gt;"",IFERROR(INDEX(ISIN!$C:$C,MATCH($E679,ISIN!$A:$A,0)),IFERROR(INDEX($R680:$R1200,MATCH($K679,$K680:$K1200,0)))),IF(AND($Y679="change",$H679="EUR"),IF($O679=$O680,$R680,IF($O679=$O678,$R678)),IFERROR(INDEX($R680:$R1200,MATCH(SUBSTITUTE($I679,"-","",1),$K680:$K1200,0)))))</f>
        <v/>
      </c>
      <c r="S679" s="37" t="str">
        <f t="shared" si="1"/>
        <v/>
      </c>
      <c r="T679" s="39" t="str">
        <f t="shared" si="2"/>
        <v/>
      </c>
      <c r="U679" s="40" t="str">
        <f t="shared" si="3"/>
        <v/>
      </c>
      <c r="V679" s="34" t="str">
        <f t="shared" si="4"/>
        <v/>
      </c>
      <c r="W679" s="41" t="str">
        <f>IFERROR(__xludf.DUMMYFUNCTION(" IF(Account!$F679&lt;&gt;"""", SPLIT(Account!$F679, "" ""), """")"),"")</f>
        <v/>
      </c>
      <c r="X679" s="42"/>
      <c r="Y679" s="42"/>
      <c r="Z679" s="42"/>
      <c r="AA679" s="42"/>
      <c r="AB679" s="42"/>
      <c r="AC679" s="42"/>
      <c r="AD679" s="42"/>
      <c r="AE679" s="42"/>
      <c r="AF679" s="42"/>
      <c r="AG679" s="42"/>
      <c r="AH679" s="42"/>
      <c r="AI679" s="42"/>
      <c r="AJ679" s="42"/>
      <c r="AK679" s="42"/>
    </row>
    <row r="680">
      <c r="A680" s="20"/>
      <c r="B680" s="20"/>
      <c r="C680" s="20"/>
      <c r="D680" s="20"/>
      <c r="E680" s="20"/>
      <c r="F680" s="21"/>
      <c r="G680" s="45"/>
      <c r="H680" s="20"/>
      <c r="I680" s="20"/>
      <c r="J680" s="20"/>
      <c r="K680" s="20"/>
      <c r="L680" s="21"/>
      <c r="M680" s="33" t="str">
        <f>IFERROR(__xludf.DUMMYFUNCTION("IFS(W680=""Achat"",IFERROR(VALUE(X680),VALUE(REGEXREPLACE(T(X680),""[^0-9]"",""""))),W680=""Vente"",-IFERROR(VALUE(X680),VALUE(REGEXREPLACE(T(X680),""[^0-9]"",""""))),Y680=""Change"",0,Y680&lt;&gt;""Change"","""")"),"")</f>
        <v/>
      </c>
      <c r="N680" s="34" t="str">
        <f>IFERROR(__xludf.DUMMYFUNCTION("IF(Account!$F680&lt;&gt;"""", VALUE(REGEXREPLACE($I680, ""\,"", ""."")), """")"),"")</f>
        <v/>
      </c>
      <c r="O680" s="35" t="str">
        <f>IF(Account!$F680&lt;&gt;"", DATEVALUE(MID($A680,4,3) &amp; LEFT($A680,3) &amp; RIGHT($A680,4)) + TIMEVALUE($B680), "")</f>
        <v/>
      </c>
      <c r="P680" s="36" t="str">
        <f>IF(Account!$F680&lt;&gt;"", DATEVALUE(MID($C680,4,3) &amp; LEFT($C680,3) &amp; RIGHT($C680,4)), "")</f>
        <v/>
      </c>
      <c r="Q680" s="37" t="str">
        <f t="array" ref="Q680">IF($R680&lt;&gt;"",IFERROR(INDEX(ISIN!$B:$B,MATCH($R680,ISIN!$C:$C,0))),)</f>
        <v/>
      </c>
      <c r="R680" s="38" t="str">
        <f t="array" ref="R680">IF($E680&lt;&gt;"",IFERROR(INDEX(ISIN!$C:$C,MATCH($E680,ISIN!$A:$A,0)),IFERROR(INDEX($R681:$R1200,MATCH($K680,$K681:$K1200,0)))),IF(AND($Y680="change",$H680="EUR"),IF($O680=$O681,$R681,IF($O680=$O679,$R679)),IFERROR(INDEX($R681:$R1200,MATCH(SUBSTITUTE($I680,"-","",1),$K681:$K1200,0)))))</f>
        <v/>
      </c>
      <c r="S680" s="37" t="str">
        <f t="shared" si="1"/>
        <v/>
      </c>
      <c r="T680" s="39" t="str">
        <f t="shared" si="2"/>
        <v/>
      </c>
      <c r="U680" s="40" t="str">
        <f t="shared" si="3"/>
        <v/>
      </c>
      <c r="V680" s="34" t="str">
        <f t="shared" si="4"/>
        <v/>
      </c>
      <c r="W680" s="41" t="str">
        <f>IFERROR(__xludf.DUMMYFUNCTION(" IF(Account!$F680&lt;&gt;"""", SPLIT(Account!$F680, "" ""), """")"),"")</f>
        <v/>
      </c>
      <c r="X680" s="42"/>
      <c r="Y680" s="42"/>
      <c r="Z680" s="42"/>
      <c r="AA680" s="42"/>
      <c r="AB680" s="42"/>
      <c r="AC680" s="42"/>
      <c r="AD680" s="42"/>
      <c r="AE680" s="42"/>
      <c r="AF680" s="42"/>
      <c r="AG680" s="42"/>
      <c r="AH680" s="42"/>
      <c r="AI680" s="42"/>
      <c r="AJ680" s="42"/>
      <c r="AK680" s="42"/>
    </row>
    <row r="681">
      <c r="A681" s="20"/>
      <c r="B681" s="20"/>
      <c r="C681" s="20"/>
      <c r="D681" s="20"/>
      <c r="E681" s="20"/>
      <c r="F681" s="21"/>
      <c r="G681" s="45"/>
      <c r="H681" s="20"/>
      <c r="I681" s="20"/>
      <c r="J681" s="20"/>
      <c r="K681" s="20"/>
      <c r="L681" s="21"/>
      <c r="M681" s="33" t="str">
        <f>IFERROR(__xludf.DUMMYFUNCTION("IFS(W681=""Achat"",IFERROR(VALUE(X681),VALUE(REGEXREPLACE(T(X681),""[^0-9]"",""""))),W681=""Vente"",-IFERROR(VALUE(X681),VALUE(REGEXREPLACE(T(X681),""[^0-9]"",""""))),Y681=""Change"",0,Y681&lt;&gt;""Change"","""")"),"")</f>
        <v/>
      </c>
      <c r="N681" s="34" t="str">
        <f>IFERROR(__xludf.DUMMYFUNCTION("IF(Account!$F681&lt;&gt;"""", VALUE(REGEXREPLACE($I681, ""\,"", ""."")), """")"),"")</f>
        <v/>
      </c>
      <c r="O681" s="35" t="str">
        <f>IF(Account!$F681&lt;&gt;"", DATEVALUE(MID($A681,4,3) &amp; LEFT($A681,3) &amp; RIGHT($A681,4)) + TIMEVALUE($B681), "")</f>
        <v/>
      </c>
      <c r="P681" s="36" t="str">
        <f>IF(Account!$F681&lt;&gt;"", DATEVALUE(MID($C681,4,3) &amp; LEFT($C681,3) &amp; RIGHT($C681,4)), "")</f>
        <v/>
      </c>
      <c r="Q681" s="37" t="str">
        <f t="array" ref="Q681">IF($R681&lt;&gt;"",IFERROR(INDEX(ISIN!$B:$B,MATCH($R681,ISIN!$C:$C,0))),)</f>
        <v/>
      </c>
      <c r="R681" s="38" t="str">
        <f t="array" ref="R681">IF($E681&lt;&gt;"",IFERROR(INDEX(ISIN!$C:$C,MATCH($E681,ISIN!$A:$A,0)),IFERROR(INDEX($R682:$R1200,MATCH($K681,$K682:$K1200,0)))),IF(AND($Y681="change",$H681="EUR"),IF($O681=$O682,$R682,IF($O681=$O680,$R680)),IFERROR(INDEX($R682:$R1200,MATCH(SUBSTITUTE($I681,"-","",1),$K682:$K1200,0)))))</f>
        <v/>
      </c>
      <c r="S681" s="37" t="str">
        <f t="shared" si="1"/>
        <v/>
      </c>
      <c r="T681" s="39" t="str">
        <f t="shared" si="2"/>
        <v/>
      </c>
      <c r="U681" s="40" t="str">
        <f t="shared" si="3"/>
        <v/>
      </c>
      <c r="V681" s="34" t="str">
        <f t="shared" si="4"/>
        <v/>
      </c>
      <c r="W681" s="41" t="str">
        <f>IFERROR(__xludf.DUMMYFUNCTION(" IF(Account!$F681&lt;&gt;"""", SPLIT(Account!$F681, "" ""), """")"),"")</f>
        <v/>
      </c>
      <c r="X681" s="42"/>
      <c r="Y681" s="42"/>
      <c r="Z681" s="42"/>
      <c r="AA681" s="42"/>
      <c r="AB681" s="42"/>
      <c r="AC681" s="42"/>
      <c r="AD681" s="42"/>
      <c r="AE681" s="42"/>
      <c r="AF681" s="42"/>
      <c r="AG681" s="42"/>
      <c r="AH681" s="42"/>
      <c r="AI681" s="42"/>
      <c r="AJ681" s="42"/>
      <c r="AK681" s="42"/>
    </row>
    <row r="682">
      <c r="A682" s="20"/>
      <c r="B682" s="20"/>
      <c r="C682" s="20"/>
      <c r="D682" s="20"/>
      <c r="E682" s="20"/>
      <c r="F682" s="21"/>
      <c r="G682" s="45"/>
      <c r="H682" s="20"/>
      <c r="I682" s="20"/>
      <c r="J682" s="20"/>
      <c r="K682" s="20"/>
      <c r="L682" s="21"/>
      <c r="M682" s="33" t="str">
        <f>IFERROR(__xludf.DUMMYFUNCTION("IFS(W682=""Achat"",IFERROR(VALUE(X682),VALUE(REGEXREPLACE(T(X682),""[^0-9]"",""""))),W682=""Vente"",-IFERROR(VALUE(X682),VALUE(REGEXREPLACE(T(X682),""[^0-9]"",""""))),Y682=""Change"",0,Y682&lt;&gt;""Change"","""")"),"")</f>
        <v/>
      </c>
      <c r="N682" s="34" t="str">
        <f>IFERROR(__xludf.DUMMYFUNCTION("IF(Account!$F682&lt;&gt;"""", VALUE(REGEXREPLACE($I682, ""\,"", ""."")), """")"),"")</f>
        <v/>
      </c>
      <c r="O682" s="35" t="str">
        <f>IF(Account!$F682&lt;&gt;"", DATEVALUE(MID($A682,4,3) &amp; LEFT($A682,3) &amp; RIGHT($A682,4)) + TIMEVALUE($B682), "")</f>
        <v/>
      </c>
      <c r="P682" s="36" t="str">
        <f>IF(Account!$F682&lt;&gt;"", DATEVALUE(MID($C682,4,3) &amp; LEFT($C682,3) &amp; RIGHT($C682,4)), "")</f>
        <v/>
      </c>
      <c r="Q682" s="37" t="str">
        <f t="array" ref="Q682">IF($R682&lt;&gt;"",IFERROR(INDEX(ISIN!$B:$B,MATCH($R682,ISIN!$C:$C,0))),)</f>
        <v/>
      </c>
      <c r="R682" s="38" t="str">
        <f t="array" ref="R682">IF($E682&lt;&gt;"",IFERROR(INDEX(ISIN!$C:$C,MATCH($E682,ISIN!$A:$A,0)),IFERROR(INDEX($R683:$R1200,MATCH($K682,$K683:$K1200,0)))),IF(AND($Y682="change",$H682="EUR"),IF($O682=$O683,$R683,IF($O682=$O681,$R681)),IFERROR(INDEX($R683:$R1200,MATCH(SUBSTITUTE($I682,"-","",1),$K683:$K1200,0)))))</f>
        <v/>
      </c>
      <c r="S682" s="37" t="str">
        <f t="shared" si="1"/>
        <v/>
      </c>
      <c r="T682" s="39" t="str">
        <f t="shared" si="2"/>
        <v/>
      </c>
      <c r="U682" s="40" t="str">
        <f t="shared" si="3"/>
        <v/>
      </c>
      <c r="V682" s="34" t="str">
        <f t="shared" si="4"/>
        <v/>
      </c>
      <c r="W682" s="41" t="str">
        <f>IFERROR(__xludf.DUMMYFUNCTION(" IF(Account!$F682&lt;&gt;"""", SPLIT(Account!$F682, "" ""), """")"),"")</f>
        <v/>
      </c>
      <c r="X682" s="42"/>
      <c r="Y682" s="42"/>
      <c r="Z682" s="42"/>
      <c r="AA682" s="42"/>
      <c r="AB682" s="42"/>
      <c r="AC682" s="42"/>
      <c r="AD682" s="42"/>
      <c r="AE682" s="42"/>
      <c r="AF682" s="42"/>
      <c r="AG682" s="42"/>
      <c r="AH682" s="42"/>
      <c r="AI682" s="42"/>
      <c r="AJ682" s="42"/>
      <c r="AK682" s="42"/>
    </row>
    <row r="683">
      <c r="A683" s="20"/>
      <c r="B683" s="20"/>
      <c r="C683" s="20"/>
      <c r="D683" s="20"/>
      <c r="E683" s="20"/>
      <c r="F683" s="21"/>
      <c r="G683" s="45"/>
      <c r="H683" s="20"/>
      <c r="I683" s="20"/>
      <c r="J683" s="20"/>
      <c r="K683" s="20"/>
      <c r="L683" s="21"/>
      <c r="M683" s="33" t="str">
        <f>IFERROR(__xludf.DUMMYFUNCTION("IFS(W683=""Achat"",IFERROR(VALUE(X683),VALUE(REGEXREPLACE(T(X683),""[^0-9]"",""""))),W683=""Vente"",-IFERROR(VALUE(X683),VALUE(REGEXREPLACE(T(X683),""[^0-9]"",""""))),Y683=""Change"",0,Y683&lt;&gt;""Change"","""")"),"")</f>
        <v/>
      </c>
      <c r="N683" s="34" t="str">
        <f>IFERROR(__xludf.DUMMYFUNCTION("IF(Account!$F683&lt;&gt;"""", VALUE(REGEXREPLACE($I683, ""\,"", ""."")), """")"),"")</f>
        <v/>
      </c>
      <c r="O683" s="35" t="str">
        <f>IF(Account!$F683&lt;&gt;"", DATEVALUE(MID($A683,4,3) &amp; LEFT($A683,3) &amp; RIGHT($A683,4)) + TIMEVALUE($B683), "")</f>
        <v/>
      </c>
      <c r="P683" s="36" t="str">
        <f>IF(Account!$F683&lt;&gt;"", DATEVALUE(MID($C683,4,3) &amp; LEFT($C683,3) &amp; RIGHT($C683,4)), "")</f>
        <v/>
      </c>
      <c r="Q683" s="37" t="str">
        <f t="array" ref="Q683">IF($R683&lt;&gt;"",IFERROR(INDEX(ISIN!$B:$B,MATCH($R683,ISIN!$C:$C,0))),)</f>
        <v/>
      </c>
      <c r="R683" s="38" t="str">
        <f t="array" ref="R683">IF($E683&lt;&gt;"",IFERROR(INDEX(ISIN!$C:$C,MATCH($E683,ISIN!$A:$A,0)),IFERROR(INDEX($R684:$R1200,MATCH($K683,$K684:$K1200,0)))),IF(AND($Y683="change",$H683="EUR"),IF($O683=$O684,$R684,IF($O683=$O682,$R682)),IFERROR(INDEX($R684:$R1200,MATCH(SUBSTITUTE($I683,"-","",1),$K684:$K1200,0)))))</f>
        <v/>
      </c>
      <c r="S683" s="37" t="str">
        <f t="shared" si="1"/>
        <v/>
      </c>
      <c r="T683" s="39" t="str">
        <f t="shared" si="2"/>
        <v/>
      </c>
      <c r="U683" s="40" t="str">
        <f t="shared" si="3"/>
        <v/>
      </c>
      <c r="V683" s="34" t="str">
        <f t="shared" si="4"/>
        <v/>
      </c>
      <c r="W683" s="41" t="str">
        <f>IFERROR(__xludf.DUMMYFUNCTION(" IF(Account!$F683&lt;&gt;"""", SPLIT(Account!$F683, "" ""), """")"),"")</f>
        <v/>
      </c>
      <c r="X683" s="42"/>
      <c r="Y683" s="42"/>
      <c r="Z683" s="42"/>
      <c r="AA683" s="42"/>
      <c r="AB683" s="42"/>
      <c r="AC683" s="42"/>
      <c r="AD683" s="42"/>
      <c r="AE683" s="42"/>
      <c r="AF683" s="42"/>
      <c r="AG683" s="42"/>
      <c r="AH683" s="42"/>
      <c r="AI683" s="42"/>
      <c r="AJ683" s="42"/>
      <c r="AK683" s="42"/>
    </row>
    <row r="684">
      <c r="A684" s="20"/>
      <c r="B684" s="20"/>
      <c r="C684" s="20"/>
      <c r="D684" s="20"/>
      <c r="E684" s="20"/>
      <c r="F684" s="21"/>
      <c r="G684" s="45"/>
      <c r="H684" s="20"/>
      <c r="I684" s="20"/>
      <c r="J684" s="20"/>
      <c r="K684" s="20"/>
      <c r="L684" s="21"/>
      <c r="M684" s="33" t="str">
        <f>IFERROR(__xludf.DUMMYFUNCTION("IFS(W684=""Achat"",IFERROR(VALUE(X684),VALUE(REGEXREPLACE(T(X684),""[^0-9]"",""""))),W684=""Vente"",-IFERROR(VALUE(X684),VALUE(REGEXREPLACE(T(X684),""[^0-9]"",""""))),Y684=""Change"",0,Y684&lt;&gt;""Change"","""")"),"")</f>
        <v/>
      </c>
      <c r="N684" s="34" t="str">
        <f>IFERROR(__xludf.DUMMYFUNCTION("IF(Account!$F684&lt;&gt;"""", VALUE(REGEXREPLACE($I684, ""\,"", ""."")), """")"),"")</f>
        <v/>
      </c>
      <c r="O684" s="35" t="str">
        <f>IF(Account!$F684&lt;&gt;"", DATEVALUE(MID($A684,4,3) &amp; LEFT($A684,3) &amp; RIGHT($A684,4)) + TIMEVALUE($B684), "")</f>
        <v/>
      </c>
      <c r="P684" s="36" t="str">
        <f>IF(Account!$F684&lt;&gt;"", DATEVALUE(MID($C684,4,3) &amp; LEFT($C684,3) &amp; RIGHT($C684,4)), "")</f>
        <v/>
      </c>
      <c r="Q684" s="37" t="str">
        <f t="array" ref="Q684">IF($R684&lt;&gt;"",IFERROR(INDEX(ISIN!$B:$B,MATCH($R684,ISIN!$C:$C,0))),)</f>
        <v/>
      </c>
      <c r="R684" s="38" t="str">
        <f t="array" ref="R684">IF($E684&lt;&gt;"",IFERROR(INDEX(ISIN!$C:$C,MATCH($E684,ISIN!$A:$A,0)),IFERROR(INDEX($R685:$R1200,MATCH($K684,$K685:$K1200,0)))),IF(AND($Y684="change",$H684="EUR"),IF($O684=$O685,$R685,IF($O684=$O683,$R683)),IFERROR(INDEX($R685:$R1200,MATCH(SUBSTITUTE($I684,"-","",1),$K685:$K1200,0)))))</f>
        <v/>
      </c>
      <c r="S684" s="37" t="str">
        <f t="shared" si="1"/>
        <v/>
      </c>
      <c r="T684" s="39" t="str">
        <f t="shared" si="2"/>
        <v/>
      </c>
      <c r="U684" s="40" t="str">
        <f t="shared" si="3"/>
        <v/>
      </c>
      <c r="V684" s="34" t="str">
        <f t="shared" si="4"/>
        <v/>
      </c>
      <c r="W684" s="41" t="str">
        <f>IFERROR(__xludf.DUMMYFUNCTION(" IF(Account!$F684&lt;&gt;"""", SPLIT(Account!$F684, "" ""), """")"),"")</f>
        <v/>
      </c>
      <c r="X684" s="42"/>
      <c r="Y684" s="42"/>
      <c r="Z684" s="42"/>
      <c r="AA684" s="42"/>
      <c r="AB684" s="42"/>
      <c r="AC684" s="42"/>
      <c r="AD684" s="42"/>
      <c r="AE684" s="42"/>
      <c r="AF684" s="42"/>
      <c r="AG684" s="42"/>
      <c r="AH684" s="42"/>
      <c r="AI684" s="42"/>
      <c r="AJ684" s="42"/>
      <c r="AK684" s="42"/>
    </row>
    <row r="685">
      <c r="A685" s="20"/>
      <c r="B685" s="20"/>
      <c r="C685" s="20"/>
      <c r="D685" s="20"/>
      <c r="E685" s="20"/>
      <c r="F685" s="21"/>
      <c r="G685" s="45"/>
      <c r="H685" s="20"/>
      <c r="I685" s="20"/>
      <c r="J685" s="20"/>
      <c r="K685" s="20"/>
      <c r="L685" s="21"/>
      <c r="M685" s="33" t="str">
        <f>IFERROR(__xludf.DUMMYFUNCTION("IFS(W685=""Achat"",IFERROR(VALUE(X685),VALUE(REGEXREPLACE(T(X685),""[^0-9]"",""""))),W685=""Vente"",-IFERROR(VALUE(X685),VALUE(REGEXREPLACE(T(X685),""[^0-9]"",""""))),Y685=""Change"",0,Y685&lt;&gt;""Change"","""")"),"")</f>
        <v/>
      </c>
      <c r="N685" s="34" t="str">
        <f>IFERROR(__xludf.DUMMYFUNCTION("IF(Account!$F685&lt;&gt;"""", VALUE(REGEXREPLACE($I685, ""\,"", ""."")), """")"),"")</f>
        <v/>
      </c>
      <c r="O685" s="35" t="str">
        <f>IF(Account!$F685&lt;&gt;"", DATEVALUE(MID($A685,4,3) &amp; LEFT($A685,3) &amp; RIGHT($A685,4)) + TIMEVALUE($B685), "")</f>
        <v/>
      </c>
      <c r="P685" s="36" t="str">
        <f>IF(Account!$F685&lt;&gt;"", DATEVALUE(MID($C685,4,3) &amp; LEFT($C685,3) &amp; RIGHT($C685,4)), "")</f>
        <v/>
      </c>
      <c r="Q685" s="37" t="str">
        <f t="array" ref="Q685">IF($R685&lt;&gt;"",IFERROR(INDEX(ISIN!$B:$B,MATCH($R685,ISIN!$C:$C,0))),)</f>
        <v/>
      </c>
      <c r="R685" s="38" t="str">
        <f t="array" ref="R685">IF($E685&lt;&gt;"",IFERROR(INDEX(ISIN!$C:$C,MATCH($E685,ISIN!$A:$A,0)),IFERROR(INDEX($R686:$R1200,MATCH($K685,$K686:$K1200,0)))),IF(AND($Y685="change",$H685="EUR"),IF($O685=$O686,$R686,IF($O685=$O684,$R684)),IFERROR(INDEX($R686:$R1200,MATCH(SUBSTITUTE($I685,"-","",1),$K686:$K1200,0)))))</f>
        <v/>
      </c>
      <c r="S685" s="37" t="str">
        <f t="shared" si="1"/>
        <v/>
      </c>
      <c r="T685" s="39" t="str">
        <f t="shared" si="2"/>
        <v/>
      </c>
      <c r="U685" s="40" t="str">
        <f t="shared" si="3"/>
        <v/>
      </c>
      <c r="V685" s="34" t="str">
        <f t="shared" si="4"/>
        <v/>
      </c>
      <c r="W685" s="41" t="str">
        <f>IFERROR(__xludf.DUMMYFUNCTION(" IF(Account!$F685&lt;&gt;"""", SPLIT(Account!$F685, "" ""), """")"),"")</f>
        <v/>
      </c>
      <c r="X685" s="42"/>
      <c r="Y685" s="42"/>
      <c r="Z685" s="42"/>
      <c r="AA685" s="42"/>
      <c r="AB685" s="42"/>
      <c r="AC685" s="42"/>
      <c r="AD685" s="42"/>
      <c r="AE685" s="42"/>
      <c r="AF685" s="42"/>
      <c r="AG685" s="42"/>
      <c r="AH685" s="42"/>
      <c r="AI685" s="42"/>
      <c r="AJ685" s="42"/>
      <c r="AK685" s="42"/>
    </row>
    <row r="686">
      <c r="A686" s="20"/>
      <c r="B686" s="20"/>
      <c r="C686" s="20"/>
      <c r="D686" s="20"/>
      <c r="E686" s="20"/>
      <c r="F686" s="21"/>
      <c r="G686" s="45"/>
      <c r="H686" s="20"/>
      <c r="I686" s="20"/>
      <c r="J686" s="20"/>
      <c r="K686" s="20"/>
      <c r="L686" s="21"/>
      <c r="M686" s="33" t="str">
        <f>IFERROR(__xludf.DUMMYFUNCTION("IFS(W686=""Achat"",IFERROR(VALUE(X686),VALUE(REGEXREPLACE(T(X686),""[^0-9]"",""""))),W686=""Vente"",-IFERROR(VALUE(X686),VALUE(REGEXREPLACE(T(X686),""[^0-9]"",""""))),Y686=""Change"",0,Y686&lt;&gt;""Change"","""")"),"")</f>
        <v/>
      </c>
      <c r="N686" s="34" t="str">
        <f>IFERROR(__xludf.DUMMYFUNCTION("IF(Account!$F686&lt;&gt;"""", VALUE(REGEXREPLACE($I686, ""\,"", ""."")), """")"),"")</f>
        <v/>
      </c>
      <c r="O686" s="35" t="str">
        <f>IF(Account!$F686&lt;&gt;"", DATEVALUE(MID($A686,4,3) &amp; LEFT($A686,3) &amp; RIGHT($A686,4)) + TIMEVALUE($B686), "")</f>
        <v/>
      </c>
      <c r="P686" s="36" t="str">
        <f>IF(Account!$F686&lt;&gt;"", DATEVALUE(MID($C686,4,3) &amp; LEFT($C686,3) &amp; RIGHT($C686,4)), "")</f>
        <v/>
      </c>
      <c r="Q686" s="37" t="str">
        <f t="array" ref="Q686">IF($R686&lt;&gt;"",IFERROR(INDEX(ISIN!$B:$B,MATCH($R686,ISIN!$C:$C,0))),)</f>
        <v/>
      </c>
      <c r="R686" s="38" t="str">
        <f t="array" ref="R686">IF($E686&lt;&gt;"",IFERROR(INDEX(ISIN!$C:$C,MATCH($E686,ISIN!$A:$A,0)),IFERROR(INDEX($R687:$R1200,MATCH($K686,$K687:$K1200,0)))),IF(AND($Y686="change",$H686="EUR"),IF($O686=$O687,$R687,IF($O686=$O685,$R685)),IFERROR(INDEX($R687:$R1200,MATCH(SUBSTITUTE($I686,"-","",1),$K687:$K1200,0)))))</f>
        <v/>
      </c>
      <c r="S686" s="37" t="str">
        <f t="shared" si="1"/>
        <v/>
      </c>
      <c r="T686" s="39" t="str">
        <f t="shared" si="2"/>
        <v/>
      </c>
      <c r="U686" s="40" t="str">
        <f t="shared" si="3"/>
        <v/>
      </c>
      <c r="V686" s="34" t="str">
        <f t="shared" si="4"/>
        <v/>
      </c>
      <c r="W686" s="41" t="str">
        <f>IFERROR(__xludf.DUMMYFUNCTION(" IF(Account!$F686&lt;&gt;"""", SPLIT(Account!$F686, "" ""), """")"),"")</f>
        <v/>
      </c>
      <c r="X686" s="42"/>
      <c r="Y686" s="42"/>
      <c r="Z686" s="42"/>
      <c r="AA686" s="42"/>
      <c r="AB686" s="42"/>
      <c r="AC686" s="42"/>
      <c r="AD686" s="42"/>
      <c r="AE686" s="42"/>
      <c r="AF686" s="42"/>
      <c r="AG686" s="42"/>
      <c r="AH686" s="42"/>
      <c r="AI686" s="42"/>
      <c r="AJ686" s="42"/>
      <c r="AK686" s="42"/>
    </row>
    <row r="687">
      <c r="A687" s="20"/>
      <c r="B687" s="20"/>
      <c r="C687" s="20"/>
      <c r="D687" s="20"/>
      <c r="E687" s="20"/>
      <c r="F687" s="21"/>
      <c r="G687" s="45"/>
      <c r="H687" s="45"/>
      <c r="I687" s="45"/>
      <c r="J687" s="20"/>
      <c r="K687" s="20"/>
      <c r="L687" s="46"/>
      <c r="M687" s="33" t="str">
        <f>IFERROR(__xludf.DUMMYFUNCTION("IFS(W687=""Achat"",IFERROR(VALUE(X687),VALUE(REGEXREPLACE(T(X687),""[^0-9]"",""""))),W687=""Vente"",-IFERROR(VALUE(X687),VALUE(REGEXREPLACE(T(X687),""[^0-9]"",""""))),Y687=""Change"",0,Y687&lt;&gt;""Change"","""")"),"")</f>
        <v/>
      </c>
      <c r="N687" s="34" t="str">
        <f>IFERROR(__xludf.DUMMYFUNCTION("IF(Account!$F687&lt;&gt;"""", VALUE(REGEXREPLACE($I687, ""\,"", ""."")), """")"),"")</f>
        <v/>
      </c>
      <c r="O687" s="35" t="str">
        <f>IF(Account!$F687&lt;&gt;"", DATEVALUE(MID($A687,4,3) &amp; LEFT($A687,3) &amp; RIGHT($A687,4)) + TIMEVALUE($B687), "")</f>
        <v/>
      </c>
      <c r="P687" s="36" t="str">
        <f>IF(Account!$F687&lt;&gt;"", DATEVALUE(MID($C687,4,3) &amp; LEFT($C687,3) &amp; RIGHT($C687,4)), "")</f>
        <v/>
      </c>
      <c r="Q687" s="37" t="str">
        <f t="array" ref="Q687">IF($R687&lt;&gt;"",IFERROR(INDEX(ISIN!$B:$B,MATCH($R687,ISIN!$C:$C,0))),)</f>
        <v/>
      </c>
      <c r="R687" s="38" t="str">
        <f t="array" ref="R687">IF($E687&lt;&gt;"",IFERROR(INDEX(ISIN!$C:$C,MATCH($E687,ISIN!$A:$A,0)),IFERROR(INDEX($R688:$R1200,MATCH($K687,$K688:$K1200,0)))),IF(AND($Y687="change",$H687="EUR"),IF($O687=$O688,$R688,IF($O687=$O686,$R686)),IFERROR(INDEX($R688:$R1200,MATCH(SUBSTITUTE($I687,"-","",1),$K688:$K1200,0)))))</f>
        <v/>
      </c>
      <c r="S687" s="37" t="str">
        <f t="shared" si="1"/>
        <v/>
      </c>
      <c r="T687" s="39" t="str">
        <f t="shared" si="2"/>
        <v/>
      </c>
      <c r="U687" s="40" t="str">
        <f t="shared" si="3"/>
        <v/>
      </c>
      <c r="V687" s="34" t="str">
        <f t="shared" si="4"/>
        <v/>
      </c>
      <c r="W687" s="41" t="str">
        <f>IFERROR(__xludf.DUMMYFUNCTION(" IF(Account!$F687&lt;&gt;"""", SPLIT(Account!$F687, "" ""), """")"),"")</f>
        <v/>
      </c>
      <c r="X687" s="42"/>
      <c r="Y687" s="42"/>
      <c r="Z687" s="42"/>
      <c r="AA687" s="42"/>
      <c r="AB687" s="42"/>
      <c r="AC687" s="42"/>
      <c r="AD687" s="42"/>
      <c r="AE687" s="42"/>
      <c r="AF687" s="42"/>
      <c r="AG687" s="42"/>
      <c r="AH687" s="42"/>
      <c r="AI687" s="42"/>
      <c r="AJ687" s="42"/>
      <c r="AK687" s="42"/>
    </row>
    <row r="688">
      <c r="A688" s="20"/>
      <c r="B688" s="20"/>
      <c r="C688" s="20"/>
      <c r="D688" s="45"/>
      <c r="E688" s="45"/>
      <c r="F688" s="21"/>
      <c r="G688" s="45"/>
      <c r="H688" s="20"/>
      <c r="I688" s="20"/>
      <c r="J688" s="20"/>
      <c r="K688" s="20"/>
      <c r="L688" s="46"/>
      <c r="M688" s="33" t="str">
        <f>IFERROR(__xludf.DUMMYFUNCTION("IFS(W688=""Achat"",IFERROR(VALUE(X688),VALUE(REGEXREPLACE(T(X688),""[^0-9]"",""""))),W688=""Vente"",-IFERROR(VALUE(X688),VALUE(REGEXREPLACE(T(X688),""[^0-9]"",""""))),Y688=""Change"",0,Y688&lt;&gt;""Change"","""")"),"")</f>
        <v/>
      </c>
      <c r="N688" s="34" t="str">
        <f>IFERROR(__xludf.DUMMYFUNCTION("IF(Account!$F688&lt;&gt;"""", VALUE(REGEXREPLACE($I688, ""\,"", ""."")), """")"),"")</f>
        <v/>
      </c>
      <c r="O688" s="35" t="str">
        <f>IF(Account!$F688&lt;&gt;"", DATEVALUE(MID($A688,4,3) &amp; LEFT($A688,3) &amp; RIGHT($A688,4)) + TIMEVALUE($B688), "")</f>
        <v/>
      </c>
      <c r="P688" s="36" t="str">
        <f>IF(Account!$F688&lt;&gt;"", DATEVALUE(MID($C688,4,3) &amp; LEFT($C688,3) &amp; RIGHT($C688,4)), "")</f>
        <v/>
      </c>
      <c r="Q688" s="37" t="str">
        <f t="array" ref="Q688">IF($R688&lt;&gt;"",IFERROR(INDEX(ISIN!$B:$B,MATCH($R688,ISIN!$C:$C,0))),)</f>
        <v/>
      </c>
      <c r="R688" s="38" t="str">
        <f t="array" ref="R688">IF($E688&lt;&gt;"",IFERROR(INDEX(ISIN!$C:$C,MATCH($E688,ISIN!$A:$A,0)),IFERROR(INDEX($R689:$R1200,MATCH($K688,$K689:$K1200,0)))),IF(AND($Y688="change",$H688="EUR"),IF($O688=$O689,$R689,IF($O688=$O687,$R687)),IFERROR(INDEX($R689:$R1200,MATCH(SUBSTITUTE($I688,"-","",1),$K689:$K1200,0)))))</f>
        <v/>
      </c>
      <c r="S688" s="37" t="str">
        <f t="shared" si="1"/>
        <v/>
      </c>
      <c r="T688" s="39" t="str">
        <f t="shared" si="2"/>
        <v/>
      </c>
      <c r="U688" s="40" t="str">
        <f t="shared" si="3"/>
        <v/>
      </c>
      <c r="V688" s="34" t="str">
        <f t="shared" si="4"/>
        <v/>
      </c>
      <c r="W688" s="41" t="str">
        <f>IFERROR(__xludf.DUMMYFUNCTION(" IF(Account!$F688&lt;&gt;"""", SPLIT(Account!$F688, "" ""), """")"),"")</f>
        <v/>
      </c>
      <c r="X688" s="42"/>
      <c r="Y688" s="42"/>
      <c r="Z688" s="42"/>
      <c r="AA688" s="42"/>
      <c r="AB688" s="42"/>
      <c r="AC688" s="42"/>
      <c r="AD688" s="42"/>
      <c r="AE688" s="42"/>
      <c r="AF688" s="42"/>
      <c r="AG688" s="42"/>
      <c r="AH688" s="42"/>
      <c r="AI688" s="42"/>
      <c r="AJ688" s="42"/>
      <c r="AK688" s="42"/>
    </row>
    <row r="689">
      <c r="A689" s="20"/>
      <c r="B689" s="20"/>
      <c r="C689" s="20"/>
      <c r="D689" s="45"/>
      <c r="E689" s="45"/>
      <c r="F689" s="21"/>
      <c r="G689" s="20"/>
      <c r="H689" s="20"/>
      <c r="I689" s="20"/>
      <c r="J689" s="20"/>
      <c r="K689" s="20"/>
      <c r="L689" s="46"/>
      <c r="M689" s="33" t="str">
        <f>IFERROR(__xludf.DUMMYFUNCTION("IFS(W689=""Achat"",IFERROR(VALUE(X689),VALUE(REGEXREPLACE(T(X689),""[^0-9]"",""""))),W689=""Vente"",-IFERROR(VALUE(X689),VALUE(REGEXREPLACE(T(X689),""[^0-9]"",""""))),Y689=""Change"",0,Y689&lt;&gt;""Change"","""")"),"")</f>
        <v/>
      </c>
      <c r="N689" s="34" t="str">
        <f>IFERROR(__xludf.DUMMYFUNCTION("IF(Account!$F689&lt;&gt;"""", VALUE(REGEXREPLACE($I689, ""\,"", ""."")), """")"),"")</f>
        <v/>
      </c>
      <c r="O689" s="35" t="str">
        <f>IF(Account!$F689&lt;&gt;"", DATEVALUE(MID($A689,4,3) &amp; LEFT($A689,3) &amp; RIGHT($A689,4)) + TIMEVALUE($B689), "")</f>
        <v/>
      </c>
      <c r="P689" s="36" t="str">
        <f>IF(Account!$F689&lt;&gt;"", DATEVALUE(MID($C689,4,3) &amp; LEFT($C689,3) &amp; RIGHT($C689,4)), "")</f>
        <v/>
      </c>
      <c r="Q689" s="37" t="str">
        <f t="array" ref="Q689">IF($R689&lt;&gt;"",IFERROR(INDEX(ISIN!$B:$B,MATCH($R689,ISIN!$C:$C,0))),)</f>
        <v/>
      </c>
      <c r="R689" s="38" t="str">
        <f t="array" ref="R689">IF($E689&lt;&gt;"",IFERROR(INDEX(ISIN!$C:$C,MATCH($E689,ISIN!$A:$A,0)),IFERROR(INDEX($R690:$R1200,MATCH($K689,$K690:$K1200,0)))),IF(AND($Y689="change",$H689="EUR"),IF($O689=$O690,$R690,IF($O689=$O688,$R688)),IFERROR(INDEX($R690:$R1200,MATCH(SUBSTITUTE($I689,"-","",1),$K690:$K1200,0)))))</f>
        <v/>
      </c>
      <c r="S689" s="37" t="str">
        <f t="shared" si="1"/>
        <v/>
      </c>
      <c r="T689" s="39" t="str">
        <f t="shared" si="2"/>
        <v/>
      </c>
      <c r="U689" s="40" t="str">
        <f t="shared" si="3"/>
        <v/>
      </c>
      <c r="V689" s="34" t="str">
        <f t="shared" si="4"/>
        <v/>
      </c>
      <c r="W689" s="41" t="str">
        <f>IFERROR(__xludf.DUMMYFUNCTION(" IF(Account!$F689&lt;&gt;"""", SPLIT(Account!$F689, "" ""), """")"),"")</f>
        <v/>
      </c>
      <c r="X689" s="42"/>
      <c r="Y689" s="42"/>
      <c r="Z689" s="42"/>
      <c r="AA689" s="42"/>
      <c r="AB689" s="42"/>
      <c r="AC689" s="42"/>
      <c r="AD689" s="42"/>
      <c r="AE689" s="42"/>
      <c r="AF689" s="42"/>
      <c r="AG689" s="42"/>
      <c r="AH689" s="42"/>
      <c r="AI689" s="42"/>
      <c r="AJ689" s="42"/>
      <c r="AK689" s="42"/>
    </row>
    <row r="690">
      <c r="A690" s="20"/>
      <c r="B690" s="20"/>
      <c r="C690" s="20"/>
      <c r="D690" s="20"/>
      <c r="E690" s="20"/>
      <c r="F690" s="21"/>
      <c r="G690" s="45"/>
      <c r="H690" s="45"/>
      <c r="I690" s="45"/>
      <c r="J690" s="20"/>
      <c r="K690" s="20"/>
      <c r="L690" s="46"/>
      <c r="M690" s="33" t="str">
        <f>IFERROR(__xludf.DUMMYFUNCTION("IFS(W690=""Achat"",IFERROR(VALUE(X690),VALUE(REGEXREPLACE(T(X690),""[^0-9]"",""""))),W690=""Vente"",-IFERROR(VALUE(X690),VALUE(REGEXREPLACE(T(X690),""[^0-9]"",""""))),Y690=""Change"",0,Y690&lt;&gt;""Change"","""")"),"")</f>
        <v/>
      </c>
      <c r="N690" s="34" t="str">
        <f>IFERROR(__xludf.DUMMYFUNCTION("IF(Account!$F690&lt;&gt;"""", VALUE(REGEXREPLACE($I690, ""\,"", ""."")), """")"),"")</f>
        <v/>
      </c>
      <c r="O690" s="35" t="str">
        <f>IF(Account!$F690&lt;&gt;"", DATEVALUE(MID($A690,4,3) &amp; LEFT($A690,3) &amp; RIGHT($A690,4)) + TIMEVALUE($B690), "")</f>
        <v/>
      </c>
      <c r="P690" s="36" t="str">
        <f>IF(Account!$F690&lt;&gt;"", DATEVALUE(MID($C690,4,3) &amp; LEFT($C690,3) &amp; RIGHT($C690,4)), "")</f>
        <v/>
      </c>
      <c r="Q690" s="37" t="str">
        <f t="array" ref="Q690">IF($R690&lt;&gt;"",IFERROR(INDEX(ISIN!$B:$B,MATCH($R690,ISIN!$C:$C,0))),)</f>
        <v/>
      </c>
      <c r="R690" s="38" t="str">
        <f t="array" ref="R690">IF($E690&lt;&gt;"",IFERROR(INDEX(ISIN!$C:$C,MATCH($E690,ISIN!$A:$A,0)),IFERROR(INDEX($R691:$R1200,MATCH($K690,$K691:$K1200,0)))),IF(AND($Y690="change",$H690="EUR"),IF($O690=$O691,$R691,IF($O690=$O689,$R689)),IFERROR(INDEX($R691:$R1200,MATCH(SUBSTITUTE($I690,"-","",1),$K691:$K1200,0)))))</f>
        <v/>
      </c>
      <c r="S690" s="37" t="str">
        <f t="shared" si="1"/>
        <v/>
      </c>
      <c r="T690" s="39" t="str">
        <f t="shared" si="2"/>
        <v/>
      </c>
      <c r="U690" s="40" t="str">
        <f t="shared" si="3"/>
        <v/>
      </c>
      <c r="V690" s="34" t="str">
        <f t="shared" si="4"/>
        <v/>
      </c>
      <c r="W690" s="41" t="str">
        <f>IFERROR(__xludf.DUMMYFUNCTION(" IF(Account!$F690&lt;&gt;"""", SPLIT(Account!$F690, "" ""), """")"),"")</f>
        <v/>
      </c>
      <c r="X690" s="42"/>
      <c r="Y690" s="42"/>
      <c r="Z690" s="42"/>
      <c r="AA690" s="42"/>
      <c r="AB690" s="42"/>
      <c r="AC690" s="42"/>
      <c r="AD690" s="42"/>
      <c r="AE690" s="42"/>
      <c r="AF690" s="42"/>
      <c r="AG690" s="42"/>
      <c r="AH690" s="42"/>
      <c r="AI690" s="42"/>
      <c r="AJ690" s="42"/>
      <c r="AK690" s="42"/>
    </row>
    <row r="691">
      <c r="A691" s="20"/>
      <c r="B691" s="20"/>
      <c r="C691" s="20"/>
      <c r="D691" s="20"/>
      <c r="E691" s="20"/>
      <c r="F691" s="21"/>
      <c r="G691" s="45"/>
      <c r="H691" s="20"/>
      <c r="I691" s="20"/>
      <c r="J691" s="20"/>
      <c r="K691" s="20"/>
      <c r="L691" s="46"/>
      <c r="M691" s="33" t="str">
        <f>IFERROR(__xludf.DUMMYFUNCTION("IFS(W691=""Achat"",IFERROR(VALUE(X691),VALUE(REGEXREPLACE(T(X691),""[^0-9]"",""""))),W691=""Vente"",-IFERROR(VALUE(X691),VALUE(REGEXREPLACE(T(X691),""[^0-9]"",""""))),Y691=""Change"",0,Y691&lt;&gt;""Change"","""")"),"")</f>
        <v/>
      </c>
      <c r="N691" s="34" t="str">
        <f>IFERROR(__xludf.DUMMYFUNCTION("IF(Account!$F691&lt;&gt;"""", VALUE(REGEXREPLACE($I691, ""\,"", ""."")), """")"),"")</f>
        <v/>
      </c>
      <c r="O691" s="35" t="str">
        <f>IF(Account!$F691&lt;&gt;"", DATEVALUE(MID($A691,4,3) &amp; LEFT($A691,3) &amp; RIGHT($A691,4)) + TIMEVALUE($B691), "")</f>
        <v/>
      </c>
      <c r="P691" s="36" t="str">
        <f>IF(Account!$F691&lt;&gt;"", DATEVALUE(MID($C691,4,3) &amp; LEFT($C691,3) &amp; RIGHT($C691,4)), "")</f>
        <v/>
      </c>
      <c r="Q691" s="37" t="str">
        <f t="array" ref="Q691">IF($R691&lt;&gt;"",IFERROR(INDEX(ISIN!$B:$B,MATCH($R691,ISIN!$C:$C,0))),)</f>
        <v/>
      </c>
      <c r="R691" s="38" t="str">
        <f t="array" ref="R691">IF($E691&lt;&gt;"",IFERROR(INDEX(ISIN!$C:$C,MATCH($E691,ISIN!$A:$A,0)),IFERROR(INDEX($R692:$R1200,MATCH($K691,$K692:$K1200,0)))),IF(AND($Y691="change",$H691="EUR"),IF($O691=$O692,$R692,IF($O691=$O690,$R690)),IFERROR(INDEX($R692:$R1200,MATCH(SUBSTITUTE($I691,"-","",1),$K692:$K1200,0)))))</f>
        <v/>
      </c>
      <c r="S691" s="37" t="str">
        <f t="shared" si="1"/>
        <v/>
      </c>
      <c r="T691" s="39" t="str">
        <f t="shared" si="2"/>
        <v/>
      </c>
      <c r="U691" s="40" t="str">
        <f t="shared" si="3"/>
        <v/>
      </c>
      <c r="V691" s="34" t="str">
        <f t="shared" si="4"/>
        <v/>
      </c>
      <c r="W691" s="41" t="str">
        <f>IFERROR(__xludf.DUMMYFUNCTION(" IF(Account!$F691&lt;&gt;"""", SPLIT(Account!$F691, "" ""), """")"),"")</f>
        <v/>
      </c>
      <c r="X691" s="42"/>
      <c r="Y691" s="42"/>
      <c r="Z691" s="42"/>
      <c r="AA691" s="42"/>
      <c r="AB691" s="42"/>
      <c r="AC691" s="42"/>
      <c r="AD691" s="42"/>
      <c r="AE691" s="42"/>
      <c r="AF691" s="42"/>
      <c r="AG691" s="42"/>
      <c r="AH691" s="42"/>
      <c r="AI691" s="42"/>
      <c r="AJ691" s="42"/>
      <c r="AK691" s="42"/>
    </row>
    <row r="692">
      <c r="A692" s="20"/>
      <c r="B692" s="20"/>
      <c r="C692" s="20"/>
      <c r="D692" s="20"/>
      <c r="E692" s="20"/>
      <c r="F692" s="21"/>
      <c r="G692" s="45"/>
      <c r="H692" s="20"/>
      <c r="I692" s="20"/>
      <c r="J692" s="20"/>
      <c r="K692" s="20"/>
      <c r="L692" s="46"/>
      <c r="M692" s="33" t="str">
        <f>IFERROR(__xludf.DUMMYFUNCTION("IFS(W692=""Achat"",IFERROR(VALUE(X692),VALUE(REGEXREPLACE(T(X692),""[^0-9]"",""""))),W692=""Vente"",-IFERROR(VALUE(X692),VALUE(REGEXREPLACE(T(X692),""[^0-9]"",""""))),Y692=""Change"",0,Y692&lt;&gt;""Change"","""")"),"")</f>
        <v/>
      </c>
      <c r="N692" s="34" t="str">
        <f>IFERROR(__xludf.DUMMYFUNCTION("IF(Account!$F692&lt;&gt;"""", VALUE(REGEXREPLACE($I692, ""\,"", ""."")), """")"),"")</f>
        <v/>
      </c>
      <c r="O692" s="35" t="str">
        <f>IF(Account!$F692&lt;&gt;"", DATEVALUE(MID($A692,4,3) &amp; LEFT($A692,3) &amp; RIGHT($A692,4)) + TIMEVALUE($B692), "")</f>
        <v/>
      </c>
      <c r="P692" s="36" t="str">
        <f>IF(Account!$F692&lt;&gt;"", DATEVALUE(MID($C692,4,3) &amp; LEFT($C692,3) &amp; RIGHT($C692,4)), "")</f>
        <v/>
      </c>
      <c r="Q692" s="37" t="str">
        <f t="array" ref="Q692">IF($R692&lt;&gt;"",IFERROR(INDEX(ISIN!$B:$B,MATCH($R692,ISIN!$C:$C,0))),)</f>
        <v/>
      </c>
      <c r="R692" s="38" t="str">
        <f t="array" ref="R692">IF($E692&lt;&gt;"",IFERROR(INDEX(ISIN!$C:$C,MATCH($E692,ISIN!$A:$A,0)),IFERROR(INDEX($R693:$R1200,MATCH($K692,$K693:$K1200,0)))),IF(AND($Y692="change",$H692="EUR"),IF($O692=$O693,$R693,IF($O692=$O691,$R691)),IFERROR(INDEX($R693:$R1200,MATCH(SUBSTITUTE($I692,"-","",1),$K693:$K1200,0)))))</f>
        <v/>
      </c>
      <c r="S692" s="37" t="str">
        <f t="shared" si="1"/>
        <v/>
      </c>
      <c r="T692" s="39" t="str">
        <f t="shared" si="2"/>
        <v/>
      </c>
      <c r="U692" s="40" t="str">
        <f t="shared" si="3"/>
        <v/>
      </c>
      <c r="V692" s="34" t="str">
        <f t="shared" si="4"/>
        <v/>
      </c>
      <c r="W692" s="41" t="str">
        <f>IFERROR(__xludf.DUMMYFUNCTION(" IF(Account!$F692&lt;&gt;"""", SPLIT(Account!$F692, "" ""), """")"),"")</f>
        <v/>
      </c>
      <c r="X692" s="42"/>
      <c r="Y692" s="42"/>
      <c r="Z692" s="42"/>
      <c r="AA692" s="42"/>
      <c r="AB692" s="42"/>
      <c r="AC692" s="42"/>
      <c r="AD692" s="42"/>
      <c r="AE692" s="42"/>
      <c r="AF692" s="42"/>
      <c r="AG692" s="42"/>
      <c r="AH692" s="42"/>
      <c r="AI692" s="42"/>
      <c r="AJ692" s="42"/>
      <c r="AK692" s="42"/>
    </row>
    <row r="693">
      <c r="A693" s="20"/>
      <c r="B693" s="20"/>
      <c r="C693" s="20"/>
      <c r="D693" s="20"/>
      <c r="E693" s="20"/>
      <c r="F693" s="21"/>
      <c r="G693" s="45"/>
      <c r="H693" s="20"/>
      <c r="I693" s="20"/>
      <c r="J693" s="20"/>
      <c r="K693" s="20"/>
      <c r="L693" s="46"/>
      <c r="M693" s="33" t="str">
        <f>IFERROR(__xludf.DUMMYFUNCTION("IFS(W693=""Achat"",IFERROR(VALUE(X693),VALUE(REGEXREPLACE(T(X693),""[^0-9]"",""""))),W693=""Vente"",-IFERROR(VALUE(X693),VALUE(REGEXREPLACE(T(X693),""[^0-9]"",""""))),Y693=""Change"",0,Y693&lt;&gt;""Change"","""")"),"")</f>
        <v/>
      </c>
      <c r="N693" s="34" t="str">
        <f>IFERROR(__xludf.DUMMYFUNCTION("IF(Account!$F693&lt;&gt;"""", VALUE(REGEXREPLACE($I693, ""\,"", ""."")), """")"),"")</f>
        <v/>
      </c>
      <c r="O693" s="35" t="str">
        <f>IF(Account!$F693&lt;&gt;"", DATEVALUE(MID($A693,4,3) &amp; LEFT($A693,3) &amp; RIGHT($A693,4)) + TIMEVALUE($B693), "")</f>
        <v/>
      </c>
      <c r="P693" s="36" t="str">
        <f>IF(Account!$F693&lt;&gt;"", DATEVALUE(MID($C693,4,3) &amp; LEFT($C693,3) &amp; RIGHT($C693,4)), "")</f>
        <v/>
      </c>
      <c r="Q693" s="37" t="str">
        <f t="array" ref="Q693">IF($R693&lt;&gt;"",IFERROR(INDEX(ISIN!$B:$B,MATCH($R693,ISIN!$C:$C,0))),)</f>
        <v/>
      </c>
      <c r="R693" s="38" t="str">
        <f t="array" ref="R693">IF($E693&lt;&gt;"",IFERROR(INDEX(ISIN!$C:$C,MATCH($E693,ISIN!$A:$A,0)),IFERROR(INDEX($R694:$R1200,MATCH($K693,$K694:$K1200,0)))),IF(AND($Y693="change",$H693="EUR"),IF($O693=$O694,$R694,IF($O693=$O692,$R692)),IFERROR(INDEX($R694:$R1200,MATCH(SUBSTITUTE($I693,"-","",1),$K694:$K1200,0)))))</f>
        <v/>
      </c>
      <c r="S693" s="37" t="str">
        <f t="shared" si="1"/>
        <v/>
      </c>
      <c r="T693" s="39" t="str">
        <f t="shared" si="2"/>
        <v/>
      </c>
      <c r="U693" s="40" t="str">
        <f t="shared" si="3"/>
        <v/>
      </c>
      <c r="V693" s="34" t="str">
        <f t="shared" si="4"/>
        <v/>
      </c>
      <c r="W693" s="41" t="str">
        <f>IFERROR(__xludf.DUMMYFUNCTION(" IF(Account!$F693&lt;&gt;"""", SPLIT(Account!$F693, "" ""), """")"),"")</f>
        <v/>
      </c>
      <c r="X693" s="42"/>
      <c r="Y693" s="42"/>
      <c r="Z693" s="42"/>
      <c r="AA693" s="42"/>
      <c r="AB693" s="42"/>
      <c r="AC693" s="42"/>
      <c r="AD693" s="42"/>
      <c r="AE693" s="42"/>
      <c r="AF693" s="42"/>
      <c r="AG693" s="42"/>
      <c r="AH693" s="42"/>
      <c r="AI693" s="42"/>
      <c r="AJ693" s="42"/>
      <c r="AK693" s="42"/>
    </row>
    <row r="694">
      <c r="A694" s="20"/>
      <c r="B694" s="20"/>
      <c r="C694" s="20"/>
      <c r="D694" s="20"/>
      <c r="E694" s="20"/>
      <c r="F694" s="21"/>
      <c r="G694" s="45"/>
      <c r="H694" s="45"/>
      <c r="I694" s="45"/>
      <c r="J694" s="20"/>
      <c r="K694" s="20"/>
      <c r="L694" s="46"/>
      <c r="M694" s="33" t="str">
        <f>IFERROR(__xludf.DUMMYFUNCTION("IFS(W694=""Achat"",IFERROR(VALUE(X694),VALUE(REGEXREPLACE(T(X694),""[^0-9]"",""""))),W694=""Vente"",-IFERROR(VALUE(X694),VALUE(REGEXREPLACE(T(X694),""[^0-9]"",""""))),Y694=""Change"",0,Y694&lt;&gt;""Change"","""")"),"")</f>
        <v/>
      </c>
      <c r="N694" s="34" t="str">
        <f>IFERROR(__xludf.DUMMYFUNCTION("IF(Account!$F694&lt;&gt;"""", VALUE(REGEXREPLACE($I694, ""\,"", ""."")), """")"),"")</f>
        <v/>
      </c>
      <c r="O694" s="35" t="str">
        <f>IF(Account!$F694&lt;&gt;"", DATEVALUE(MID($A694,4,3) &amp; LEFT($A694,3) &amp; RIGHT($A694,4)) + TIMEVALUE($B694), "")</f>
        <v/>
      </c>
      <c r="P694" s="36" t="str">
        <f>IF(Account!$F694&lt;&gt;"", DATEVALUE(MID($C694,4,3) &amp; LEFT($C694,3) &amp; RIGHT($C694,4)), "")</f>
        <v/>
      </c>
      <c r="Q694" s="37" t="str">
        <f t="array" ref="Q694">IF($R694&lt;&gt;"",IFERROR(INDEX(ISIN!$B:$B,MATCH($R694,ISIN!$C:$C,0))),)</f>
        <v/>
      </c>
      <c r="R694" s="38" t="str">
        <f t="array" ref="R694">IF($E694&lt;&gt;"",IFERROR(INDEX(ISIN!$C:$C,MATCH($E694,ISIN!$A:$A,0)),IFERROR(INDEX($R695:$R1200,MATCH($K694,$K695:$K1200,0)))),IF(AND($Y694="change",$H694="EUR"),IF($O694=$O695,$R695,IF($O694=$O693,$R693)),IFERROR(INDEX($R695:$R1200,MATCH(SUBSTITUTE($I694,"-","",1),$K695:$K1200,0)))))</f>
        <v/>
      </c>
      <c r="S694" s="37" t="str">
        <f t="shared" si="1"/>
        <v/>
      </c>
      <c r="T694" s="39" t="str">
        <f t="shared" si="2"/>
        <v/>
      </c>
      <c r="U694" s="40" t="str">
        <f t="shared" si="3"/>
        <v/>
      </c>
      <c r="V694" s="34" t="str">
        <f t="shared" si="4"/>
        <v/>
      </c>
      <c r="W694" s="41" t="str">
        <f>IFERROR(__xludf.DUMMYFUNCTION(" IF(Account!$F694&lt;&gt;"""", SPLIT(Account!$F694, "" ""), """")"),"")</f>
        <v/>
      </c>
      <c r="X694" s="42"/>
      <c r="Y694" s="42"/>
      <c r="Z694" s="42"/>
      <c r="AA694" s="42"/>
      <c r="AB694" s="42"/>
      <c r="AC694" s="42"/>
      <c r="AD694" s="42"/>
      <c r="AE694" s="42"/>
      <c r="AF694" s="42"/>
      <c r="AG694" s="42"/>
      <c r="AH694" s="42"/>
      <c r="AI694" s="42"/>
      <c r="AJ694" s="42"/>
      <c r="AK694" s="42"/>
    </row>
    <row r="695">
      <c r="A695" s="20"/>
      <c r="B695" s="20"/>
      <c r="C695" s="20"/>
      <c r="D695" s="45"/>
      <c r="E695" s="45"/>
      <c r="F695" s="21"/>
      <c r="G695" s="45"/>
      <c r="H695" s="20"/>
      <c r="I695" s="20"/>
      <c r="J695" s="20"/>
      <c r="K695" s="20"/>
      <c r="L695" s="46"/>
      <c r="M695" s="33" t="str">
        <f>IFERROR(__xludf.DUMMYFUNCTION("IFS(W695=""Achat"",IFERROR(VALUE(X695),VALUE(REGEXREPLACE(T(X695),""[^0-9]"",""""))),W695=""Vente"",-IFERROR(VALUE(X695),VALUE(REGEXREPLACE(T(X695),""[^0-9]"",""""))),Y695=""Change"",0,Y695&lt;&gt;""Change"","""")"),"")</f>
        <v/>
      </c>
      <c r="N695" s="34" t="str">
        <f>IFERROR(__xludf.DUMMYFUNCTION("IF(Account!$F695&lt;&gt;"""", VALUE(REGEXREPLACE($I695, ""\,"", ""."")), """")"),"")</f>
        <v/>
      </c>
      <c r="O695" s="35" t="str">
        <f>IF(Account!$F695&lt;&gt;"", DATEVALUE(MID($A695,4,3) &amp; LEFT($A695,3) &amp; RIGHT($A695,4)) + TIMEVALUE($B695), "")</f>
        <v/>
      </c>
      <c r="P695" s="36" t="str">
        <f>IF(Account!$F695&lt;&gt;"", DATEVALUE(MID($C695,4,3) &amp; LEFT($C695,3) &amp; RIGHT($C695,4)), "")</f>
        <v/>
      </c>
      <c r="Q695" s="37" t="str">
        <f t="array" ref="Q695">IF($R695&lt;&gt;"",IFERROR(INDEX(ISIN!$B:$B,MATCH($R695,ISIN!$C:$C,0))),)</f>
        <v/>
      </c>
      <c r="R695" s="38" t="str">
        <f t="array" ref="R695">IF($E695&lt;&gt;"",IFERROR(INDEX(ISIN!$C:$C,MATCH($E695,ISIN!$A:$A,0)),IFERROR(INDEX($R696:$R1200,MATCH($K695,$K696:$K1200,0)))),IF(AND($Y695="change",$H695="EUR"),IF($O695=$O696,$R696,IF($O695=$O694,$R694)),IFERROR(INDEX($R696:$R1200,MATCH(SUBSTITUTE($I695,"-","",1),$K696:$K1200,0)))))</f>
        <v/>
      </c>
      <c r="S695" s="37" t="str">
        <f t="shared" si="1"/>
        <v/>
      </c>
      <c r="T695" s="39" t="str">
        <f t="shared" si="2"/>
        <v/>
      </c>
      <c r="U695" s="40" t="str">
        <f t="shared" si="3"/>
        <v/>
      </c>
      <c r="V695" s="34" t="str">
        <f t="shared" si="4"/>
        <v/>
      </c>
      <c r="W695" s="41" t="str">
        <f>IFERROR(__xludf.DUMMYFUNCTION(" IF(Account!$F695&lt;&gt;"""", SPLIT(Account!$F695, "" ""), """")"),"")</f>
        <v/>
      </c>
      <c r="X695" s="42"/>
      <c r="Y695" s="42"/>
      <c r="Z695" s="42"/>
      <c r="AA695" s="42"/>
      <c r="AB695" s="42"/>
      <c r="AC695" s="42"/>
      <c r="AD695" s="42"/>
      <c r="AE695" s="42"/>
      <c r="AF695" s="42"/>
      <c r="AG695" s="42"/>
      <c r="AH695" s="42"/>
      <c r="AI695" s="42"/>
      <c r="AJ695" s="42"/>
      <c r="AK695" s="42"/>
    </row>
    <row r="696">
      <c r="A696" s="20"/>
      <c r="B696" s="20"/>
      <c r="C696" s="20"/>
      <c r="D696" s="20"/>
      <c r="E696" s="20"/>
      <c r="F696" s="21"/>
      <c r="G696" s="45"/>
      <c r="H696" s="45"/>
      <c r="I696" s="45"/>
      <c r="J696" s="20"/>
      <c r="K696" s="20"/>
      <c r="L696" s="46"/>
      <c r="M696" s="33" t="str">
        <f>IFERROR(__xludf.DUMMYFUNCTION("IFS(W696=""Achat"",IFERROR(VALUE(X696),VALUE(REGEXREPLACE(T(X696),""[^0-9]"",""""))),W696=""Vente"",-IFERROR(VALUE(X696),VALUE(REGEXREPLACE(T(X696),""[^0-9]"",""""))),Y696=""Change"",0,Y696&lt;&gt;""Change"","""")"),"")</f>
        <v/>
      </c>
      <c r="N696" s="34" t="str">
        <f>IFERROR(__xludf.DUMMYFUNCTION("IF(Account!$F696&lt;&gt;"""", VALUE(REGEXREPLACE($I696, ""\,"", ""."")), """")"),"")</f>
        <v/>
      </c>
      <c r="O696" s="35" t="str">
        <f>IF(Account!$F696&lt;&gt;"", DATEVALUE(MID($A696,4,3) &amp; LEFT($A696,3) &amp; RIGHT($A696,4)) + TIMEVALUE($B696), "")</f>
        <v/>
      </c>
      <c r="P696" s="36" t="str">
        <f>IF(Account!$F696&lt;&gt;"", DATEVALUE(MID($C696,4,3) &amp; LEFT($C696,3) &amp; RIGHT($C696,4)), "")</f>
        <v/>
      </c>
      <c r="Q696" s="37" t="str">
        <f t="array" ref="Q696">IF($R696&lt;&gt;"",IFERROR(INDEX(ISIN!$B:$B,MATCH($R696,ISIN!$C:$C,0))),)</f>
        <v/>
      </c>
      <c r="R696" s="38" t="str">
        <f t="array" ref="R696">IF($E696&lt;&gt;"",IFERROR(INDEX(ISIN!$C:$C,MATCH($E696,ISIN!$A:$A,0)),IFERROR(INDEX($R697:$R1200,MATCH($K696,$K697:$K1200,0)))),IF(AND($Y696="change",$H696="EUR"),IF($O696=$O697,$R697,IF($O696=$O695,$R695)),IFERROR(INDEX($R697:$R1200,MATCH(SUBSTITUTE($I696,"-","",1),$K697:$K1200,0)))))</f>
        <v/>
      </c>
      <c r="S696" s="37" t="str">
        <f t="shared" si="1"/>
        <v/>
      </c>
      <c r="T696" s="39" t="str">
        <f t="shared" si="2"/>
        <v/>
      </c>
      <c r="U696" s="40" t="str">
        <f t="shared" si="3"/>
        <v/>
      </c>
      <c r="V696" s="34" t="str">
        <f t="shared" si="4"/>
        <v/>
      </c>
      <c r="W696" s="41" t="str">
        <f>IFERROR(__xludf.DUMMYFUNCTION(" IF(Account!$F696&lt;&gt;"""", SPLIT(Account!$F696, "" ""), """")"),"")</f>
        <v/>
      </c>
      <c r="X696" s="42"/>
      <c r="Y696" s="42"/>
      <c r="Z696" s="42"/>
      <c r="AA696" s="42"/>
      <c r="AB696" s="42"/>
      <c r="AC696" s="42"/>
      <c r="AD696" s="42"/>
      <c r="AE696" s="42"/>
      <c r="AF696" s="42"/>
      <c r="AG696" s="42"/>
      <c r="AH696" s="42"/>
      <c r="AI696" s="42"/>
      <c r="AJ696" s="42"/>
      <c r="AK696" s="42"/>
    </row>
    <row r="697">
      <c r="A697" s="20"/>
      <c r="B697" s="20"/>
      <c r="C697" s="20"/>
      <c r="D697" s="45"/>
      <c r="E697" s="45"/>
      <c r="F697" s="21"/>
      <c r="G697" s="45"/>
      <c r="H697" s="20"/>
      <c r="I697" s="20"/>
      <c r="J697" s="20"/>
      <c r="K697" s="20"/>
      <c r="L697" s="46"/>
      <c r="M697" s="33" t="str">
        <f>IFERROR(__xludf.DUMMYFUNCTION("IFS(W697=""Achat"",IFERROR(VALUE(X697),VALUE(REGEXREPLACE(T(X697),""[^0-9]"",""""))),W697=""Vente"",-IFERROR(VALUE(X697),VALUE(REGEXREPLACE(T(X697),""[^0-9]"",""""))),Y697=""Change"",0,Y697&lt;&gt;""Change"","""")"),"")</f>
        <v/>
      </c>
      <c r="N697" s="34" t="str">
        <f>IFERROR(__xludf.DUMMYFUNCTION("IF(Account!$F697&lt;&gt;"""", VALUE(REGEXREPLACE($I697, ""\,"", ""."")), """")"),"")</f>
        <v/>
      </c>
      <c r="O697" s="35" t="str">
        <f>IF(Account!$F697&lt;&gt;"", DATEVALUE(MID($A697,4,3) &amp; LEFT($A697,3) &amp; RIGHT($A697,4)) + TIMEVALUE($B697), "")</f>
        <v/>
      </c>
      <c r="P697" s="36" t="str">
        <f>IF(Account!$F697&lt;&gt;"", DATEVALUE(MID($C697,4,3) &amp; LEFT($C697,3) &amp; RIGHT($C697,4)), "")</f>
        <v/>
      </c>
      <c r="Q697" s="37" t="str">
        <f t="array" ref="Q697">IF($R697&lt;&gt;"",IFERROR(INDEX(ISIN!$B:$B,MATCH($R697,ISIN!$C:$C,0))),)</f>
        <v/>
      </c>
      <c r="R697" s="38" t="str">
        <f t="array" ref="R697">IF($E697&lt;&gt;"",IFERROR(INDEX(ISIN!$C:$C,MATCH($E697,ISIN!$A:$A,0)),IFERROR(INDEX($R698:$R1200,MATCH($K697,$K698:$K1200,0)))),IF(AND($Y697="change",$H697="EUR"),IF($O697=$O698,$R698,IF($O697=$O696,$R696)),IFERROR(INDEX($R698:$R1200,MATCH(SUBSTITUTE($I697,"-","",1),$K698:$K1200,0)))))</f>
        <v/>
      </c>
      <c r="S697" s="37" t="str">
        <f t="shared" si="1"/>
        <v/>
      </c>
      <c r="T697" s="39" t="str">
        <f t="shared" si="2"/>
        <v/>
      </c>
      <c r="U697" s="40" t="str">
        <f t="shared" si="3"/>
        <v/>
      </c>
      <c r="V697" s="34" t="str">
        <f t="shared" si="4"/>
        <v/>
      </c>
      <c r="W697" s="41" t="str">
        <f>IFERROR(__xludf.DUMMYFUNCTION(" IF(Account!$F697&lt;&gt;"""", SPLIT(Account!$F697, "" ""), """")"),"")</f>
        <v/>
      </c>
      <c r="X697" s="42"/>
      <c r="Y697" s="42"/>
      <c r="Z697" s="42"/>
      <c r="AA697" s="42"/>
      <c r="AB697" s="42"/>
      <c r="AC697" s="42"/>
      <c r="AD697" s="42"/>
      <c r="AE697" s="42"/>
      <c r="AF697" s="42"/>
      <c r="AG697" s="42"/>
      <c r="AH697" s="42"/>
      <c r="AI697" s="42"/>
      <c r="AJ697" s="42"/>
      <c r="AK697" s="42"/>
    </row>
    <row r="698">
      <c r="A698" s="20"/>
      <c r="B698" s="20"/>
      <c r="C698" s="20"/>
      <c r="D698" s="45"/>
      <c r="E698" s="45"/>
      <c r="F698" s="21"/>
      <c r="G698" s="20"/>
      <c r="H698" s="20"/>
      <c r="I698" s="20"/>
      <c r="J698" s="20"/>
      <c r="K698" s="20"/>
      <c r="L698" s="46"/>
      <c r="M698" s="33" t="str">
        <f>IFERROR(__xludf.DUMMYFUNCTION("IFS(W698=""Achat"",IFERROR(VALUE(X698),VALUE(REGEXREPLACE(T(X698),""[^0-9]"",""""))),W698=""Vente"",-IFERROR(VALUE(X698),VALUE(REGEXREPLACE(T(X698),""[^0-9]"",""""))),Y698=""Change"",0,Y698&lt;&gt;""Change"","""")"),"")</f>
        <v/>
      </c>
      <c r="N698" s="34" t="str">
        <f>IFERROR(__xludf.DUMMYFUNCTION("IF(Account!$F698&lt;&gt;"""", VALUE(REGEXREPLACE($I698, ""\,"", ""."")), """")"),"")</f>
        <v/>
      </c>
      <c r="O698" s="35" t="str">
        <f>IF(Account!$F698&lt;&gt;"", DATEVALUE(MID($A698,4,3) &amp; LEFT($A698,3) &amp; RIGHT($A698,4)) + TIMEVALUE($B698), "")</f>
        <v/>
      </c>
      <c r="P698" s="36" t="str">
        <f>IF(Account!$F698&lt;&gt;"", DATEVALUE(MID($C698,4,3) &amp; LEFT($C698,3) &amp; RIGHT($C698,4)), "")</f>
        <v/>
      </c>
      <c r="Q698" s="37" t="str">
        <f t="array" ref="Q698">IF($R698&lt;&gt;"",IFERROR(INDEX(ISIN!$B:$B,MATCH($R698,ISIN!$C:$C,0))),)</f>
        <v/>
      </c>
      <c r="R698" s="38" t="str">
        <f t="array" ref="R698">IF($E698&lt;&gt;"",IFERROR(INDEX(ISIN!$C:$C,MATCH($E698,ISIN!$A:$A,0)),IFERROR(INDEX($R699:$R1200,MATCH($K698,$K699:$K1200,0)))),IF(AND($Y698="change",$H698="EUR"),IF($O698=$O699,$R699,IF($O698=$O697,$R697)),IFERROR(INDEX($R699:$R1200,MATCH(SUBSTITUTE($I698,"-","",1),$K699:$K1200,0)))))</f>
        <v/>
      </c>
      <c r="S698" s="37" t="str">
        <f t="shared" si="1"/>
        <v/>
      </c>
      <c r="T698" s="39" t="str">
        <f t="shared" si="2"/>
        <v/>
      </c>
      <c r="U698" s="40" t="str">
        <f t="shared" si="3"/>
        <v/>
      </c>
      <c r="V698" s="34" t="str">
        <f t="shared" si="4"/>
        <v/>
      </c>
      <c r="W698" s="41" t="str">
        <f>IFERROR(__xludf.DUMMYFUNCTION(" IF(Account!$F698&lt;&gt;"""", SPLIT(Account!$F698, "" ""), """")"),"")</f>
        <v/>
      </c>
      <c r="X698" s="42"/>
      <c r="Y698" s="42"/>
      <c r="Z698" s="42"/>
      <c r="AA698" s="42"/>
      <c r="AB698" s="42"/>
      <c r="AC698" s="42"/>
      <c r="AD698" s="42"/>
      <c r="AE698" s="42"/>
      <c r="AF698" s="42"/>
      <c r="AG698" s="42"/>
      <c r="AH698" s="42"/>
      <c r="AI698" s="42"/>
      <c r="AJ698" s="42"/>
      <c r="AK698" s="42"/>
    </row>
    <row r="699">
      <c r="A699" s="20"/>
      <c r="B699" s="20"/>
      <c r="C699" s="20"/>
      <c r="D699" s="20"/>
      <c r="E699" s="20"/>
      <c r="F699" s="21"/>
      <c r="G699" s="45"/>
      <c r="H699" s="20"/>
      <c r="I699" s="20"/>
      <c r="J699" s="20"/>
      <c r="K699" s="20"/>
      <c r="L699" s="46"/>
      <c r="M699" s="33" t="str">
        <f>IFERROR(__xludf.DUMMYFUNCTION("IFS(W699=""Achat"",IFERROR(VALUE(X699),VALUE(REGEXREPLACE(T(X699),""[^0-9]"",""""))),W699=""Vente"",-IFERROR(VALUE(X699),VALUE(REGEXREPLACE(T(X699),""[^0-9]"",""""))),Y699=""Change"",0,Y699&lt;&gt;""Change"","""")"),"")</f>
        <v/>
      </c>
      <c r="N699" s="34" t="str">
        <f>IFERROR(__xludf.DUMMYFUNCTION("IF(Account!$F699&lt;&gt;"""", VALUE(REGEXREPLACE($I699, ""\,"", ""."")), """")"),"")</f>
        <v/>
      </c>
      <c r="O699" s="35" t="str">
        <f>IF(Account!$F699&lt;&gt;"", DATEVALUE(MID($A699,4,3) &amp; LEFT($A699,3) &amp; RIGHT($A699,4)) + TIMEVALUE($B699), "")</f>
        <v/>
      </c>
      <c r="P699" s="36" t="str">
        <f>IF(Account!$F699&lt;&gt;"", DATEVALUE(MID($C699,4,3) &amp; LEFT($C699,3) &amp; RIGHT($C699,4)), "")</f>
        <v/>
      </c>
      <c r="Q699" s="37" t="str">
        <f t="array" ref="Q699">IF($R699&lt;&gt;"",IFERROR(INDEX(ISIN!$B:$B,MATCH($R699,ISIN!$C:$C,0))),)</f>
        <v/>
      </c>
      <c r="R699" s="38" t="str">
        <f t="array" ref="R699">IF($E699&lt;&gt;"",IFERROR(INDEX(ISIN!$C:$C,MATCH($E699,ISIN!$A:$A,0)),IFERROR(INDEX($R700:$R1200,MATCH($K699,$K700:$K1200,0)))),IF(AND($Y699="change",$H699="EUR"),IF($O699=$O700,$R700,IF($O699=$O698,$R698)),IFERROR(INDEX($R700:$R1200,MATCH(SUBSTITUTE($I699,"-","",1),$K700:$K1200,0)))))</f>
        <v/>
      </c>
      <c r="S699" s="37" t="str">
        <f t="shared" si="1"/>
        <v/>
      </c>
      <c r="T699" s="39" t="str">
        <f t="shared" si="2"/>
        <v/>
      </c>
      <c r="U699" s="40" t="str">
        <f t="shared" si="3"/>
        <v/>
      </c>
      <c r="V699" s="34" t="str">
        <f t="shared" si="4"/>
        <v/>
      </c>
      <c r="W699" s="41" t="str">
        <f>IFERROR(__xludf.DUMMYFUNCTION(" IF(Account!$F699&lt;&gt;"""", SPLIT(Account!$F699, "" ""), """")"),"")</f>
        <v/>
      </c>
      <c r="X699" s="42"/>
      <c r="Y699" s="42"/>
      <c r="Z699" s="42"/>
      <c r="AA699" s="42"/>
      <c r="AB699" s="42"/>
      <c r="AC699" s="42"/>
      <c r="AD699" s="42"/>
      <c r="AE699" s="42"/>
      <c r="AF699" s="42"/>
      <c r="AG699" s="42"/>
      <c r="AH699" s="42"/>
      <c r="AI699" s="42"/>
      <c r="AJ699" s="42"/>
      <c r="AK699" s="42"/>
    </row>
    <row r="700">
      <c r="A700" s="20"/>
      <c r="B700" s="20"/>
      <c r="C700" s="20"/>
      <c r="D700" s="20"/>
      <c r="E700" s="20"/>
      <c r="F700" s="21"/>
      <c r="G700" s="45"/>
      <c r="H700" s="45"/>
      <c r="I700" s="45"/>
      <c r="J700" s="20"/>
      <c r="K700" s="20"/>
      <c r="L700" s="46"/>
      <c r="M700" s="33" t="str">
        <f>IFERROR(__xludf.DUMMYFUNCTION("IFS(W700=""Achat"",IFERROR(VALUE(X700),VALUE(REGEXREPLACE(T(X700),""[^0-9]"",""""))),W700=""Vente"",-IFERROR(VALUE(X700),VALUE(REGEXREPLACE(T(X700),""[^0-9]"",""""))),Y700=""Change"",0,Y700&lt;&gt;""Change"","""")"),"")</f>
        <v/>
      </c>
      <c r="N700" s="34" t="str">
        <f>IFERROR(__xludf.DUMMYFUNCTION("IF(Account!$F700&lt;&gt;"""", VALUE(REGEXREPLACE($I700, ""\,"", ""."")), """")"),"")</f>
        <v/>
      </c>
      <c r="O700" s="35" t="str">
        <f>IF(Account!$F700&lt;&gt;"", DATEVALUE(MID($A700,4,3) &amp; LEFT($A700,3) &amp; RIGHT($A700,4)) + TIMEVALUE($B700), "")</f>
        <v/>
      </c>
      <c r="P700" s="36" t="str">
        <f>IF(Account!$F700&lt;&gt;"", DATEVALUE(MID($C700,4,3) &amp; LEFT($C700,3) &amp; RIGHT($C700,4)), "")</f>
        <v/>
      </c>
      <c r="Q700" s="37" t="str">
        <f t="array" ref="Q700">IF($R700&lt;&gt;"",IFERROR(INDEX(ISIN!$B:$B,MATCH($R700,ISIN!$C:$C,0))),)</f>
        <v/>
      </c>
      <c r="R700" s="38" t="str">
        <f t="array" ref="R700">IF($E700&lt;&gt;"",IFERROR(INDEX(ISIN!$C:$C,MATCH($E700,ISIN!$A:$A,0)),IFERROR(INDEX($R701:$R1200,MATCH($K700,$K701:$K1200,0)))),IF(AND($Y700="change",$H700="EUR"),IF($O700=$O701,$R701,IF($O700=$O699,$R699)),IFERROR(INDEX($R701:$R1200,MATCH(SUBSTITUTE($I700,"-","",1),$K701:$K1200,0)))))</f>
        <v/>
      </c>
      <c r="S700" s="37" t="str">
        <f t="shared" si="1"/>
        <v/>
      </c>
      <c r="T700" s="39" t="str">
        <f t="shared" si="2"/>
        <v/>
      </c>
      <c r="U700" s="40" t="str">
        <f t="shared" si="3"/>
        <v/>
      </c>
      <c r="V700" s="34" t="str">
        <f t="shared" si="4"/>
        <v/>
      </c>
      <c r="W700" s="41" t="str">
        <f>IFERROR(__xludf.DUMMYFUNCTION(" IF(Account!$F700&lt;&gt;"""", SPLIT(Account!$F700, "" ""), """")"),"")</f>
        <v/>
      </c>
      <c r="X700" s="42"/>
      <c r="Y700" s="42"/>
      <c r="Z700" s="42"/>
      <c r="AA700" s="42"/>
      <c r="AB700" s="42"/>
      <c r="AC700" s="42"/>
      <c r="AD700" s="42"/>
      <c r="AE700" s="42"/>
      <c r="AF700" s="42"/>
      <c r="AG700" s="42"/>
      <c r="AH700" s="42"/>
      <c r="AI700" s="42"/>
      <c r="AJ700" s="42"/>
      <c r="AK700" s="42"/>
    </row>
    <row r="701">
      <c r="A701" s="20"/>
      <c r="B701" s="20"/>
      <c r="C701" s="20"/>
      <c r="D701" s="45"/>
      <c r="E701" s="45"/>
      <c r="F701" s="21"/>
      <c r="G701" s="45"/>
      <c r="H701" s="20"/>
      <c r="I701" s="20"/>
      <c r="J701" s="20"/>
      <c r="K701" s="20"/>
      <c r="L701" s="46"/>
      <c r="M701" s="33" t="str">
        <f>IFERROR(__xludf.DUMMYFUNCTION("IFS(W701=""Achat"",IFERROR(VALUE(X701),VALUE(REGEXREPLACE(T(X701),""[^0-9]"",""""))),W701=""Vente"",-IFERROR(VALUE(X701),VALUE(REGEXREPLACE(T(X701),""[^0-9]"",""""))),Y701=""Change"",0,Y701&lt;&gt;""Change"","""")"),"")</f>
        <v/>
      </c>
      <c r="N701" s="34" t="str">
        <f>IFERROR(__xludf.DUMMYFUNCTION("IF(Account!$F701&lt;&gt;"""", VALUE(REGEXREPLACE($I701, ""\,"", ""."")), """")"),"")</f>
        <v/>
      </c>
      <c r="O701" s="35" t="str">
        <f>IF(Account!$F701&lt;&gt;"", DATEVALUE(MID($A701,4,3) &amp; LEFT($A701,3) &amp; RIGHT($A701,4)) + TIMEVALUE($B701), "")</f>
        <v/>
      </c>
      <c r="P701" s="36" t="str">
        <f>IF(Account!$F701&lt;&gt;"", DATEVALUE(MID($C701,4,3) &amp; LEFT($C701,3) &amp; RIGHT($C701,4)), "")</f>
        <v/>
      </c>
      <c r="Q701" s="37" t="str">
        <f t="array" ref="Q701">IF($R701&lt;&gt;"",IFERROR(INDEX(ISIN!$B:$B,MATCH($R701,ISIN!$C:$C,0))),)</f>
        <v/>
      </c>
      <c r="R701" s="38" t="str">
        <f t="array" ref="R701">IF($E701&lt;&gt;"",IFERROR(INDEX(ISIN!$C:$C,MATCH($E701,ISIN!$A:$A,0)),IFERROR(INDEX($R702:$R1200,MATCH($K701,$K702:$K1200,0)))),IF(AND($Y701="change",$H701="EUR"),IF($O701=$O702,$R702,IF($O701=$O700,$R700)),IFERROR(INDEX($R702:$R1200,MATCH(SUBSTITUTE($I701,"-","",1),$K702:$K1200,0)))))</f>
        <v/>
      </c>
      <c r="S701" s="37" t="str">
        <f t="shared" si="1"/>
        <v/>
      </c>
      <c r="T701" s="39" t="str">
        <f t="shared" si="2"/>
        <v/>
      </c>
      <c r="U701" s="40" t="str">
        <f t="shared" si="3"/>
        <v/>
      </c>
      <c r="V701" s="34" t="str">
        <f t="shared" si="4"/>
        <v/>
      </c>
      <c r="W701" s="41" t="str">
        <f>IFERROR(__xludf.DUMMYFUNCTION(" IF(Account!$F701&lt;&gt;"""", SPLIT(Account!$F701, "" ""), """")"),"")</f>
        <v/>
      </c>
      <c r="X701" s="42"/>
      <c r="Y701" s="42"/>
      <c r="Z701" s="42"/>
      <c r="AA701" s="42"/>
      <c r="AB701" s="42"/>
      <c r="AC701" s="42"/>
      <c r="AD701" s="42"/>
      <c r="AE701" s="42"/>
      <c r="AF701" s="42"/>
      <c r="AG701" s="42"/>
      <c r="AH701" s="42"/>
      <c r="AI701" s="42"/>
      <c r="AJ701" s="42"/>
      <c r="AK701" s="42"/>
    </row>
    <row r="702">
      <c r="A702" s="20"/>
      <c r="B702" s="20"/>
      <c r="C702" s="20"/>
      <c r="D702" s="45"/>
      <c r="E702" s="45"/>
      <c r="F702" s="21"/>
      <c r="G702" s="20"/>
      <c r="H702" s="20"/>
      <c r="I702" s="20"/>
      <c r="J702" s="20"/>
      <c r="K702" s="20"/>
      <c r="L702" s="46"/>
      <c r="M702" s="33" t="str">
        <f>IFERROR(__xludf.DUMMYFUNCTION("IFS(W702=""Achat"",IFERROR(VALUE(X702),VALUE(REGEXREPLACE(T(X702),""[^0-9]"",""""))),W702=""Vente"",-IFERROR(VALUE(X702),VALUE(REGEXREPLACE(T(X702),""[^0-9]"",""""))),Y702=""Change"",0,Y702&lt;&gt;""Change"","""")"),"")</f>
        <v/>
      </c>
      <c r="N702" s="34" t="str">
        <f>IFERROR(__xludf.DUMMYFUNCTION("IF(Account!$F702&lt;&gt;"""", VALUE(REGEXREPLACE($I702, ""\,"", ""."")), """")"),"")</f>
        <v/>
      </c>
      <c r="O702" s="35" t="str">
        <f>IF(Account!$F702&lt;&gt;"", DATEVALUE(MID($A702,4,3) &amp; LEFT($A702,3) &amp; RIGHT($A702,4)) + TIMEVALUE($B702), "")</f>
        <v/>
      </c>
      <c r="P702" s="36" t="str">
        <f>IF(Account!$F702&lt;&gt;"", DATEVALUE(MID($C702,4,3) &amp; LEFT($C702,3) &amp; RIGHT($C702,4)), "")</f>
        <v/>
      </c>
      <c r="Q702" s="37" t="str">
        <f t="array" ref="Q702">IF($R702&lt;&gt;"",IFERROR(INDEX(ISIN!$B:$B,MATCH($R702,ISIN!$C:$C,0))),)</f>
        <v/>
      </c>
      <c r="R702" s="38" t="str">
        <f t="array" ref="R702">IF($E702&lt;&gt;"",IFERROR(INDEX(ISIN!$C:$C,MATCH($E702,ISIN!$A:$A,0)),IFERROR(INDEX($R703:$R1200,MATCH($K702,$K703:$K1200,0)))),IF(AND($Y702="change",$H702="EUR"),IF($O702=$O703,$R703,IF($O702=$O701,$R701)),IFERROR(INDEX($R703:$R1200,MATCH(SUBSTITUTE($I702,"-","",1),$K703:$K1200,0)))))</f>
        <v/>
      </c>
      <c r="S702" s="37" t="str">
        <f t="shared" si="1"/>
        <v/>
      </c>
      <c r="T702" s="39" t="str">
        <f t="shared" si="2"/>
        <v/>
      </c>
      <c r="U702" s="40" t="str">
        <f t="shared" si="3"/>
        <v/>
      </c>
      <c r="V702" s="34" t="str">
        <f t="shared" si="4"/>
        <v/>
      </c>
      <c r="W702" s="41" t="str">
        <f>IFERROR(__xludf.DUMMYFUNCTION(" IF(Account!$F702&lt;&gt;"""", SPLIT(Account!$F702, "" ""), """")"),"")</f>
        <v/>
      </c>
      <c r="X702" s="42"/>
      <c r="Y702" s="42"/>
      <c r="Z702" s="42"/>
      <c r="AA702" s="42"/>
      <c r="AB702" s="42"/>
      <c r="AC702" s="42"/>
      <c r="AD702" s="42"/>
      <c r="AE702" s="42"/>
      <c r="AF702" s="42"/>
      <c r="AG702" s="42"/>
      <c r="AH702" s="42"/>
      <c r="AI702" s="42"/>
      <c r="AJ702" s="42"/>
      <c r="AK702" s="42"/>
    </row>
    <row r="703">
      <c r="A703" s="20"/>
      <c r="B703" s="20"/>
      <c r="C703" s="20"/>
      <c r="D703" s="20"/>
      <c r="E703" s="20"/>
      <c r="F703" s="21"/>
      <c r="G703" s="45"/>
      <c r="H703" s="45"/>
      <c r="I703" s="45"/>
      <c r="J703" s="20"/>
      <c r="K703" s="20"/>
      <c r="L703" s="46"/>
      <c r="M703" s="33" t="str">
        <f>IFERROR(__xludf.DUMMYFUNCTION("IFS(W703=""Achat"",IFERROR(VALUE(X703),VALUE(REGEXREPLACE(T(X703),""[^0-9]"",""""))),W703=""Vente"",-IFERROR(VALUE(X703),VALUE(REGEXREPLACE(T(X703),""[^0-9]"",""""))),Y703=""Change"",0,Y703&lt;&gt;""Change"","""")"),"")</f>
        <v/>
      </c>
      <c r="N703" s="34" t="str">
        <f>IFERROR(__xludf.DUMMYFUNCTION("IF(Account!$F703&lt;&gt;"""", VALUE(REGEXREPLACE($I703, ""\,"", ""."")), """")"),"")</f>
        <v/>
      </c>
      <c r="O703" s="35" t="str">
        <f>IF(Account!$F703&lt;&gt;"", DATEVALUE(MID($A703,4,3) &amp; LEFT($A703,3) &amp; RIGHT($A703,4)) + TIMEVALUE($B703), "")</f>
        <v/>
      </c>
      <c r="P703" s="36" t="str">
        <f>IF(Account!$F703&lt;&gt;"", DATEVALUE(MID($C703,4,3) &amp; LEFT($C703,3) &amp; RIGHT($C703,4)), "")</f>
        <v/>
      </c>
      <c r="Q703" s="37" t="str">
        <f t="array" ref="Q703">IF($R703&lt;&gt;"",IFERROR(INDEX(ISIN!$B:$B,MATCH($R703,ISIN!$C:$C,0))),)</f>
        <v/>
      </c>
      <c r="R703" s="38" t="str">
        <f t="array" ref="R703">IF($E703&lt;&gt;"",IFERROR(INDEX(ISIN!$C:$C,MATCH($E703,ISIN!$A:$A,0)),IFERROR(INDEX($R704:$R1200,MATCH($K703,$K704:$K1200,0)))),IF(AND($Y703="change",$H703="EUR"),IF($O703=$O704,$R704,IF($O703=$O702,$R702)),IFERROR(INDEX($R704:$R1200,MATCH(SUBSTITUTE($I703,"-","",1),$K704:$K1200,0)))))</f>
        <v/>
      </c>
      <c r="S703" s="37" t="str">
        <f t="shared" si="1"/>
        <v/>
      </c>
      <c r="T703" s="39" t="str">
        <f t="shared" si="2"/>
        <v/>
      </c>
      <c r="U703" s="40" t="str">
        <f t="shared" si="3"/>
        <v/>
      </c>
      <c r="V703" s="34" t="str">
        <f t="shared" si="4"/>
        <v/>
      </c>
      <c r="W703" s="41" t="str">
        <f>IFERROR(__xludf.DUMMYFUNCTION(" IF(Account!$F703&lt;&gt;"""", SPLIT(Account!$F703, "" ""), """")"),"")</f>
        <v/>
      </c>
      <c r="X703" s="42"/>
      <c r="Y703" s="42"/>
      <c r="Z703" s="42"/>
      <c r="AA703" s="42"/>
      <c r="AB703" s="42"/>
      <c r="AC703" s="42"/>
      <c r="AD703" s="42"/>
      <c r="AE703" s="42"/>
      <c r="AF703" s="42"/>
      <c r="AG703" s="42"/>
      <c r="AH703" s="42"/>
      <c r="AI703" s="42"/>
      <c r="AJ703" s="42"/>
      <c r="AK703" s="42"/>
    </row>
    <row r="704">
      <c r="A704" s="20"/>
      <c r="B704" s="20"/>
      <c r="C704" s="20"/>
      <c r="D704" s="20"/>
      <c r="E704" s="20"/>
      <c r="F704" s="21"/>
      <c r="G704" s="45"/>
      <c r="H704" s="20"/>
      <c r="I704" s="20"/>
      <c r="J704" s="20"/>
      <c r="K704" s="20"/>
      <c r="L704" s="46"/>
      <c r="M704" s="33" t="str">
        <f>IFERROR(__xludf.DUMMYFUNCTION("IFS(W704=""Achat"",IFERROR(VALUE(X704),VALUE(REGEXREPLACE(T(X704),""[^0-9]"",""""))),W704=""Vente"",-IFERROR(VALUE(X704),VALUE(REGEXREPLACE(T(X704),""[^0-9]"",""""))),Y704=""Change"",0,Y704&lt;&gt;""Change"","""")"),"")</f>
        <v/>
      </c>
      <c r="N704" s="34" t="str">
        <f>IFERROR(__xludf.DUMMYFUNCTION("IF(Account!$F704&lt;&gt;"""", VALUE(REGEXREPLACE($I704, ""\,"", ""."")), """")"),"")</f>
        <v/>
      </c>
      <c r="O704" s="35" t="str">
        <f>IF(Account!$F704&lt;&gt;"", DATEVALUE(MID($A704,4,3) &amp; LEFT($A704,3) &amp; RIGHT($A704,4)) + TIMEVALUE($B704), "")</f>
        <v/>
      </c>
      <c r="P704" s="36" t="str">
        <f>IF(Account!$F704&lt;&gt;"", DATEVALUE(MID($C704,4,3) &amp; LEFT($C704,3) &amp; RIGHT($C704,4)), "")</f>
        <v/>
      </c>
      <c r="Q704" s="37" t="str">
        <f t="array" ref="Q704">IF($R704&lt;&gt;"",IFERROR(INDEX(ISIN!$B:$B,MATCH($R704,ISIN!$C:$C,0))),)</f>
        <v/>
      </c>
      <c r="R704" s="38" t="str">
        <f t="array" ref="R704">IF($E704&lt;&gt;"",IFERROR(INDEX(ISIN!$C:$C,MATCH($E704,ISIN!$A:$A,0)),IFERROR(INDEX($R705:$R1200,MATCH($K704,$K705:$K1200,0)))),IF(AND($Y704="change",$H704="EUR"),IF($O704=$O705,$R705,IF($O704=$O703,$R703)),IFERROR(INDEX($R705:$R1200,MATCH(SUBSTITUTE($I704,"-","",1),$K705:$K1200,0)))))</f>
        <v/>
      </c>
      <c r="S704" s="37" t="str">
        <f t="shared" si="1"/>
        <v/>
      </c>
      <c r="T704" s="39" t="str">
        <f t="shared" si="2"/>
        <v/>
      </c>
      <c r="U704" s="40" t="str">
        <f t="shared" si="3"/>
        <v/>
      </c>
      <c r="V704" s="34" t="str">
        <f t="shared" si="4"/>
        <v/>
      </c>
      <c r="W704" s="41" t="str">
        <f>IFERROR(__xludf.DUMMYFUNCTION(" IF(Account!$F704&lt;&gt;"""", SPLIT(Account!$F704, "" ""), """")"),"")</f>
        <v/>
      </c>
      <c r="X704" s="42"/>
      <c r="Y704" s="42"/>
      <c r="Z704" s="42"/>
      <c r="AA704" s="42"/>
      <c r="AB704" s="42"/>
      <c r="AC704" s="42"/>
      <c r="AD704" s="42"/>
      <c r="AE704" s="42"/>
      <c r="AF704" s="42"/>
      <c r="AG704" s="42"/>
      <c r="AH704" s="42"/>
      <c r="AI704" s="42"/>
      <c r="AJ704" s="42"/>
      <c r="AK704" s="42"/>
    </row>
    <row r="705">
      <c r="A705" s="20"/>
      <c r="B705" s="20"/>
      <c r="C705" s="20"/>
      <c r="D705" s="20"/>
      <c r="E705" s="20"/>
      <c r="F705" s="21"/>
      <c r="G705" s="45"/>
      <c r="H705" s="20"/>
      <c r="I705" s="20"/>
      <c r="J705" s="20"/>
      <c r="K705" s="20"/>
      <c r="L705" s="46"/>
      <c r="M705" s="33" t="str">
        <f>IFERROR(__xludf.DUMMYFUNCTION("IFS(W705=""Achat"",IFERROR(VALUE(X705),VALUE(REGEXREPLACE(T(X705),""[^0-9]"",""""))),W705=""Vente"",-IFERROR(VALUE(X705),VALUE(REGEXREPLACE(T(X705),""[^0-9]"",""""))),Y705=""Change"",0,Y705&lt;&gt;""Change"","""")"),"")</f>
        <v/>
      </c>
      <c r="N705" s="34" t="str">
        <f>IFERROR(__xludf.DUMMYFUNCTION("IF(Account!$F705&lt;&gt;"""", VALUE(REGEXREPLACE($I705, ""\,"", ""."")), """")"),"")</f>
        <v/>
      </c>
      <c r="O705" s="35" t="str">
        <f>IF(Account!$F705&lt;&gt;"", DATEVALUE(MID($A705,4,3) &amp; LEFT($A705,3) &amp; RIGHT($A705,4)) + TIMEVALUE($B705), "")</f>
        <v/>
      </c>
      <c r="P705" s="36" t="str">
        <f>IF(Account!$F705&lt;&gt;"", DATEVALUE(MID($C705,4,3) &amp; LEFT($C705,3) &amp; RIGHT($C705,4)), "")</f>
        <v/>
      </c>
      <c r="Q705" s="37" t="str">
        <f t="array" ref="Q705">IF($R705&lt;&gt;"",IFERROR(INDEX(ISIN!$B:$B,MATCH($R705,ISIN!$C:$C,0))),)</f>
        <v/>
      </c>
      <c r="R705" s="38" t="str">
        <f t="array" ref="R705">IF($E705&lt;&gt;"",IFERROR(INDEX(ISIN!$C:$C,MATCH($E705,ISIN!$A:$A,0)),IFERROR(INDEX($R706:$R1200,MATCH($K705,$K706:$K1200,0)))),IF(AND($Y705="change",$H705="EUR"),IF($O705=$O706,$R706,IF($O705=$O704,$R704)),IFERROR(INDEX($R706:$R1200,MATCH(SUBSTITUTE($I705,"-","",1),$K706:$K1200,0)))))</f>
        <v/>
      </c>
      <c r="S705" s="37" t="str">
        <f t="shared" si="1"/>
        <v/>
      </c>
      <c r="T705" s="39" t="str">
        <f t="shared" si="2"/>
        <v/>
      </c>
      <c r="U705" s="40" t="str">
        <f t="shared" si="3"/>
        <v/>
      </c>
      <c r="V705" s="34" t="str">
        <f t="shared" si="4"/>
        <v/>
      </c>
      <c r="W705" s="41" t="str">
        <f>IFERROR(__xludf.DUMMYFUNCTION(" IF(Account!$F705&lt;&gt;"""", SPLIT(Account!$F705, "" ""), """")"),"")</f>
        <v/>
      </c>
      <c r="X705" s="42"/>
      <c r="Y705" s="42"/>
      <c r="Z705" s="42"/>
      <c r="AA705" s="42"/>
      <c r="AB705" s="42"/>
      <c r="AC705" s="42"/>
      <c r="AD705" s="42"/>
      <c r="AE705" s="42"/>
      <c r="AF705" s="42"/>
      <c r="AG705" s="42"/>
      <c r="AH705" s="42"/>
      <c r="AI705" s="42"/>
      <c r="AJ705" s="42"/>
      <c r="AK705" s="42"/>
    </row>
    <row r="706">
      <c r="A706" s="20"/>
      <c r="B706" s="20"/>
      <c r="C706" s="20"/>
      <c r="D706" s="20"/>
      <c r="E706" s="20"/>
      <c r="F706" s="21"/>
      <c r="G706" s="45"/>
      <c r="H706" s="45"/>
      <c r="I706" s="45"/>
      <c r="J706" s="20"/>
      <c r="K706" s="20"/>
      <c r="L706" s="46"/>
      <c r="M706" s="33" t="str">
        <f>IFERROR(__xludf.DUMMYFUNCTION("IFS(W706=""Achat"",IFERROR(VALUE(X706),VALUE(REGEXREPLACE(T(X706),""[^0-9]"",""""))),W706=""Vente"",-IFERROR(VALUE(X706),VALUE(REGEXREPLACE(T(X706),""[^0-9]"",""""))),Y706=""Change"",0,Y706&lt;&gt;""Change"","""")"),"")</f>
        <v/>
      </c>
      <c r="N706" s="34" t="str">
        <f>IFERROR(__xludf.DUMMYFUNCTION("IF(Account!$F706&lt;&gt;"""", VALUE(REGEXREPLACE($I706, ""\,"", ""."")), """")"),"")</f>
        <v/>
      </c>
      <c r="O706" s="35" t="str">
        <f>IF(Account!$F706&lt;&gt;"", DATEVALUE(MID($A706,4,3) &amp; LEFT($A706,3) &amp; RIGHT($A706,4)) + TIMEVALUE($B706), "")</f>
        <v/>
      </c>
      <c r="P706" s="36" t="str">
        <f>IF(Account!$F706&lt;&gt;"", DATEVALUE(MID($C706,4,3) &amp; LEFT($C706,3) &amp; RIGHT($C706,4)), "")</f>
        <v/>
      </c>
      <c r="Q706" s="37" t="str">
        <f t="array" ref="Q706">IF($R706&lt;&gt;"",IFERROR(INDEX(ISIN!$B:$B,MATCH($R706,ISIN!$C:$C,0))),)</f>
        <v/>
      </c>
      <c r="R706" s="38" t="str">
        <f t="array" ref="R706">IF($E706&lt;&gt;"",IFERROR(INDEX(ISIN!$C:$C,MATCH($E706,ISIN!$A:$A,0)),IFERROR(INDEX($R707:$R1200,MATCH($K706,$K707:$K1200,0)))),IF(AND($Y706="change",$H706="EUR"),IF($O706=$O707,$R707,IF($O706=$O705,$R705)),IFERROR(INDEX($R707:$R1200,MATCH(SUBSTITUTE($I706,"-","",1),$K707:$K1200,0)))))</f>
        <v/>
      </c>
      <c r="S706" s="37" t="str">
        <f t="shared" si="1"/>
        <v/>
      </c>
      <c r="T706" s="39" t="str">
        <f t="shared" si="2"/>
        <v/>
      </c>
      <c r="U706" s="40" t="str">
        <f t="shared" si="3"/>
        <v/>
      </c>
      <c r="V706" s="34" t="str">
        <f t="shared" si="4"/>
        <v/>
      </c>
      <c r="W706" s="41" t="str">
        <f>IFERROR(__xludf.DUMMYFUNCTION(" IF(Account!$F706&lt;&gt;"""", SPLIT(Account!$F706, "" ""), """")"),"")</f>
        <v/>
      </c>
      <c r="X706" s="42"/>
      <c r="Y706" s="42"/>
      <c r="Z706" s="42"/>
      <c r="AA706" s="42"/>
      <c r="AB706" s="42"/>
      <c r="AC706" s="42"/>
      <c r="AD706" s="42"/>
      <c r="AE706" s="42"/>
      <c r="AF706" s="42"/>
      <c r="AG706" s="42"/>
      <c r="AH706" s="42"/>
      <c r="AI706" s="42"/>
      <c r="AJ706" s="42"/>
      <c r="AK706" s="42"/>
    </row>
    <row r="707">
      <c r="A707" s="20"/>
      <c r="B707" s="20"/>
      <c r="C707" s="20"/>
      <c r="D707" s="45"/>
      <c r="E707" s="45"/>
      <c r="F707" s="21"/>
      <c r="G707" s="45"/>
      <c r="H707" s="20"/>
      <c r="I707" s="20"/>
      <c r="J707" s="20"/>
      <c r="K707" s="20"/>
      <c r="L707" s="46"/>
      <c r="M707" s="33" t="str">
        <f>IFERROR(__xludf.DUMMYFUNCTION("IFS(W707=""Achat"",IFERROR(VALUE(X707),VALUE(REGEXREPLACE(T(X707),""[^0-9]"",""""))),W707=""Vente"",-IFERROR(VALUE(X707),VALUE(REGEXREPLACE(T(X707),""[^0-9]"",""""))),Y707=""Change"",0,Y707&lt;&gt;""Change"","""")"),"")</f>
        <v/>
      </c>
      <c r="N707" s="34" t="str">
        <f>IFERROR(__xludf.DUMMYFUNCTION("IF(Account!$F707&lt;&gt;"""", VALUE(REGEXREPLACE($I707, ""\,"", ""."")), """")"),"")</f>
        <v/>
      </c>
      <c r="O707" s="35" t="str">
        <f>IF(Account!$F707&lt;&gt;"", DATEVALUE(MID($A707,4,3) &amp; LEFT($A707,3) &amp; RIGHT($A707,4)) + TIMEVALUE($B707), "")</f>
        <v/>
      </c>
      <c r="P707" s="36" t="str">
        <f>IF(Account!$F707&lt;&gt;"", DATEVALUE(MID($C707,4,3) &amp; LEFT($C707,3) &amp; RIGHT($C707,4)), "")</f>
        <v/>
      </c>
      <c r="Q707" s="37" t="str">
        <f t="array" ref="Q707">IF($R707&lt;&gt;"",IFERROR(INDEX(ISIN!$B:$B,MATCH($R707,ISIN!$C:$C,0))),)</f>
        <v/>
      </c>
      <c r="R707" s="38" t="str">
        <f t="array" ref="R707">IF($E707&lt;&gt;"",IFERROR(INDEX(ISIN!$C:$C,MATCH($E707,ISIN!$A:$A,0)),IFERROR(INDEX($R708:$R1200,MATCH($K707,$K708:$K1200,0)))),IF(AND($Y707="change",$H707="EUR"),IF($O707=$O708,$R708,IF($O707=$O706,$R706)),IFERROR(INDEX($R708:$R1200,MATCH(SUBSTITUTE($I707,"-","",1),$K708:$K1200,0)))))</f>
        <v/>
      </c>
      <c r="S707" s="37" t="str">
        <f t="shared" si="1"/>
        <v/>
      </c>
      <c r="T707" s="39" t="str">
        <f t="shared" si="2"/>
        <v/>
      </c>
      <c r="U707" s="40" t="str">
        <f t="shared" si="3"/>
        <v/>
      </c>
      <c r="V707" s="34" t="str">
        <f t="shared" si="4"/>
        <v/>
      </c>
      <c r="W707" s="41" t="str">
        <f>IFERROR(__xludf.DUMMYFUNCTION(" IF(Account!$F707&lt;&gt;"""", SPLIT(Account!$F707, "" ""), """")"),"")</f>
        <v/>
      </c>
      <c r="X707" s="42"/>
      <c r="Y707" s="42"/>
      <c r="Z707" s="42"/>
      <c r="AA707" s="42"/>
      <c r="AB707" s="42"/>
      <c r="AC707" s="42"/>
      <c r="AD707" s="42"/>
      <c r="AE707" s="42"/>
      <c r="AF707" s="42"/>
      <c r="AG707" s="42"/>
      <c r="AH707" s="42"/>
      <c r="AI707" s="42"/>
      <c r="AJ707" s="42"/>
      <c r="AK707" s="42"/>
    </row>
    <row r="708">
      <c r="A708" s="20"/>
      <c r="B708" s="20"/>
      <c r="C708" s="20"/>
      <c r="D708" s="45"/>
      <c r="E708" s="45"/>
      <c r="F708" s="21"/>
      <c r="G708" s="20"/>
      <c r="H708" s="20"/>
      <c r="I708" s="20"/>
      <c r="J708" s="20"/>
      <c r="K708" s="20"/>
      <c r="L708" s="46"/>
      <c r="M708" s="33" t="str">
        <f>IFERROR(__xludf.DUMMYFUNCTION("IFS(W708=""Achat"",IFERROR(VALUE(X708),VALUE(REGEXREPLACE(T(X708),""[^0-9]"",""""))),W708=""Vente"",-IFERROR(VALUE(X708),VALUE(REGEXREPLACE(T(X708),""[^0-9]"",""""))),Y708=""Change"",0,Y708&lt;&gt;""Change"","""")"),"")</f>
        <v/>
      </c>
      <c r="N708" s="34" t="str">
        <f>IFERROR(__xludf.DUMMYFUNCTION("IF(Account!$F708&lt;&gt;"""", VALUE(REGEXREPLACE($I708, ""\,"", ""."")), """")"),"")</f>
        <v/>
      </c>
      <c r="O708" s="35" t="str">
        <f>IF(Account!$F708&lt;&gt;"", DATEVALUE(MID($A708,4,3) &amp; LEFT($A708,3) &amp; RIGHT($A708,4)) + TIMEVALUE($B708), "")</f>
        <v/>
      </c>
      <c r="P708" s="36" t="str">
        <f>IF(Account!$F708&lt;&gt;"", DATEVALUE(MID($C708,4,3) &amp; LEFT($C708,3) &amp; RIGHT($C708,4)), "")</f>
        <v/>
      </c>
      <c r="Q708" s="37" t="str">
        <f t="array" ref="Q708">IF($R708&lt;&gt;"",IFERROR(INDEX(ISIN!$B:$B,MATCH($R708,ISIN!$C:$C,0))),)</f>
        <v/>
      </c>
      <c r="R708" s="38" t="str">
        <f t="array" ref="R708">IF($E708&lt;&gt;"",IFERROR(INDEX(ISIN!$C:$C,MATCH($E708,ISIN!$A:$A,0)),IFERROR(INDEX($R709:$R1200,MATCH($K708,$K709:$K1200,0)))),IF(AND($Y708="change",$H708="EUR"),IF($O708=$O709,$R709,IF($O708=$O707,$R707)),IFERROR(INDEX($R709:$R1200,MATCH(SUBSTITUTE($I708,"-","",1),$K709:$K1200,0)))))</f>
        <v/>
      </c>
      <c r="S708" s="37" t="str">
        <f t="shared" si="1"/>
        <v/>
      </c>
      <c r="T708" s="39" t="str">
        <f t="shared" si="2"/>
        <v/>
      </c>
      <c r="U708" s="40" t="str">
        <f t="shared" si="3"/>
        <v/>
      </c>
      <c r="V708" s="34" t="str">
        <f t="shared" si="4"/>
        <v/>
      </c>
      <c r="W708" s="41" t="str">
        <f>IFERROR(__xludf.DUMMYFUNCTION(" IF(Account!$F708&lt;&gt;"""", SPLIT(Account!$F708, "" ""), """")"),"")</f>
        <v/>
      </c>
      <c r="X708" s="42"/>
      <c r="Y708" s="42"/>
      <c r="Z708" s="42"/>
      <c r="AA708" s="42"/>
      <c r="AB708" s="42"/>
      <c r="AC708" s="42"/>
      <c r="AD708" s="42"/>
      <c r="AE708" s="42"/>
      <c r="AF708" s="42"/>
      <c r="AG708" s="42"/>
      <c r="AH708" s="42"/>
      <c r="AI708" s="42"/>
      <c r="AJ708" s="42"/>
      <c r="AK708" s="42"/>
    </row>
    <row r="709">
      <c r="A709" s="20"/>
      <c r="B709" s="20"/>
      <c r="C709" s="20"/>
      <c r="D709" s="20"/>
      <c r="E709" s="20"/>
      <c r="F709" s="21"/>
      <c r="G709" s="45"/>
      <c r="H709" s="45"/>
      <c r="I709" s="45"/>
      <c r="J709" s="20"/>
      <c r="K709" s="20"/>
      <c r="L709" s="46"/>
      <c r="M709" s="33" t="str">
        <f>IFERROR(__xludf.DUMMYFUNCTION("IFS(W709=""Achat"",IFERROR(VALUE(X709),VALUE(REGEXREPLACE(T(X709),""[^0-9]"",""""))),W709=""Vente"",-IFERROR(VALUE(X709),VALUE(REGEXREPLACE(T(X709),""[^0-9]"",""""))),Y709=""Change"",0,Y709&lt;&gt;""Change"","""")"),"")</f>
        <v/>
      </c>
      <c r="N709" s="34" t="str">
        <f>IFERROR(__xludf.DUMMYFUNCTION("IF(Account!$F709&lt;&gt;"""", VALUE(REGEXREPLACE($I709, ""\,"", ""."")), """")"),"")</f>
        <v/>
      </c>
      <c r="O709" s="35" t="str">
        <f>IF(Account!$F709&lt;&gt;"", DATEVALUE(MID($A709,4,3) &amp; LEFT($A709,3) &amp; RIGHT($A709,4)) + TIMEVALUE($B709), "")</f>
        <v/>
      </c>
      <c r="P709" s="36" t="str">
        <f>IF(Account!$F709&lt;&gt;"", DATEVALUE(MID($C709,4,3) &amp; LEFT($C709,3) &amp; RIGHT($C709,4)), "")</f>
        <v/>
      </c>
      <c r="Q709" s="37" t="str">
        <f t="array" ref="Q709">IF($R709&lt;&gt;"",IFERROR(INDEX(ISIN!$B:$B,MATCH($R709,ISIN!$C:$C,0))),)</f>
        <v/>
      </c>
      <c r="R709" s="38" t="str">
        <f t="array" ref="R709">IF($E709&lt;&gt;"",IFERROR(INDEX(ISIN!$C:$C,MATCH($E709,ISIN!$A:$A,0)),IFERROR(INDEX($R710:$R1200,MATCH($K709,$K710:$K1200,0)))),IF(AND($Y709="change",$H709="EUR"),IF($O709=$O710,$R710,IF($O709=$O708,$R708)),IFERROR(INDEX($R710:$R1200,MATCH(SUBSTITUTE($I709,"-","",1),$K710:$K1200,0)))))</f>
        <v/>
      </c>
      <c r="S709" s="37" t="str">
        <f t="shared" si="1"/>
        <v/>
      </c>
      <c r="T709" s="39" t="str">
        <f t="shared" si="2"/>
        <v/>
      </c>
      <c r="U709" s="40" t="str">
        <f t="shared" si="3"/>
        <v/>
      </c>
      <c r="V709" s="34" t="str">
        <f t="shared" si="4"/>
        <v/>
      </c>
      <c r="W709" s="41" t="str">
        <f>IFERROR(__xludf.DUMMYFUNCTION(" IF(Account!$F709&lt;&gt;"""", SPLIT(Account!$F709, "" ""), """")"),"")</f>
        <v/>
      </c>
      <c r="X709" s="42"/>
      <c r="Y709" s="42"/>
      <c r="Z709" s="42"/>
      <c r="AA709" s="42"/>
      <c r="AB709" s="42"/>
      <c r="AC709" s="42"/>
      <c r="AD709" s="42"/>
      <c r="AE709" s="42"/>
      <c r="AF709" s="42"/>
      <c r="AG709" s="42"/>
      <c r="AH709" s="42"/>
      <c r="AI709" s="42"/>
      <c r="AJ709" s="42"/>
      <c r="AK709" s="42"/>
    </row>
    <row r="710">
      <c r="A710" s="20"/>
      <c r="B710" s="20"/>
      <c r="C710" s="20"/>
      <c r="D710" s="20"/>
      <c r="E710" s="20"/>
      <c r="F710" s="21"/>
      <c r="G710" s="45"/>
      <c r="H710" s="20"/>
      <c r="I710" s="20"/>
      <c r="J710" s="20"/>
      <c r="K710" s="20"/>
      <c r="L710" s="46"/>
      <c r="M710" s="33" t="str">
        <f>IFERROR(__xludf.DUMMYFUNCTION("IFS(W710=""Achat"",IFERROR(VALUE(X710),VALUE(REGEXREPLACE(T(X710),""[^0-9]"",""""))),W710=""Vente"",-IFERROR(VALUE(X710),VALUE(REGEXREPLACE(T(X710),""[^0-9]"",""""))),Y710=""Change"",0,Y710&lt;&gt;""Change"","""")"),"")</f>
        <v/>
      </c>
      <c r="N710" s="34" t="str">
        <f>IFERROR(__xludf.DUMMYFUNCTION("IF(Account!$F710&lt;&gt;"""", VALUE(REGEXREPLACE($I710, ""\,"", ""."")), """")"),"")</f>
        <v/>
      </c>
      <c r="O710" s="35" t="str">
        <f>IF(Account!$F710&lt;&gt;"", DATEVALUE(MID($A710,4,3) &amp; LEFT($A710,3) &amp; RIGHT($A710,4)) + TIMEVALUE($B710), "")</f>
        <v/>
      </c>
      <c r="P710" s="36" t="str">
        <f>IF(Account!$F710&lt;&gt;"", DATEVALUE(MID($C710,4,3) &amp; LEFT($C710,3) &amp; RIGHT($C710,4)), "")</f>
        <v/>
      </c>
      <c r="Q710" s="37" t="str">
        <f t="array" ref="Q710">IF($R710&lt;&gt;"",IFERROR(INDEX(ISIN!$B:$B,MATCH($R710,ISIN!$C:$C,0))),)</f>
        <v/>
      </c>
      <c r="R710" s="38" t="str">
        <f t="array" ref="R710">IF($E710&lt;&gt;"",IFERROR(INDEX(ISIN!$C:$C,MATCH($E710,ISIN!$A:$A,0)),IFERROR(INDEX($R711:$R1200,MATCH($K710,$K711:$K1200,0)))),IF(AND($Y710="change",$H710="EUR"),IF($O710=$O711,$R711,IF($O710=$O709,$R709)),IFERROR(INDEX($R711:$R1200,MATCH(SUBSTITUTE($I710,"-","",1),$K711:$K1200,0)))))</f>
        <v/>
      </c>
      <c r="S710" s="37" t="str">
        <f t="shared" si="1"/>
        <v/>
      </c>
      <c r="T710" s="39" t="str">
        <f t="shared" si="2"/>
        <v/>
      </c>
      <c r="U710" s="40" t="str">
        <f t="shared" si="3"/>
        <v/>
      </c>
      <c r="V710" s="34" t="str">
        <f t="shared" si="4"/>
        <v/>
      </c>
      <c r="W710" s="41" t="str">
        <f>IFERROR(__xludf.DUMMYFUNCTION(" IF(Account!$F710&lt;&gt;"""", SPLIT(Account!$F710, "" ""), """")"),"")</f>
        <v/>
      </c>
      <c r="X710" s="42"/>
      <c r="Y710" s="42"/>
      <c r="Z710" s="42"/>
      <c r="AA710" s="42"/>
      <c r="AB710" s="42"/>
      <c r="AC710" s="42"/>
      <c r="AD710" s="42"/>
      <c r="AE710" s="42"/>
      <c r="AF710" s="42"/>
      <c r="AG710" s="42"/>
      <c r="AH710" s="42"/>
      <c r="AI710" s="42"/>
      <c r="AJ710" s="42"/>
      <c r="AK710" s="42"/>
    </row>
    <row r="711">
      <c r="A711" s="20"/>
      <c r="B711" s="20"/>
      <c r="C711" s="20"/>
      <c r="D711" s="20"/>
      <c r="E711" s="20"/>
      <c r="F711" s="21"/>
      <c r="G711" s="45"/>
      <c r="H711" s="20"/>
      <c r="I711" s="20"/>
      <c r="J711" s="20"/>
      <c r="K711" s="20"/>
      <c r="L711" s="46"/>
      <c r="M711" s="33" t="str">
        <f>IFERROR(__xludf.DUMMYFUNCTION("IFS(W711=""Achat"",IFERROR(VALUE(X711),VALUE(REGEXREPLACE(T(X711),""[^0-9]"",""""))),W711=""Vente"",-IFERROR(VALUE(X711),VALUE(REGEXREPLACE(T(X711),""[^0-9]"",""""))),Y711=""Change"",0,Y711&lt;&gt;""Change"","""")"),"")</f>
        <v/>
      </c>
      <c r="N711" s="34" t="str">
        <f>IFERROR(__xludf.DUMMYFUNCTION("IF(Account!$F711&lt;&gt;"""", VALUE(REGEXREPLACE($I711, ""\,"", ""."")), """")"),"")</f>
        <v/>
      </c>
      <c r="O711" s="35" t="str">
        <f>IF(Account!$F711&lt;&gt;"", DATEVALUE(MID($A711,4,3) &amp; LEFT($A711,3) &amp; RIGHT($A711,4)) + TIMEVALUE($B711), "")</f>
        <v/>
      </c>
      <c r="P711" s="36" t="str">
        <f>IF(Account!$F711&lt;&gt;"", DATEVALUE(MID($C711,4,3) &amp; LEFT($C711,3) &amp; RIGHT($C711,4)), "")</f>
        <v/>
      </c>
      <c r="Q711" s="37" t="str">
        <f t="array" ref="Q711">IF($R711&lt;&gt;"",IFERROR(INDEX(ISIN!$B:$B,MATCH($R711,ISIN!$C:$C,0))),)</f>
        <v/>
      </c>
      <c r="R711" s="38" t="str">
        <f t="array" ref="R711">IF($E711&lt;&gt;"",IFERROR(INDEX(ISIN!$C:$C,MATCH($E711,ISIN!$A:$A,0)),IFERROR(INDEX($R712:$R1200,MATCH($K711,$K712:$K1200,0)))),IF(AND($Y711="change",$H711="EUR"),IF($O711=$O712,$R712,IF($O711=$O710,$R710)),IFERROR(INDEX($R712:$R1200,MATCH(SUBSTITUTE($I711,"-","",1),$K712:$K1200,0)))))</f>
        <v/>
      </c>
      <c r="S711" s="37" t="str">
        <f t="shared" si="1"/>
        <v/>
      </c>
      <c r="T711" s="39" t="str">
        <f t="shared" si="2"/>
        <v/>
      </c>
      <c r="U711" s="40" t="str">
        <f t="shared" si="3"/>
        <v/>
      </c>
      <c r="V711" s="34" t="str">
        <f t="shared" si="4"/>
        <v/>
      </c>
      <c r="W711" s="41" t="str">
        <f>IFERROR(__xludf.DUMMYFUNCTION(" IF(Account!$F711&lt;&gt;"""", SPLIT(Account!$F711, "" ""), """")"),"")</f>
        <v/>
      </c>
      <c r="X711" s="42"/>
      <c r="Y711" s="42"/>
      <c r="Z711" s="42"/>
      <c r="AA711" s="42"/>
      <c r="AB711" s="42"/>
      <c r="AC711" s="42"/>
      <c r="AD711" s="42"/>
      <c r="AE711" s="42"/>
      <c r="AF711" s="42"/>
      <c r="AG711" s="42"/>
      <c r="AH711" s="42"/>
      <c r="AI711" s="42"/>
      <c r="AJ711" s="42"/>
      <c r="AK711" s="42"/>
    </row>
    <row r="712">
      <c r="A712" s="20"/>
      <c r="B712" s="20"/>
      <c r="C712" s="20"/>
      <c r="D712" s="45"/>
      <c r="E712" s="45"/>
      <c r="F712" s="21"/>
      <c r="G712" s="45"/>
      <c r="H712" s="20"/>
      <c r="I712" s="20"/>
      <c r="J712" s="20"/>
      <c r="K712" s="20"/>
      <c r="L712" s="46"/>
      <c r="M712" s="33" t="str">
        <f>IFERROR(__xludf.DUMMYFUNCTION("IFS(W712=""Achat"",IFERROR(VALUE(X712),VALUE(REGEXREPLACE(T(X712),""[^0-9]"",""""))),W712=""Vente"",-IFERROR(VALUE(X712),VALUE(REGEXREPLACE(T(X712),""[^0-9]"",""""))),Y712=""Change"",0,Y712&lt;&gt;""Change"","""")"),"")</f>
        <v/>
      </c>
      <c r="N712" s="34" t="str">
        <f>IFERROR(__xludf.DUMMYFUNCTION("IF(Account!$F712&lt;&gt;"""", VALUE(REGEXREPLACE($I712, ""\,"", ""."")), """")"),"")</f>
        <v/>
      </c>
      <c r="O712" s="35" t="str">
        <f>IF(Account!$F712&lt;&gt;"", DATEVALUE(MID($A712,4,3) &amp; LEFT($A712,3) &amp; RIGHT($A712,4)) + TIMEVALUE($B712), "")</f>
        <v/>
      </c>
      <c r="P712" s="36" t="str">
        <f>IF(Account!$F712&lt;&gt;"", DATEVALUE(MID($C712,4,3) &amp; LEFT($C712,3) &amp; RIGHT($C712,4)), "")</f>
        <v/>
      </c>
      <c r="Q712" s="37" t="str">
        <f t="array" ref="Q712">IF($R712&lt;&gt;"",IFERROR(INDEX(ISIN!$B:$B,MATCH($R712,ISIN!$C:$C,0))),)</f>
        <v/>
      </c>
      <c r="R712" s="38" t="str">
        <f t="array" ref="R712">IF($E712&lt;&gt;"",IFERROR(INDEX(ISIN!$C:$C,MATCH($E712,ISIN!$A:$A,0)),IFERROR(INDEX($R713:$R1200,MATCH($K712,$K713:$K1200,0)))),IF(AND($Y712="change",$H712="EUR"),IF($O712=$O713,$R713,IF($O712=$O711,$R711)),IFERROR(INDEX($R713:$R1200,MATCH(SUBSTITUTE($I712,"-","",1),$K713:$K1200,0)))))</f>
        <v/>
      </c>
      <c r="S712" s="37" t="str">
        <f t="shared" si="1"/>
        <v/>
      </c>
      <c r="T712" s="39" t="str">
        <f t="shared" si="2"/>
        <v/>
      </c>
      <c r="U712" s="40" t="str">
        <f t="shared" si="3"/>
        <v/>
      </c>
      <c r="V712" s="34" t="str">
        <f t="shared" si="4"/>
        <v/>
      </c>
      <c r="W712" s="41" t="str">
        <f>IFERROR(__xludf.DUMMYFUNCTION(" IF(Account!$F712&lt;&gt;"""", SPLIT(Account!$F712, "" ""), """")"),"")</f>
        <v/>
      </c>
      <c r="X712" s="42"/>
      <c r="Y712" s="42"/>
      <c r="Z712" s="42"/>
      <c r="AA712" s="42"/>
      <c r="AB712" s="42"/>
      <c r="AC712" s="42"/>
      <c r="AD712" s="42"/>
      <c r="AE712" s="42"/>
      <c r="AF712" s="42"/>
      <c r="AG712" s="42"/>
      <c r="AH712" s="42"/>
      <c r="AI712" s="42"/>
      <c r="AJ712" s="42"/>
      <c r="AK712" s="42"/>
    </row>
    <row r="713">
      <c r="A713" s="20"/>
      <c r="B713" s="20"/>
      <c r="C713" s="20"/>
      <c r="D713" s="20"/>
      <c r="E713" s="20"/>
      <c r="F713" s="21"/>
      <c r="G713" s="45"/>
      <c r="H713" s="20"/>
      <c r="I713" s="20"/>
      <c r="J713" s="20"/>
      <c r="K713" s="20"/>
      <c r="L713" s="21"/>
      <c r="M713" s="33" t="str">
        <f>IFERROR(__xludf.DUMMYFUNCTION("IFS(W713=""Achat"",IFERROR(VALUE(X713),VALUE(REGEXREPLACE(T(X713),""[^0-9]"",""""))),W713=""Vente"",-IFERROR(VALUE(X713),VALUE(REGEXREPLACE(T(X713),""[^0-9]"",""""))),Y713=""Change"",0,Y713&lt;&gt;""Change"","""")"),"")</f>
        <v/>
      </c>
      <c r="N713" s="34" t="str">
        <f>IFERROR(__xludf.DUMMYFUNCTION("IF(Account!$F713&lt;&gt;"""", VALUE(REGEXREPLACE($I713, ""\,"", ""."")), """")"),"")</f>
        <v/>
      </c>
      <c r="O713" s="35" t="str">
        <f>IF(Account!$F713&lt;&gt;"", DATEVALUE(MID($A713,4,3) &amp; LEFT($A713,3) &amp; RIGHT($A713,4)) + TIMEVALUE($B713), "")</f>
        <v/>
      </c>
      <c r="P713" s="36" t="str">
        <f>IF(Account!$F713&lt;&gt;"", DATEVALUE(MID($C713,4,3) &amp; LEFT($C713,3) &amp; RIGHT($C713,4)), "")</f>
        <v/>
      </c>
      <c r="Q713" s="37" t="str">
        <f t="array" ref="Q713">IF($R713&lt;&gt;"",IFERROR(INDEX(ISIN!$B:$B,MATCH($R713,ISIN!$C:$C,0))),)</f>
        <v/>
      </c>
      <c r="R713" s="38" t="str">
        <f t="array" ref="R713">IF($E713&lt;&gt;"",IFERROR(INDEX(ISIN!$C:$C,MATCH($E713,ISIN!$A:$A,0)),IFERROR(INDEX($R714:$R1200,MATCH($K713,$K714:$K1200,0)))),IF(AND($Y713="change",$H713="EUR"),IF($O713=$O714,$R714,IF($O713=$O712,$R712)),IFERROR(INDEX($R714:$R1200,MATCH(SUBSTITUTE($I713,"-","",1),$K714:$K1200,0)))))</f>
        <v/>
      </c>
      <c r="S713" s="37" t="str">
        <f t="shared" si="1"/>
        <v/>
      </c>
      <c r="T713" s="39" t="str">
        <f t="shared" si="2"/>
        <v/>
      </c>
      <c r="U713" s="40" t="str">
        <f t="shared" si="3"/>
        <v/>
      </c>
      <c r="V713" s="34" t="str">
        <f t="shared" si="4"/>
        <v/>
      </c>
      <c r="W713" s="41" t="str">
        <f>IFERROR(__xludf.DUMMYFUNCTION(" IF(Account!$F713&lt;&gt;"""", SPLIT(Account!$F713, "" ""), """")"),"")</f>
        <v/>
      </c>
      <c r="X713" s="42"/>
      <c r="Y713" s="42"/>
      <c r="Z713" s="42"/>
      <c r="AA713" s="42"/>
      <c r="AB713" s="42"/>
      <c r="AC713" s="42"/>
      <c r="AD713" s="42"/>
      <c r="AE713" s="42"/>
      <c r="AF713" s="42"/>
      <c r="AG713" s="42"/>
      <c r="AH713" s="42"/>
      <c r="AI713" s="42"/>
      <c r="AJ713" s="42"/>
      <c r="AK713" s="42"/>
    </row>
    <row r="714">
      <c r="A714" s="20"/>
      <c r="B714" s="20"/>
      <c r="C714" s="20"/>
      <c r="D714" s="20"/>
      <c r="E714" s="20"/>
      <c r="F714" s="21"/>
      <c r="G714" s="45"/>
      <c r="H714" s="20"/>
      <c r="I714" s="20"/>
      <c r="J714" s="20"/>
      <c r="K714" s="20"/>
      <c r="L714" s="21"/>
      <c r="M714" s="33" t="str">
        <f>IFERROR(__xludf.DUMMYFUNCTION("IFS(W714=""Achat"",IFERROR(VALUE(X714),VALUE(REGEXREPLACE(T(X714),""[^0-9]"",""""))),W714=""Vente"",-IFERROR(VALUE(X714),VALUE(REGEXREPLACE(T(X714),""[^0-9]"",""""))),Y714=""Change"",0,Y714&lt;&gt;""Change"","""")"),"")</f>
        <v/>
      </c>
      <c r="N714" s="34" t="str">
        <f>IFERROR(__xludf.DUMMYFUNCTION("IF(Account!$F714&lt;&gt;"""", VALUE(REGEXREPLACE($I714, ""\,"", ""."")), """")"),"")</f>
        <v/>
      </c>
      <c r="O714" s="35" t="str">
        <f>IF(Account!$F714&lt;&gt;"", DATEVALUE(MID($A714,4,3) &amp; LEFT($A714,3) &amp; RIGHT($A714,4)) + TIMEVALUE($B714), "")</f>
        <v/>
      </c>
      <c r="P714" s="36" t="str">
        <f>IF(Account!$F714&lt;&gt;"", DATEVALUE(MID($C714,4,3) &amp; LEFT($C714,3) &amp; RIGHT($C714,4)), "")</f>
        <v/>
      </c>
      <c r="Q714" s="37" t="str">
        <f t="array" ref="Q714">IF($R714&lt;&gt;"",IFERROR(INDEX(ISIN!$B:$B,MATCH($R714,ISIN!$C:$C,0))),)</f>
        <v/>
      </c>
      <c r="R714" s="38" t="str">
        <f t="array" ref="R714">IF($E714&lt;&gt;"",IFERROR(INDEX(ISIN!$C:$C,MATCH($E714,ISIN!$A:$A,0)),IFERROR(INDEX($R715:$R1200,MATCH($K714,$K715:$K1200,0)))),IF(AND($Y714="change",$H714="EUR"),IF($O714=$O715,$R715,IF($O714=$O713,$R713)),IFERROR(INDEX($R715:$R1200,MATCH(SUBSTITUTE($I714,"-","",1),$K715:$K1200,0)))))</f>
        <v/>
      </c>
      <c r="S714" s="37" t="str">
        <f t="shared" si="1"/>
        <v/>
      </c>
      <c r="T714" s="39" t="str">
        <f t="shared" si="2"/>
        <v/>
      </c>
      <c r="U714" s="40" t="str">
        <f t="shared" si="3"/>
        <v/>
      </c>
      <c r="V714" s="34" t="str">
        <f t="shared" si="4"/>
        <v/>
      </c>
      <c r="W714" s="41" t="str">
        <f>IFERROR(__xludf.DUMMYFUNCTION(" IF(Account!$F714&lt;&gt;"""", SPLIT(Account!$F714, "" ""), """")"),"")</f>
        <v/>
      </c>
      <c r="X714" s="42"/>
      <c r="Y714" s="42"/>
      <c r="Z714" s="42"/>
      <c r="AA714" s="42"/>
      <c r="AB714" s="42"/>
      <c r="AC714" s="42"/>
      <c r="AD714" s="42"/>
      <c r="AE714" s="42"/>
      <c r="AF714" s="42"/>
      <c r="AG714" s="42"/>
      <c r="AH714" s="42"/>
      <c r="AI714" s="42"/>
      <c r="AJ714" s="42"/>
      <c r="AK714" s="42"/>
    </row>
    <row r="715">
      <c r="A715" s="20"/>
      <c r="B715" s="20"/>
      <c r="C715" s="20"/>
      <c r="D715" s="20"/>
      <c r="E715" s="20"/>
      <c r="F715" s="21"/>
      <c r="G715" s="45"/>
      <c r="H715" s="20"/>
      <c r="I715" s="20"/>
      <c r="J715" s="20"/>
      <c r="K715" s="20"/>
      <c r="L715" s="21"/>
      <c r="M715" s="33" t="str">
        <f>IFERROR(__xludf.DUMMYFUNCTION("IFS(W715=""Achat"",IFERROR(VALUE(X715),VALUE(REGEXREPLACE(T(X715),""[^0-9]"",""""))),W715=""Vente"",-IFERROR(VALUE(X715),VALUE(REGEXREPLACE(T(X715),""[^0-9]"",""""))),Y715=""Change"",0,Y715&lt;&gt;""Change"","""")"),"")</f>
        <v/>
      </c>
      <c r="N715" s="34" t="str">
        <f>IFERROR(__xludf.DUMMYFUNCTION("IF(Account!$F715&lt;&gt;"""", VALUE(REGEXREPLACE($I715, ""\,"", ""."")), """")"),"")</f>
        <v/>
      </c>
      <c r="O715" s="35" t="str">
        <f>IF(Account!$F715&lt;&gt;"", DATEVALUE(MID($A715,4,3) &amp; LEFT($A715,3) &amp; RIGHT($A715,4)) + TIMEVALUE($B715), "")</f>
        <v/>
      </c>
      <c r="P715" s="36" t="str">
        <f>IF(Account!$F715&lt;&gt;"", DATEVALUE(MID($C715,4,3) &amp; LEFT($C715,3) &amp; RIGHT($C715,4)), "")</f>
        <v/>
      </c>
      <c r="Q715" s="37" t="str">
        <f t="array" ref="Q715">IF($R715&lt;&gt;"",IFERROR(INDEX(ISIN!$B:$B,MATCH($R715,ISIN!$C:$C,0))),)</f>
        <v/>
      </c>
      <c r="R715" s="38" t="str">
        <f t="array" ref="R715">IF($E715&lt;&gt;"",IFERROR(INDEX(ISIN!$C:$C,MATCH($E715,ISIN!$A:$A,0)),IFERROR(INDEX($R716:$R1200,MATCH($K715,$K716:$K1200,0)))),IF(AND($Y715="change",$H715="EUR"),IF($O715=$O716,$R716,IF($O715=$O714,$R714)),IFERROR(INDEX($R716:$R1200,MATCH(SUBSTITUTE($I715,"-","",1),$K716:$K1200,0)))))</f>
        <v/>
      </c>
      <c r="S715" s="37" t="str">
        <f t="shared" si="1"/>
        <v/>
      </c>
      <c r="T715" s="39" t="str">
        <f t="shared" si="2"/>
        <v/>
      </c>
      <c r="U715" s="40" t="str">
        <f t="shared" si="3"/>
        <v/>
      </c>
      <c r="V715" s="34" t="str">
        <f t="shared" si="4"/>
        <v/>
      </c>
      <c r="W715" s="41" t="str">
        <f>IFERROR(__xludf.DUMMYFUNCTION(" IF(Account!$F715&lt;&gt;"""", SPLIT(Account!$F715, "" ""), """")"),"")</f>
        <v/>
      </c>
      <c r="X715" s="42"/>
      <c r="Y715" s="42"/>
      <c r="Z715" s="42"/>
      <c r="AA715" s="42"/>
      <c r="AB715" s="42"/>
      <c r="AC715" s="42"/>
      <c r="AD715" s="42"/>
      <c r="AE715" s="42"/>
      <c r="AF715" s="42"/>
      <c r="AG715" s="42"/>
      <c r="AH715" s="42"/>
      <c r="AI715" s="42"/>
      <c r="AJ715" s="42"/>
      <c r="AK715" s="42"/>
    </row>
    <row r="716">
      <c r="A716" s="20"/>
      <c r="B716" s="20"/>
      <c r="C716" s="20"/>
      <c r="D716" s="20"/>
      <c r="E716" s="20"/>
      <c r="F716" s="21"/>
      <c r="G716" s="45"/>
      <c r="H716" s="20"/>
      <c r="I716" s="20"/>
      <c r="J716" s="20"/>
      <c r="K716" s="20"/>
      <c r="L716" s="21"/>
      <c r="M716" s="33" t="str">
        <f>IFERROR(__xludf.DUMMYFUNCTION("IFS(W716=""Achat"",IFERROR(VALUE(X716),VALUE(REGEXREPLACE(T(X716),""[^0-9]"",""""))),W716=""Vente"",-IFERROR(VALUE(X716),VALUE(REGEXREPLACE(T(X716),""[^0-9]"",""""))),Y716=""Change"",0,Y716&lt;&gt;""Change"","""")"),"")</f>
        <v/>
      </c>
      <c r="N716" s="34" t="str">
        <f>IFERROR(__xludf.DUMMYFUNCTION("IF(Account!$F716&lt;&gt;"""", VALUE(REGEXREPLACE($I716, ""\,"", ""."")), """")"),"")</f>
        <v/>
      </c>
      <c r="O716" s="35" t="str">
        <f>IF(Account!$F716&lt;&gt;"", DATEVALUE(MID($A716,4,3) &amp; LEFT($A716,3) &amp; RIGHT($A716,4)) + TIMEVALUE($B716), "")</f>
        <v/>
      </c>
      <c r="P716" s="36" t="str">
        <f>IF(Account!$F716&lt;&gt;"", DATEVALUE(MID($C716,4,3) &amp; LEFT($C716,3) &amp; RIGHT($C716,4)), "")</f>
        <v/>
      </c>
      <c r="Q716" s="37" t="str">
        <f t="array" ref="Q716">IF($R716&lt;&gt;"",IFERROR(INDEX(ISIN!$B:$B,MATCH($R716,ISIN!$C:$C,0))),)</f>
        <v/>
      </c>
      <c r="R716" s="38" t="str">
        <f t="array" ref="R716">IF($E716&lt;&gt;"",IFERROR(INDEX(ISIN!$C:$C,MATCH($E716,ISIN!$A:$A,0)),IFERROR(INDEX($R717:$R1200,MATCH($K716,$K717:$K1200,0)))),IF(AND($Y716="change",$H716="EUR"),IF($O716=$O717,$R717,IF($O716=$O715,$R715)),IFERROR(INDEX($R717:$R1200,MATCH(SUBSTITUTE($I716,"-","",1),$K717:$K1200,0)))))</f>
        <v/>
      </c>
      <c r="S716" s="37" t="str">
        <f t="shared" si="1"/>
        <v/>
      </c>
      <c r="T716" s="39" t="str">
        <f t="shared" si="2"/>
        <v/>
      </c>
      <c r="U716" s="40" t="str">
        <f t="shared" si="3"/>
        <v/>
      </c>
      <c r="V716" s="34" t="str">
        <f t="shared" si="4"/>
        <v/>
      </c>
      <c r="W716" s="41" t="str">
        <f>IFERROR(__xludf.DUMMYFUNCTION(" IF(Account!$F716&lt;&gt;"""", SPLIT(Account!$F716, "" ""), """")"),"")</f>
        <v/>
      </c>
      <c r="X716" s="42"/>
      <c r="Y716" s="42"/>
      <c r="Z716" s="42"/>
      <c r="AA716" s="42"/>
      <c r="AB716" s="42"/>
      <c r="AC716" s="42"/>
      <c r="AD716" s="42"/>
      <c r="AE716" s="42"/>
      <c r="AF716" s="42"/>
      <c r="AG716" s="42"/>
      <c r="AH716" s="42"/>
      <c r="AI716" s="42"/>
      <c r="AJ716" s="42"/>
      <c r="AK716" s="42"/>
    </row>
    <row r="717">
      <c r="A717" s="20"/>
      <c r="B717" s="20"/>
      <c r="C717" s="20"/>
      <c r="D717" s="20"/>
      <c r="E717" s="20"/>
      <c r="F717" s="21"/>
      <c r="G717" s="45"/>
      <c r="H717" s="45"/>
      <c r="I717" s="45"/>
      <c r="J717" s="20"/>
      <c r="K717" s="20"/>
      <c r="L717" s="46"/>
      <c r="M717" s="33" t="str">
        <f>IFERROR(__xludf.DUMMYFUNCTION("IFS(W717=""Achat"",IFERROR(VALUE(X717),VALUE(REGEXREPLACE(T(X717),""[^0-9]"",""""))),W717=""Vente"",-IFERROR(VALUE(X717),VALUE(REGEXREPLACE(T(X717),""[^0-9]"",""""))),Y717=""Change"",0,Y717&lt;&gt;""Change"","""")"),"")</f>
        <v/>
      </c>
      <c r="N717" s="34" t="str">
        <f>IFERROR(__xludf.DUMMYFUNCTION("IF(Account!$F717&lt;&gt;"""", VALUE(REGEXREPLACE($I717, ""\,"", ""."")), """")"),"")</f>
        <v/>
      </c>
      <c r="O717" s="35" t="str">
        <f>IF(Account!$F717&lt;&gt;"", DATEVALUE(MID($A717,4,3) &amp; LEFT($A717,3) &amp; RIGHT($A717,4)) + TIMEVALUE($B717), "")</f>
        <v/>
      </c>
      <c r="P717" s="36" t="str">
        <f>IF(Account!$F717&lt;&gt;"", DATEVALUE(MID($C717,4,3) &amp; LEFT($C717,3) &amp; RIGHT($C717,4)), "")</f>
        <v/>
      </c>
      <c r="Q717" s="37" t="str">
        <f t="array" ref="Q717">IF($R717&lt;&gt;"",IFERROR(INDEX(ISIN!$B:$B,MATCH($R717,ISIN!$C:$C,0))),)</f>
        <v/>
      </c>
      <c r="R717" s="38" t="str">
        <f t="array" ref="R717">IF($E717&lt;&gt;"",IFERROR(INDEX(ISIN!$C:$C,MATCH($E717,ISIN!$A:$A,0)),IFERROR(INDEX($R718:$R1200,MATCH($K717,$K718:$K1200,0)))),IF(AND($Y717="change",$H717="EUR"),IF($O717=$O718,$R718,IF($O717=$O716,$R716)),IFERROR(INDEX($R718:$R1200,MATCH(SUBSTITUTE($I717,"-","",1),$K718:$K1200,0)))))</f>
        <v/>
      </c>
      <c r="S717" s="37" t="str">
        <f t="shared" si="1"/>
        <v/>
      </c>
      <c r="T717" s="39" t="str">
        <f t="shared" si="2"/>
        <v/>
      </c>
      <c r="U717" s="40" t="str">
        <f t="shared" si="3"/>
        <v/>
      </c>
      <c r="V717" s="34" t="str">
        <f t="shared" si="4"/>
        <v/>
      </c>
      <c r="W717" s="41" t="str">
        <f>IFERROR(__xludf.DUMMYFUNCTION(" IF(Account!$F717&lt;&gt;"""", SPLIT(Account!$F717, "" ""), """")"),"")</f>
        <v/>
      </c>
      <c r="X717" s="42"/>
      <c r="Y717" s="42"/>
      <c r="Z717" s="42"/>
      <c r="AA717" s="42"/>
      <c r="AB717" s="42"/>
      <c r="AC717" s="42"/>
      <c r="AD717" s="42"/>
      <c r="AE717" s="42"/>
      <c r="AF717" s="42"/>
      <c r="AG717" s="42"/>
      <c r="AH717" s="42"/>
      <c r="AI717" s="42"/>
      <c r="AJ717" s="42"/>
      <c r="AK717" s="42"/>
    </row>
    <row r="718">
      <c r="A718" s="20"/>
      <c r="B718" s="20"/>
      <c r="C718" s="20"/>
      <c r="D718" s="45"/>
      <c r="E718" s="45"/>
      <c r="F718" s="21"/>
      <c r="G718" s="45"/>
      <c r="H718" s="20"/>
      <c r="I718" s="20"/>
      <c r="J718" s="20"/>
      <c r="K718" s="20"/>
      <c r="L718" s="46"/>
      <c r="M718" s="33" t="str">
        <f>IFERROR(__xludf.DUMMYFUNCTION("IFS(W718=""Achat"",IFERROR(VALUE(X718),VALUE(REGEXREPLACE(T(X718),""[^0-9]"",""""))),W718=""Vente"",-IFERROR(VALUE(X718),VALUE(REGEXREPLACE(T(X718),""[^0-9]"",""""))),Y718=""Change"",0,Y718&lt;&gt;""Change"","""")"),"")</f>
        <v/>
      </c>
      <c r="N718" s="34" t="str">
        <f>IFERROR(__xludf.DUMMYFUNCTION("IF(Account!$F718&lt;&gt;"""", VALUE(REGEXREPLACE($I718, ""\,"", ""."")), """")"),"")</f>
        <v/>
      </c>
      <c r="O718" s="35" t="str">
        <f>IF(Account!$F718&lt;&gt;"", DATEVALUE(MID($A718,4,3) &amp; LEFT($A718,3) &amp; RIGHT($A718,4)) + TIMEVALUE($B718), "")</f>
        <v/>
      </c>
      <c r="P718" s="36" t="str">
        <f>IF(Account!$F718&lt;&gt;"", DATEVALUE(MID($C718,4,3) &amp; LEFT($C718,3) &amp; RIGHT($C718,4)), "")</f>
        <v/>
      </c>
      <c r="Q718" s="37" t="str">
        <f t="array" ref="Q718">IF($R718&lt;&gt;"",IFERROR(INDEX(ISIN!$B:$B,MATCH($R718,ISIN!$C:$C,0))),)</f>
        <v/>
      </c>
      <c r="R718" s="38" t="str">
        <f t="array" ref="R718">IF($E718&lt;&gt;"",IFERROR(INDEX(ISIN!$C:$C,MATCH($E718,ISIN!$A:$A,0)),IFERROR(INDEX($R719:$R1200,MATCH($K718,$K719:$K1200,0)))),IF(AND($Y718="change",$H718="EUR"),IF($O718=$O719,$R719,IF($O718=$O717,$R717)),IFERROR(INDEX($R719:$R1200,MATCH(SUBSTITUTE($I718,"-","",1),$K719:$K1200,0)))))</f>
        <v/>
      </c>
      <c r="S718" s="37" t="str">
        <f t="shared" si="1"/>
        <v/>
      </c>
      <c r="T718" s="39" t="str">
        <f t="shared" si="2"/>
        <v/>
      </c>
      <c r="U718" s="40" t="str">
        <f t="shared" si="3"/>
        <v/>
      </c>
      <c r="V718" s="34" t="str">
        <f t="shared" si="4"/>
        <v/>
      </c>
      <c r="W718" s="41" t="str">
        <f>IFERROR(__xludf.DUMMYFUNCTION(" IF(Account!$F718&lt;&gt;"""", SPLIT(Account!$F718, "" ""), """")"),"")</f>
        <v/>
      </c>
      <c r="X718" s="42"/>
      <c r="Y718" s="42"/>
      <c r="Z718" s="42"/>
      <c r="AA718" s="42"/>
      <c r="AB718" s="42"/>
      <c r="AC718" s="42"/>
      <c r="AD718" s="42"/>
      <c r="AE718" s="42"/>
      <c r="AF718" s="42"/>
      <c r="AG718" s="42"/>
      <c r="AH718" s="42"/>
      <c r="AI718" s="42"/>
      <c r="AJ718" s="42"/>
      <c r="AK718" s="42"/>
    </row>
    <row r="719">
      <c r="A719" s="20"/>
      <c r="B719" s="20"/>
      <c r="C719" s="20"/>
      <c r="D719" s="45"/>
      <c r="E719" s="45"/>
      <c r="F719" s="21"/>
      <c r="G719" s="20"/>
      <c r="H719" s="20"/>
      <c r="I719" s="20"/>
      <c r="J719" s="20"/>
      <c r="K719" s="20"/>
      <c r="L719" s="46"/>
      <c r="M719" s="33" t="str">
        <f>IFERROR(__xludf.DUMMYFUNCTION("IFS(W719=""Achat"",IFERROR(VALUE(X719),VALUE(REGEXREPLACE(T(X719),""[^0-9]"",""""))),W719=""Vente"",-IFERROR(VALUE(X719),VALUE(REGEXREPLACE(T(X719),""[^0-9]"",""""))),Y719=""Change"",0,Y719&lt;&gt;""Change"","""")"),"")</f>
        <v/>
      </c>
      <c r="N719" s="34" t="str">
        <f>IFERROR(__xludf.DUMMYFUNCTION("IF(Account!$F719&lt;&gt;"""", VALUE(REGEXREPLACE($I719, ""\,"", ""."")), """")"),"")</f>
        <v/>
      </c>
      <c r="O719" s="35" t="str">
        <f>IF(Account!$F719&lt;&gt;"", DATEVALUE(MID($A719,4,3) &amp; LEFT($A719,3) &amp; RIGHT($A719,4)) + TIMEVALUE($B719), "")</f>
        <v/>
      </c>
      <c r="P719" s="36" t="str">
        <f>IF(Account!$F719&lt;&gt;"", DATEVALUE(MID($C719,4,3) &amp; LEFT($C719,3) &amp; RIGHT($C719,4)), "")</f>
        <v/>
      </c>
      <c r="Q719" s="37" t="str">
        <f t="array" ref="Q719">IF($R719&lt;&gt;"",IFERROR(INDEX(ISIN!$B:$B,MATCH($R719,ISIN!$C:$C,0))),)</f>
        <v/>
      </c>
      <c r="R719" s="38" t="str">
        <f t="array" ref="R719">IF($E719&lt;&gt;"",IFERROR(INDEX(ISIN!$C:$C,MATCH($E719,ISIN!$A:$A,0)),IFERROR(INDEX($R720:$R1200,MATCH($K719,$K720:$K1200,0)))),IF(AND($Y719="change",$H719="EUR"),IF($O719=$O720,$R720,IF($O719=$O718,$R718)),IFERROR(INDEX($R720:$R1200,MATCH(SUBSTITUTE($I719,"-","",1),$K720:$K1200,0)))))</f>
        <v/>
      </c>
      <c r="S719" s="37" t="str">
        <f t="shared" si="1"/>
        <v/>
      </c>
      <c r="T719" s="39" t="str">
        <f t="shared" si="2"/>
        <v/>
      </c>
      <c r="U719" s="40" t="str">
        <f t="shared" si="3"/>
        <v/>
      </c>
      <c r="V719" s="34" t="str">
        <f t="shared" si="4"/>
        <v/>
      </c>
      <c r="W719" s="41" t="str">
        <f>IFERROR(__xludf.DUMMYFUNCTION(" IF(Account!$F719&lt;&gt;"""", SPLIT(Account!$F719, "" ""), """")"),"")</f>
        <v/>
      </c>
      <c r="X719" s="42"/>
      <c r="Y719" s="42"/>
      <c r="Z719" s="42"/>
      <c r="AA719" s="42"/>
      <c r="AB719" s="42"/>
      <c r="AC719" s="42"/>
      <c r="AD719" s="42"/>
      <c r="AE719" s="42"/>
      <c r="AF719" s="42"/>
      <c r="AG719" s="42"/>
      <c r="AH719" s="42"/>
      <c r="AI719" s="42"/>
      <c r="AJ719" s="42"/>
      <c r="AK719" s="42"/>
    </row>
    <row r="720">
      <c r="A720" s="20"/>
      <c r="B720" s="20"/>
      <c r="C720" s="20"/>
      <c r="D720" s="20"/>
      <c r="E720" s="20"/>
      <c r="F720" s="21"/>
      <c r="G720" s="45"/>
      <c r="H720" s="45"/>
      <c r="I720" s="45"/>
      <c r="J720" s="20"/>
      <c r="K720" s="20"/>
      <c r="L720" s="46"/>
      <c r="M720" s="33" t="str">
        <f>IFERROR(__xludf.DUMMYFUNCTION("IFS(W720=""Achat"",IFERROR(VALUE(X720),VALUE(REGEXREPLACE(T(X720),""[^0-9]"",""""))),W720=""Vente"",-IFERROR(VALUE(X720),VALUE(REGEXREPLACE(T(X720),""[^0-9]"",""""))),Y720=""Change"",0,Y720&lt;&gt;""Change"","""")"),"")</f>
        <v/>
      </c>
      <c r="N720" s="34" t="str">
        <f>IFERROR(__xludf.DUMMYFUNCTION("IF(Account!$F720&lt;&gt;"""", VALUE(REGEXREPLACE($I720, ""\,"", ""."")), """")"),"")</f>
        <v/>
      </c>
      <c r="O720" s="35" t="str">
        <f>IF(Account!$F720&lt;&gt;"", DATEVALUE(MID($A720,4,3) &amp; LEFT($A720,3) &amp; RIGHT($A720,4)) + TIMEVALUE($B720), "")</f>
        <v/>
      </c>
      <c r="P720" s="36" t="str">
        <f>IF(Account!$F720&lt;&gt;"", DATEVALUE(MID($C720,4,3) &amp; LEFT($C720,3) &amp; RIGHT($C720,4)), "")</f>
        <v/>
      </c>
      <c r="Q720" s="37" t="str">
        <f t="array" ref="Q720">IF($R720&lt;&gt;"",IFERROR(INDEX(ISIN!$B:$B,MATCH($R720,ISIN!$C:$C,0))),)</f>
        <v/>
      </c>
      <c r="R720" s="38" t="str">
        <f t="array" ref="R720">IF($E720&lt;&gt;"",IFERROR(INDEX(ISIN!$C:$C,MATCH($E720,ISIN!$A:$A,0)),IFERROR(INDEX($R721:$R1200,MATCH($K720,$K721:$K1200,0)))),IF(AND($Y720="change",$H720="EUR"),IF($O720=$O721,$R721,IF($O720=$O719,$R719)),IFERROR(INDEX($R721:$R1200,MATCH(SUBSTITUTE($I720,"-","",1),$K721:$K1200,0)))))</f>
        <v/>
      </c>
      <c r="S720" s="37" t="str">
        <f t="shared" si="1"/>
        <v/>
      </c>
      <c r="T720" s="39" t="str">
        <f t="shared" si="2"/>
        <v/>
      </c>
      <c r="U720" s="40" t="str">
        <f t="shared" si="3"/>
        <v/>
      </c>
      <c r="V720" s="34" t="str">
        <f t="shared" si="4"/>
        <v/>
      </c>
      <c r="W720" s="41" t="str">
        <f>IFERROR(__xludf.DUMMYFUNCTION(" IF(Account!$F720&lt;&gt;"""", SPLIT(Account!$F720, "" ""), """")"),"")</f>
        <v/>
      </c>
      <c r="X720" s="42"/>
      <c r="Y720" s="42"/>
      <c r="Z720" s="42"/>
      <c r="AA720" s="42"/>
      <c r="AB720" s="42"/>
      <c r="AC720" s="42"/>
      <c r="AD720" s="42"/>
      <c r="AE720" s="42"/>
      <c r="AF720" s="42"/>
      <c r="AG720" s="42"/>
      <c r="AH720" s="42"/>
      <c r="AI720" s="42"/>
      <c r="AJ720" s="42"/>
      <c r="AK720" s="42"/>
    </row>
    <row r="721">
      <c r="A721" s="20"/>
      <c r="B721" s="20"/>
      <c r="C721" s="20"/>
      <c r="D721" s="20"/>
      <c r="E721" s="20"/>
      <c r="F721" s="21"/>
      <c r="G721" s="45"/>
      <c r="H721" s="20"/>
      <c r="I721" s="20"/>
      <c r="J721" s="20"/>
      <c r="K721" s="20"/>
      <c r="L721" s="46"/>
      <c r="M721" s="33" t="str">
        <f>IFERROR(__xludf.DUMMYFUNCTION("IFS(W721=""Achat"",IFERROR(VALUE(X721),VALUE(REGEXREPLACE(T(X721),""[^0-9]"",""""))),W721=""Vente"",-IFERROR(VALUE(X721),VALUE(REGEXREPLACE(T(X721),""[^0-9]"",""""))),Y721=""Change"",0,Y721&lt;&gt;""Change"","""")"),"")</f>
        <v/>
      </c>
      <c r="N721" s="34" t="str">
        <f>IFERROR(__xludf.DUMMYFUNCTION("IF(Account!$F721&lt;&gt;"""", VALUE(REGEXREPLACE($I721, ""\,"", ""."")), """")"),"")</f>
        <v/>
      </c>
      <c r="O721" s="35" t="str">
        <f>IF(Account!$F721&lt;&gt;"", DATEVALUE(MID($A721,4,3) &amp; LEFT($A721,3) &amp; RIGHT($A721,4)) + TIMEVALUE($B721), "")</f>
        <v/>
      </c>
      <c r="P721" s="36" t="str">
        <f>IF(Account!$F721&lt;&gt;"", DATEVALUE(MID($C721,4,3) &amp; LEFT($C721,3) &amp; RIGHT($C721,4)), "")</f>
        <v/>
      </c>
      <c r="Q721" s="37" t="str">
        <f t="array" ref="Q721">IF($R721&lt;&gt;"",IFERROR(INDEX(ISIN!$B:$B,MATCH($R721,ISIN!$C:$C,0))),)</f>
        <v/>
      </c>
      <c r="R721" s="38" t="str">
        <f t="array" ref="R721">IF($E721&lt;&gt;"",IFERROR(INDEX(ISIN!$C:$C,MATCH($E721,ISIN!$A:$A,0)),IFERROR(INDEX($R722:$R1200,MATCH($K721,$K722:$K1200,0)))),IF(AND($Y721="change",$H721="EUR"),IF($O721=$O722,$R722,IF($O721=$O720,$R720)),IFERROR(INDEX($R722:$R1200,MATCH(SUBSTITUTE($I721,"-","",1),$K722:$K1200,0)))))</f>
        <v/>
      </c>
      <c r="S721" s="37" t="str">
        <f t="shared" si="1"/>
        <v/>
      </c>
      <c r="T721" s="39" t="str">
        <f t="shared" si="2"/>
        <v/>
      </c>
      <c r="U721" s="40" t="str">
        <f t="shared" si="3"/>
        <v/>
      </c>
      <c r="V721" s="34" t="str">
        <f t="shared" si="4"/>
        <v/>
      </c>
      <c r="W721" s="41" t="str">
        <f>IFERROR(__xludf.DUMMYFUNCTION(" IF(Account!$F721&lt;&gt;"""", SPLIT(Account!$F721, "" ""), """")"),"")</f>
        <v/>
      </c>
      <c r="X721" s="42"/>
      <c r="Y721" s="42"/>
      <c r="Z721" s="42"/>
      <c r="AA721" s="42"/>
      <c r="AB721" s="42"/>
      <c r="AC721" s="42"/>
      <c r="AD721" s="42"/>
      <c r="AE721" s="42"/>
      <c r="AF721" s="42"/>
      <c r="AG721" s="42"/>
      <c r="AH721" s="42"/>
      <c r="AI721" s="42"/>
      <c r="AJ721" s="42"/>
      <c r="AK721" s="42"/>
    </row>
    <row r="722">
      <c r="A722" s="20"/>
      <c r="B722" s="20"/>
      <c r="C722" s="20"/>
      <c r="D722" s="20"/>
      <c r="E722" s="20"/>
      <c r="F722" s="21"/>
      <c r="G722" s="45"/>
      <c r="H722" s="20"/>
      <c r="I722" s="20"/>
      <c r="J722" s="20"/>
      <c r="K722" s="20"/>
      <c r="L722" s="46"/>
      <c r="M722" s="33" t="str">
        <f>IFERROR(__xludf.DUMMYFUNCTION("IFS(W722=""Achat"",IFERROR(VALUE(X722),VALUE(REGEXREPLACE(T(X722),""[^0-9]"",""""))),W722=""Vente"",-IFERROR(VALUE(X722),VALUE(REGEXREPLACE(T(X722),""[^0-9]"",""""))),Y722=""Change"",0,Y722&lt;&gt;""Change"","""")"),"")</f>
        <v/>
      </c>
      <c r="N722" s="34" t="str">
        <f>IFERROR(__xludf.DUMMYFUNCTION("IF(Account!$F722&lt;&gt;"""", VALUE(REGEXREPLACE($I722, ""\,"", ""."")), """")"),"")</f>
        <v/>
      </c>
      <c r="O722" s="35" t="str">
        <f>IF(Account!$F722&lt;&gt;"", DATEVALUE(MID($A722,4,3) &amp; LEFT($A722,3) &amp; RIGHT($A722,4)) + TIMEVALUE($B722), "")</f>
        <v/>
      </c>
      <c r="P722" s="36" t="str">
        <f>IF(Account!$F722&lt;&gt;"", DATEVALUE(MID($C722,4,3) &amp; LEFT($C722,3) &amp; RIGHT($C722,4)), "")</f>
        <v/>
      </c>
      <c r="Q722" s="37" t="str">
        <f t="array" ref="Q722">IF($R722&lt;&gt;"",IFERROR(INDEX(ISIN!$B:$B,MATCH($R722,ISIN!$C:$C,0))),)</f>
        <v/>
      </c>
      <c r="R722" s="38" t="str">
        <f t="array" ref="R722">IF($E722&lt;&gt;"",IFERROR(INDEX(ISIN!$C:$C,MATCH($E722,ISIN!$A:$A,0)),IFERROR(INDEX($R723:$R1200,MATCH($K722,$K723:$K1200,0)))),IF(AND($Y722="change",$H722="EUR"),IF($O722=$O723,$R723,IF($O722=$O721,$R721)),IFERROR(INDEX($R723:$R1200,MATCH(SUBSTITUTE($I722,"-","",1),$K723:$K1200,0)))))</f>
        <v/>
      </c>
      <c r="S722" s="37" t="str">
        <f t="shared" si="1"/>
        <v/>
      </c>
      <c r="T722" s="39" t="str">
        <f t="shared" si="2"/>
        <v/>
      </c>
      <c r="U722" s="40" t="str">
        <f t="shared" si="3"/>
        <v/>
      </c>
      <c r="V722" s="34" t="str">
        <f t="shared" si="4"/>
        <v/>
      </c>
      <c r="W722" s="41" t="str">
        <f>IFERROR(__xludf.DUMMYFUNCTION(" IF(Account!$F722&lt;&gt;"""", SPLIT(Account!$F722, "" ""), """")"),"")</f>
        <v/>
      </c>
      <c r="X722" s="42"/>
      <c r="Y722" s="42"/>
      <c r="Z722" s="42"/>
      <c r="AA722" s="42"/>
      <c r="AB722" s="42"/>
      <c r="AC722" s="42"/>
      <c r="AD722" s="42"/>
      <c r="AE722" s="42"/>
      <c r="AF722" s="42"/>
      <c r="AG722" s="42"/>
      <c r="AH722" s="42"/>
      <c r="AI722" s="42"/>
      <c r="AJ722" s="42"/>
      <c r="AK722" s="42"/>
    </row>
    <row r="723">
      <c r="A723" s="20"/>
      <c r="B723" s="20"/>
      <c r="C723" s="20"/>
      <c r="D723" s="45"/>
      <c r="E723" s="45"/>
      <c r="F723" s="21"/>
      <c r="G723" s="45"/>
      <c r="H723" s="20"/>
      <c r="I723" s="20"/>
      <c r="J723" s="20"/>
      <c r="K723" s="20"/>
      <c r="L723" s="46"/>
      <c r="M723" s="33" t="str">
        <f>IFERROR(__xludf.DUMMYFUNCTION("IFS(W723=""Achat"",IFERROR(VALUE(X723),VALUE(REGEXREPLACE(T(X723),""[^0-9]"",""""))),W723=""Vente"",-IFERROR(VALUE(X723),VALUE(REGEXREPLACE(T(X723),""[^0-9]"",""""))),Y723=""Change"",0,Y723&lt;&gt;""Change"","""")"),"")</f>
        <v/>
      </c>
      <c r="N723" s="34" t="str">
        <f>IFERROR(__xludf.DUMMYFUNCTION("IF(Account!$F723&lt;&gt;"""", VALUE(REGEXREPLACE($I723, ""\,"", ""."")), """")"),"")</f>
        <v/>
      </c>
      <c r="O723" s="35" t="str">
        <f>IF(Account!$F723&lt;&gt;"", DATEVALUE(MID($A723,4,3) &amp; LEFT($A723,3) &amp; RIGHT($A723,4)) + TIMEVALUE($B723), "")</f>
        <v/>
      </c>
      <c r="P723" s="36" t="str">
        <f>IF(Account!$F723&lt;&gt;"", DATEVALUE(MID($C723,4,3) &amp; LEFT($C723,3) &amp; RIGHT($C723,4)), "")</f>
        <v/>
      </c>
      <c r="Q723" s="37" t="str">
        <f t="array" ref="Q723">IF($R723&lt;&gt;"",IFERROR(INDEX(ISIN!$B:$B,MATCH($R723,ISIN!$C:$C,0))),)</f>
        <v/>
      </c>
      <c r="R723" s="38" t="str">
        <f t="array" ref="R723">IF($E723&lt;&gt;"",IFERROR(INDEX(ISIN!$C:$C,MATCH($E723,ISIN!$A:$A,0)),IFERROR(INDEX($R724:$R1200,MATCH($K723,$K724:$K1200,0)))),IF(AND($Y723="change",$H723="EUR"),IF($O723=$O724,$R724,IF($O723=$O722,$R722)),IFERROR(INDEX($R724:$R1200,MATCH(SUBSTITUTE($I723,"-","",1),$K724:$K1200,0)))))</f>
        <v/>
      </c>
      <c r="S723" s="37" t="str">
        <f t="shared" si="1"/>
        <v/>
      </c>
      <c r="T723" s="39" t="str">
        <f t="shared" si="2"/>
        <v/>
      </c>
      <c r="U723" s="40" t="str">
        <f t="shared" si="3"/>
        <v/>
      </c>
      <c r="V723" s="34" t="str">
        <f t="shared" si="4"/>
        <v/>
      </c>
      <c r="W723" s="41" t="str">
        <f>IFERROR(__xludf.DUMMYFUNCTION(" IF(Account!$F723&lt;&gt;"""", SPLIT(Account!$F723, "" ""), """")"),"")</f>
        <v/>
      </c>
      <c r="X723" s="42"/>
      <c r="Y723" s="42"/>
      <c r="Z723" s="42"/>
      <c r="AA723" s="42"/>
      <c r="AB723" s="42"/>
      <c r="AC723" s="42"/>
      <c r="AD723" s="42"/>
      <c r="AE723" s="42"/>
      <c r="AF723" s="42"/>
      <c r="AG723" s="42"/>
      <c r="AH723" s="42"/>
      <c r="AI723" s="42"/>
      <c r="AJ723" s="42"/>
      <c r="AK723" s="42"/>
    </row>
    <row r="724">
      <c r="A724" s="20"/>
      <c r="B724" s="20"/>
      <c r="C724" s="20"/>
      <c r="D724" s="45"/>
      <c r="E724" s="45"/>
      <c r="F724" s="21"/>
      <c r="G724" s="20"/>
      <c r="H724" s="20"/>
      <c r="I724" s="20"/>
      <c r="J724" s="20"/>
      <c r="K724" s="20"/>
      <c r="L724" s="46"/>
      <c r="M724" s="33" t="str">
        <f>IFERROR(__xludf.DUMMYFUNCTION("IFS(W724=""Achat"",IFERROR(VALUE(X724),VALUE(REGEXREPLACE(T(X724),""[^0-9]"",""""))),W724=""Vente"",-IFERROR(VALUE(X724),VALUE(REGEXREPLACE(T(X724),""[^0-9]"",""""))),Y724=""Change"",0,Y724&lt;&gt;""Change"","""")"),"")</f>
        <v/>
      </c>
      <c r="N724" s="34" t="str">
        <f>IFERROR(__xludf.DUMMYFUNCTION("IF(Account!$F724&lt;&gt;"""", VALUE(REGEXREPLACE($I724, ""\,"", ""."")), """")"),"")</f>
        <v/>
      </c>
      <c r="O724" s="35" t="str">
        <f>IF(Account!$F724&lt;&gt;"", DATEVALUE(MID($A724,4,3) &amp; LEFT($A724,3) &amp; RIGHT($A724,4)) + TIMEVALUE($B724), "")</f>
        <v/>
      </c>
      <c r="P724" s="36" t="str">
        <f>IF(Account!$F724&lt;&gt;"", DATEVALUE(MID($C724,4,3) &amp; LEFT($C724,3) &amp; RIGHT($C724,4)), "")</f>
        <v/>
      </c>
      <c r="Q724" s="37" t="str">
        <f t="array" ref="Q724">IF($R724&lt;&gt;"",IFERROR(INDEX(ISIN!$B:$B,MATCH($R724,ISIN!$C:$C,0))),)</f>
        <v/>
      </c>
      <c r="R724" s="38" t="str">
        <f t="array" ref="R724">IF($E724&lt;&gt;"",IFERROR(INDEX(ISIN!$C:$C,MATCH($E724,ISIN!$A:$A,0)),IFERROR(INDEX($R725:$R1200,MATCH($K724,$K725:$K1200,0)))),IF(AND($Y724="change",$H724="EUR"),IF($O724=$O725,$R725,IF($O724=$O723,$R723)),IFERROR(INDEX($R725:$R1200,MATCH(SUBSTITUTE($I724,"-","",1),$K725:$K1200,0)))))</f>
        <v/>
      </c>
      <c r="S724" s="37" t="str">
        <f t="shared" si="1"/>
        <v/>
      </c>
      <c r="T724" s="39" t="str">
        <f t="shared" si="2"/>
        <v/>
      </c>
      <c r="U724" s="40" t="str">
        <f t="shared" si="3"/>
        <v/>
      </c>
      <c r="V724" s="34" t="str">
        <f t="shared" si="4"/>
        <v/>
      </c>
      <c r="W724" s="41" t="str">
        <f>IFERROR(__xludf.DUMMYFUNCTION(" IF(Account!$F724&lt;&gt;"""", SPLIT(Account!$F724, "" ""), """")"),"")</f>
        <v/>
      </c>
      <c r="X724" s="42"/>
      <c r="Y724" s="42"/>
      <c r="Z724" s="42"/>
      <c r="AA724" s="42"/>
      <c r="AB724" s="42"/>
      <c r="AC724" s="42"/>
      <c r="AD724" s="42"/>
      <c r="AE724" s="42"/>
      <c r="AF724" s="42"/>
      <c r="AG724" s="42"/>
      <c r="AH724" s="42"/>
      <c r="AI724" s="42"/>
      <c r="AJ724" s="42"/>
      <c r="AK724" s="42"/>
    </row>
    <row r="725">
      <c r="A725" s="20"/>
      <c r="B725" s="20"/>
      <c r="C725" s="20"/>
      <c r="D725" s="20"/>
      <c r="E725" s="20"/>
      <c r="F725" s="21"/>
      <c r="G725" s="45"/>
      <c r="H725" s="20"/>
      <c r="I725" s="20"/>
      <c r="J725" s="20"/>
      <c r="K725" s="20"/>
      <c r="L725" s="46"/>
      <c r="M725" s="33" t="str">
        <f>IFERROR(__xludf.DUMMYFUNCTION("IFS(W725=""Achat"",IFERROR(VALUE(X725),VALUE(REGEXREPLACE(T(X725),""[^0-9]"",""""))),W725=""Vente"",-IFERROR(VALUE(X725),VALUE(REGEXREPLACE(T(X725),""[^0-9]"",""""))),Y725=""Change"",0,Y725&lt;&gt;""Change"","""")"),"")</f>
        <v/>
      </c>
      <c r="N725" s="34" t="str">
        <f>IFERROR(__xludf.DUMMYFUNCTION("IF(Account!$F725&lt;&gt;"""", VALUE(REGEXREPLACE($I725, ""\,"", ""."")), """")"),"")</f>
        <v/>
      </c>
      <c r="O725" s="35" t="str">
        <f>IF(Account!$F725&lt;&gt;"", DATEVALUE(MID($A725,4,3) &amp; LEFT($A725,3) &amp; RIGHT($A725,4)) + TIMEVALUE($B725), "")</f>
        <v/>
      </c>
      <c r="P725" s="36" t="str">
        <f>IF(Account!$F725&lt;&gt;"", DATEVALUE(MID($C725,4,3) &amp; LEFT($C725,3) &amp; RIGHT($C725,4)), "")</f>
        <v/>
      </c>
      <c r="Q725" s="37" t="str">
        <f t="array" ref="Q725">IF($R725&lt;&gt;"",IFERROR(INDEX(ISIN!$B:$B,MATCH($R725,ISIN!$C:$C,0))),)</f>
        <v/>
      </c>
      <c r="R725" s="38" t="str">
        <f t="array" ref="R725">IF($E725&lt;&gt;"",IFERROR(INDEX(ISIN!$C:$C,MATCH($E725,ISIN!$A:$A,0)),IFERROR(INDEX($R726:$R1200,MATCH($K725,$K726:$K1200,0)))),IF(AND($Y725="change",$H725="EUR"),IF($O725=$O726,$R726,IF($O725=$O724,$R724)),IFERROR(INDEX($R726:$R1200,MATCH(SUBSTITUTE($I725,"-","",1),$K726:$K1200,0)))))</f>
        <v/>
      </c>
      <c r="S725" s="37" t="str">
        <f t="shared" si="1"/>
        <v/>
      </c>
      <c r="T725" s="39" t="str">
        <f t="shared" si="2"/>
        <v/>
      </c>
      <c r="U725" s="40" t="str">
        <f t="shared" si="3"/>
        <v/>
      </c>
      <c r="V725" s="34" t="str">
        <f t="shared" si="4"/>
        <v/>
      </c>
      <c r="W725" s="41" t="str">
        <f>IFERROR(__xludf.DUMMYFUNCTION(" IF(Account!$F725&lt;&gt;"""", SPLIT(Account!$F725, "" ""), """")"),"")</f>
        <v/>
      </c>
      <c r="X725" s="42"/>
      <c r="Y725" s="42"/>
      <c r="Z725" s="42"/>
      <c r="AA725" s="42"/>
      <c r="AB725" s="42"/>
      <c r="AC725" s="42"/>
      <c r="AD725" s="42"/>
      <c r="AE725" s="42"/>
      <c r="AF725" s="42"/>
      <c r="AG725" s="42"/>
      <c r="AH725" s="42"/>
      <c r="AI725" s="42"/>
      <c r="AJ725" s="42"/>
      <c r="AK725" s="42"/>
    </row>
    <row r="726">
      <c r="A726" s="20"/>
      <c r="B726" s="20"/>
      <c r="C726" s="20"/>
      <c r="D726" s="20"/>
      <c r="E726" s="20"/>
      <c r="F726" s="21"/>
      <c r="G726" s="45"/>
      <c r="H726" s="20"/>
      <c r="I726" s="20"/>
      <c r="J726" s="20"/>
      <c r="K726" s="20"/>
      <c r="L726" s="21"/>
      <c r="M726" s="33" t="str">
        <f>IFERROR(__xludf.DUMMYFUNCTION("IFS(W726=""Achat"",IFERROR(VALUE(X726),VALUE(REGEXREPLACE(T(X726),""[^0-9]"",""""))),W726=""Vente"",-IFERROR(VALUE(X726),VALUE(REGEXREPLACE(T(X726),""[^0-9]"",""""))),Y726=""Change"",0,Y726&lt;&gt;""Change"","""")"),"")</f>
        <v/>
      </c>
      <c r="N726" s="34" t="str">
        <f>IFERROR(__xludf.DUMMYFUNCTION("IF(Account!$F726&lt;&gt;"""", VALUE(REGEXREPLACE($I726, ""\,"", ""."")), """")"),"")</f>
        <v/>
      </c>
      <c r="O726" s="35" t="str">
        <f>IF(Account!$F726&lt;&gt;"", DATEVALUE(MID($A726,4,3) &amp; LEFT($A726,3) &amp; RIGHT($A726,4)) + TIMEVALUE($B726), "")</f>
        <v/>
      </c>
      <c r="P726" s="36" t="str">
        <f>IF(Account!$F726&lt;&gt;"", DATEVALUE(MID($C726,4,3) &amp; LEFT($C726,3) &amp; RIGHT($C726,4)), "")</f>
        <v/>
      </c>
      <c r="Q726" s="37" t="str">
        <f t="array" ref="Q726">IF($R726&lt;&gt;"",IFERROR(INDEX(ISIN!$B:$B,MATCH($R726,ISIN!$C:$C,0))),)</f>
        <v/>
      </c>
      <c r="R726" s="38" t="str">
        <f t="array" ref="R726">IF($E726&lt;&gt;"",IFERROR(INDEX(ISIN!$C:$C,MATCH($E726,ISIN!$A:$A,0)),IFERROR(INDEX($R727:$R1200,MATCH($K726,$K727:$K1200,0)))),IF(AND($Y726="change",$H726="EUR"),IF($O726=$O727,$R727,IF($O726=$O725,$R725)),IFERROR(INDEX($R727:$R1200,MATCH(SUBSTITUTE($I726,"-","",1),$K727:$K1200,0)))))</f>
        <v/>
      </c>
      <c r="S726" s="37" t="str">
        <f t="shared" si="1"/>
        <v/>
      </c>
      <c r="T726" s="39" t="str">
        <f t="shared" si="2"/>
        <v/>
      </c>
      <c r="U726" s="40" t="str">
        <f t="shared" si="3"/>
        <v/>
      </c>
      <c r="V726" s="34" t="str">
        <f t="shared" si="4"/>
        <v/>
      </c>
      <c r="W726" s="41" t="str">
        <f>IFERROR(__xludf.DUMMYFUNCTION(" IF(Account!$F726&lt;&gt;"""", SPLIT(Account!$F726, "" ""), """")"),"")</f>
        <v/>
      </c>
      <c r="X726" s="42"/>
      <c r="Y726" s="42"/>
      <c r="Z726" s="42"/>
      <c r="AA726" s="42"/>
      <c r="AB726" s="42"/>
      <c r="AC726" s="42"/>
      <c r="AD726" s="42"/>
      <c r="AE726" s="42"/>
      <c r="AF726" s="42"/>
      <c r="AG726" s="42"/>
      <c r="AH726" s="42"/>
      <c r="AI726" s="42"/>
      <c r="AJ726" s="42"/>
      <c r="AK726" s="42"/>
    </row>
    <row r="727">
      <c r="A727" s="20"/>
      <c r="B727" s="20"/>
      <c r="C727" s="20"/>
      <c r="D727" s="20"/>
      <c r="E727" s="20"/>
      <c r="F727" s="21"/>
      <c r="G727" s="45"/>
      <c r="H727" s="20"/>
      <c r="I727" s="20"/>
      <c r="J727" s="20"/>
      <c r="K727" s="20"/>
      <c r="L727" s="21"/>
      <c r="M727" s="33" t="str">
        <f>IFERROR(__xludf.DUMMYFUNCTION("IFS(W727=""Achat"",IFERROR(VALUE(X727),VALUE(REGEXREPLACE(T(X727),""[^0-9]"",""""))),W727=""Vente"",-IFERROR(VALUE(X727),VALUE(REGEXREPLACE(T(X727),""[^0-9]"",""""))),Y727=""Change"",0,Y727&lt;&gt;""Change"","""")"),"")</f>
        <v/>
      </c>
      <c r="N727" s="34" t="str">
        <f>IFERROR(__xludf.DUMMYFUNCTION("IF(Account!$F727&lt;&gt;"""", VALUE(REGEXREPLACE($I727, ""\,"", ""."")), """")"),"")</f>
        <v/>
      </c>
      <c r="O727" s="35" t="str">
        <f>IF(Account!$F727&lt;&gt;"", DATEVALUE(MID($A727,4,3) &amp; LEFT($A727,3) &amp; RIGHT($A727,4)) + TIMEVALUE($B727), "")</f>
        <v/>
      </c>
      <c r="P727" s="36" t="str">
        <f>IF(Account!$F727&lt;&gt;"", DATEVALUE(MID($C727,4,3) &amp; LEFT($C727,3) &amp; RIGHT($C727,4)), "")</f>
        <v/>
      </c>
      <c r="Q727" s="37" t="str">
        <f t="array" ref="Q727">IF($R727&lt;&gt;"",IFERROR(INDEX(ISIN!$B:$B,MATCH($R727,ISIN!$C:$C,0))),)</f>
        <v/>
      </c>
      <c r="R727" s="38" t="str">
        <f t="array" ref="R727">IF($E727&lt;&gt;"",IFERROR(INDEX(ISIN!$C:$C,MATCH($E727,ISIN!$A:$A,0)),IFERROR(INDEX($R728:$R1200,MATCH($K727,$K728:$K1200,0)))),IF(AND($Y727="change",$H727="EUR"),IF($O727=$O728,$R728,IF($O727=$O726,$R726)),IFERROR(INDEX($R728:$R1200,MATCH(SUBSTITUTE($I727,"-","",1),$K728:$K1200,0)))))</f>
        <v/>
      </c>
      <c r="S727" s="37" t="str">
        <f t="shared" si="1"/>
        <v/>
      </c>
      <c r="T727" s="39" t="str">
        <f t="shared" si="2"/>
        <v/>
      </c>
      <c r="U727" s="40" t="str">
        <f t="shared" si="3"/>
        <v/>
      </c>
      <c r="V727" s="34" t="str">
        <f t="shared" si="4"/>
        <v/>
      </c>
      <c r="W727" s="41" t="str">
        <f>IFERROR(__xludf.DUMMYFUNCTION(" IF(Account!$F727&lt;&gt;"""", SPLIT(Account!$F727, "" ""), """")"),"")</f>
        <v/>
      </c>
      <c r="X727" s="42"/>
      <c r="Y727" s="42"/>
      <c r="Z727" s="42"/>
      <c r="AA727" s="42"/>
      <c r="AB727" s="42"/>
      <c r="AC727" s="42"/>
      <c r="AD727" s="42"/>
      <c r="AE727" s="42"/>
      <c r="AF727" s="42"/>
      <c r="AG727" s="42"/>
      <c r="AH727" s="42"/>
      <c r="AI727" s="42"/>
      <c r="AJ727" s="42"/>
      <c r="AK727" s="42"/>
    </row>
    <row r="728">
      <c r="A728" s="20"/>
      <c r="B728" s="20"/>
      <c r="C728" s="20"/>
      <c r="D728" s="20"/>
      <c r="E728" s="20"/>
      <c r="F728" s="21"/>
      <c r="G728" s="45"/>
      <c r="H728" s="20"/>
      <c r="I728" s="20"/>
      <c r="J728" s="20"/>
      <c r="K728" s="20"/>
      <c r="L728" s="21"/>
      <c r="M728" s="33" t="str">
        <f>IFERROR(__xludf.DUMMYFUNCTION("IFS(W728=""Achat"",IFERROR(VALUE(X728),VALUE(REGEXREPLACE(T(X728),""[^0-9]"",""""))),W728=""Vente"",-IFERROR(VALUE(X728),VALUE(REGEXREPLACE(T(X728),""[^0-9]"",""""))),Y728=""Change"",0,Y728&lt;&gt;""Change"","""")"),"")</f>
        <v/>
      </c>
      <c r="N728" s="34" t="str">
        <f>IFERROR(__xludf.DUMMYFUNCTION("IF(Account!$F728&lt;&gt;"""", VALUE(REGEXREPLACE($I728, ""\,"", ""."")), """")"),"")</f>
        <v/>
      </c>
      <c r="O728" s="35" t="str">
        <f>IF(Account!$F728&lt;&gt;"", DATEVALUE(MID($A728,4,3) &amp; LEFT($A728,3) &amp; RIGHT($A728,4)) + TIMEVALUE($B728), "")</f>
        <v/>
      </c>
      <c r="P728" s="36" t="str">
        <f>IF(Account!$F728&lt;&gt;"", DATEVALUE(MID($C728,4,3) &amp; LEFT($C728,3) &amp; RIGHT($C728,4)), "")</f>
        <v/>
      </c>
      <c r="Q728" s="37" t="str">
        <f t="array" ref="Q728">IF($R728&lt;&gt;"",IFERROR(INDEX(ISIN!$B:$B,MATCH($R728,ISIN!$C:$C,0))),)</f>
        <v/>
      </c>
      <c r="R728" s="38" t="str">
        <f t="array" ref="R728">IF($E728&lt;&gt;"",IFERROR(INDEX(ISIN!$C:$C,MATCH($E728,ISIN!$A:$A,0)),IFERROR(INDEX($R729:$R1200,MATCH($K728,$K729:$K1200,0)))),IF(AND($Y728="change",$H728="EUR"),IF($O728=$O729,$R729,IF($O728=$O727,$R727)),IFERROR(INDEX($R729:$R1200,MATCH(SUBSTITUTE($I728,"-","",1),$K729:$K1200,0)))))</f>
        <v/>
      </c>
      <c r="S728" s="37" t="str">
        <f t="shared" si="1"/>
        <v/>
      </c>
      <c r="T728" s="39" t="str">
        <f t="shared" si="2"/>
        <v/>
      </c>
      <c r="U728" s="40" t="str">
        <f t="shared" si="3"/>
        <v/>
      </c>
      <c r="V728" s="34" t="str">
        <f t="shared" si="4"/>
        <v/>
      </c>
      <c r="W728" s="41" t="str">
        <f>IFERROR(__xludf.DUMMYFUNCTION(" IF(Account!$F728&lt;&gt;"""", SPLIT(Account!$F728, "" ""), """")"),"")</f>
        <v/>
      </c>
      <c r="X728" s="42"/>
      <c r="Y728" s="42"/>
      <c r="Z728" s="42"/>
      <c r="AA728" s="42"/>
      <c r="AB728" s="42"/>
      <c r="AC728" s="42"/>
      <c r="AD728" s="42"/>
      <c r="AE728" s="42"/>
      <c r="AF728" s="42"/>
      <c r="AG728" s="42"/>
      <c r="AH728" s="42"/>
      <c r="AI728" s="42"/>
      <c r="AJ728" s="42"/>
      <c r="AK728" s="42"/>
    </row>
    <row r="729">
      <c r="A729" s="20"/>
      <c r="B729" s="20"/>
      <c r="C729" s="20"/>
      <c r="D729" s="20"/>
      <c r="E729" s="20"/>
      <c r="F729" s="21"/>
      <c r="G729" s="45"/>
      <c r="H729" s="20"/>
      <c r="I729" s="20"/>
      <c r="J729" s="20"/>
      <c r="K729" s="20"/>
      <c r="L729" s="21"/>
      <c r="M729" s="33" t="str">
        <f>IFERROR(__xludf.DUMMYFUNCTION("IFS(W729=""Achat"",IFERROR(VALUE(X729),VALUE(REGEXREPLACE(T(X729),""[^0-9]"",""""))),W729=""Vente"",-IFERROR(VALUE(X729),VALUE(REGEXREPLACE(T(X729),""[^0-9]"",""""))),Y729=""Change"",0,Y729&lt;&gt;""Change"","""")"),"")</f>
        <v/>
      </c>
      <c r="N729" s="34" t="str">
        <f>IFERROR(__xludf.DUMMYFUNCTION("IF(Account!$F729&lt;&gt;"""", VALUE(REGEXREPLACE($I729, ""\,"", ""."")), """")"),"")</f>
        <v/>
      </c>
      <c r="O729" s="35" t="str">
        <f>IF(Account!$F729&lt;&gt;"", DATEVALUE(MID($A729,4,3) &amp; LEFT($A729,3) &amp; RIGHT($A729,4)) + TIMEVALUE($B729), "")</f>
        <v/>
      </c>
      <c r="P729" s="36" t="str">
        <f>IF(Account!$F729&lt;&gt;"", DATEVALUE(MID($C729,4,3) &amp; LEFT($C729,3) &amp; RIGHT($C729,4)), "")</f>
        <v/>
      </c>
      <c r="Q729" s="37" t="str">
        <f t="array" ref="Q729">IF($R729&lt;&gt;"",IFERROR(INDEX(ISIN!$B:$B,MATCH($R729,ISIN!$C:$C,0))),)</f>
        <v/>
      </c>
      <c r="R729" s="38" t="str">
        <f t="array" ref="R729">IF($E729&lt;&gt;"",IFERROR(INDEX(ISIN!$C:$C,MATCH($E729,ISIN!$A:$A,0)),IFERROR(INDEX($R730:$R1200,MATCH($K729,$K730:$K1200,0)))),IF(AND($Y729="change",$H729="EUR"),IF($O729=$O730,$R730,IF($O729=$O728,$R728)),IFERROR(INDEX($R730:$R1200,MATCH(SUBSTITUTE($I729,"-","",1),$K730:$K1200,0)))))</f>
        <v/>
      </c>
      <c r="S729" s="37" t="str">
        <f t="shared" si="1"/>
        <v/>
      </c>
      <c r="T729" s="39" t="str">
        <f t="shared" si="2"/>
        <v/>
      </c>
      <c r="U729" s="40" t="str">
        <f t="shared" si="3"/>
        <v/>
      </c>
      <c r="V729" s="34" t="str">
        <f t="shared" si="4"/>
        <v/>
      </c>
      <c r="W729" s="41" t="str">
        <f>IFERROR(__xludf.DUMMYFUNCTION(" IF(Account!$F729&lt;&gt;"""", SPLIT(Account!$F729, "" ""), """")"),"")</f>
        <v/>
      </c>
      <c r="X729" s="42"/>
      <c r="Y729" s="42"/>
      <c r="Z729" s="42"/>
      <c r="AA729" s="42"/>
      <c r="AB729" s="42"/>
      <c r="AC729" s="42"/>
      <c r="AD729" s="42"/>
      <c r="AE729" s="42"/>
      <c r="AF729" s="42"/>
      <c r="AG729" s="42"/>
      <c r="AH729" s="42"/>
      <c r="AI729" s="42"/>
      <c r="AJ729" s="42"/>
      <c r="AK729" s="42"/>
    </row>
    <row r="730">
      <c r="A730" s="20"/>
      <c r="B730" s="20"/>
      <c r="C730" s="20"/>
      <c r="D730" s="20"/>
      <c r="E730" s="20"/>
      <c r="F730" s="21"/>
      <c r="G730" s="45"/>
      <c r="H730" s="20"/>
      <c r="I730" s="20"/>
      <c r="J730" s="20"/>
      <c r="K730" s="20"/>
      <c r="L730" s="21"/>
      <c r="M730" s="33" t="str">
        <f>IFERROR(__xludf.DUMMYFUNCTION("IFS(W730=""Achat"",IFERROR(VALUE(X730),VALUE(REGEXREPLACE(T(X730),""[^0-9]"",""""))),W730=""Vente"",-IFERROR(VALUE(X730),VALUE(REGEXREPLACE(T(X730),""[^0-9]"",""""))),Y730=""Change"",0,Y730&lt;&gt;""Change"","""")"),"")</f>
        <v/>
      </c>
      <c r="N730" s="34" t="str">
        <f>IFERROR(__xludf.DUMMYFUNCTION("IF(Account!$F730&lt;&gt;"""", VALUE(REGEXREPLACE($I730, ""\,"", ""."")), """")"),"")</f>
        <v/>
      </c>
      <c r="O730" s="35" t="str">
        <f>IF(Account!$F730&lt;&gt;"", DATEVALUE(MID($A730,4,3) &amp; LEFT($A730,3) &amp; RIGHT($A730,4)) + TIMEVALUE($B730), "")</f>
        <v/>
      </c>
      <c r="P730" s="36" t="str">
        <f>IF(Account!$F730&lt;&gt;"", DATEVALUE(MID($C730,4,3) &amp; LEFT($C730,3) &amp; RIGHT($C730,4)), "")</f>
        <v/>
      </c>
      <c r="Q730" s="37" t="str">
        <f t="array" ref="Q730">IF($R730&lt;&gt;"",IFERROR(INDEX(ISIN!$B:$B,MATCH($R730,ISIN!$C:$C,0))),)</f>
        <v/>
      </c>
      <c r="R730" s="38" t="str">
        <f t="array" ref="R730">IF($E730&lt;&gt;"",IFERROR(INDEX(ISIN!$C:$C,MATCH($E730,ISIN!$A:$A,0)),IFERROR(INDEX($R731:$R1200,MATCH($K730,$K731:$K1200,0)))),IF(AND($Y730="change",$H730="EUR"),IF($O730=$O731,$R731,IF($O730=$O729,$R729)),IFERROR(INDEX($R731:$R1200,MATCH(SUBSTITUTE($I730,"-","",1),$K731:$K1200,0)))))</f>
        <v/>
      </c>
      <c r="S730" s="37" t="str">
        <f t="shared" si="1"/>
        <v/>
      </c>
      <c r="T730" s="39" t="str">
        <f t="shared" si="2"/>
        <v/>
      </c>
      <c r="U730" s="40" t="str">
        <f t="shared" si="3"/>
        <v/>
      </c>
      <c r="V730" s="34" t="str">
        <f t="shared" si="4"/>
        <v/>
      </c>
      <c r="W730" s="41" t="str">
        <f>IFERROR(__xludf.DUMMYFUNCTION(" IF(Account!$F730&lt;&gt;"""", SPLIT(Account!$F730, "" ""), """")"),"")</f>
        <v/>
      </c>
      <c r="X730" s="42"/>
      <c r="Y730" s="42"/>
      <c r="Z730" s="42"/>
      <c r="AA730" s="42"/>
      <c r="AB730" s="42"/>
      <c r="AC730" s="42"/>
      <c r="AD730" s="42"/>
      <c r="AE730" s="42"/>
      <c r="AF730" s="42"/>
      <c r="AG730" s="42"/>
      <c r="AH730" s="42"/>
      <c r="AI730" s="42"/>
      <c r="AJ730" s="42"/>
      <c r="AK730" s="42"/>
    </row>
    <row r="731">
      <c r="A731" s="20"/>
      <c r="B731" s="20"/>
      <c r="C731" s="20"/>
      <c r="D731" s="20"/>
      <c r="E731" s="20"/>
      <c r="F731" s="21"/>
      <c r="G731" s="45"/>
      <c r="H731" s="20"/>
      <c r="I731" s="20"/>
      <c r="J731" s="20"/>
      <c r="K731" s="20"/>
      <c r="L731" s="21"/>
      <c r="M731" s="33" t="str">
        <f>IFERROR(__xludf.DUMMYFUNCTION("IFS(W731=""Achat"",IFERROR(VALUE(X731),VALUE(REGEXREPLACE(T(X731),""[^0-9]"",""""))),W731=""Vente"",-IFERROR(VALUE(X731),VALUE(REGEXREPLACE(T(X731),""[^0-9]"",""""))),Y731=""Change"",0,Y731&lt;&gt;""Change"","""")"),"")</f>
        <v/>
      </c>
      <c r="N731" s="34" t="str">
        <f>IFERROR(__xludf.DUMMYFUNCTION("IF(Account!$F731&lt;&gt;"""", VALUE(REGEXREPLACE($I731, ""\,"", ""."")), """")"),"")</f>
        <v/>
      </c>
      <c r="O731" s="35" t="str">
        <f>IF(Account!$F731&lt;&gt;"", DATEVALUE(MID($A731,4,3) &amp; LEFT($A731,3) &amp; RIGHT($A731,4)) + TIMEVALUE($B731), "")</f>
        <v/>
      </c>
      <c r="P731" s="36" t="str">
        <f>IF(Account!$F731&lt;&gt;"", DATEVALUE(MID($C731,4,3) &amp; LEFT($C731,3) &amp; RIGHT($C731,4)), "")</f>
        <v/>
      </c>
      <c r="Q731" s="37" t="str">
        <f t="array" ref="Q731">IF($R731&lt;&gt;"",IFERROR(INDEX(ISIN!$B:$B,MATCH($R731,ISIN!$C:$C,0))),)</f>
        <v/>
      </c>
      <c r="R731" s="38" t="str">
        <f t="array" ref="R731">IF($E731&lt;&gt;"",IFERROR(INDEX(ISIN!$C:$C,MATCH($E731,ISIN!$A:$A,0)),IFERROR(INDEX($R732:$R1200,MATCH($K731,$K732:$K1200,0)))),IF(AND($Y731="change",$H731="EUR"),IF($O731=$O732,$R732,IF($O731=$O730,$R730)),IFERROR(INDEX($R732:$R1200,MATCH(SUBSTITUTE($I731,"-","",1),$K732:$K1200,0)))))</f>
        <v/>
      </c>
      <c r="S731" s="37" t="str">
        <f t="shared" si="1"/>
        <v/>
      </c>
      <c r="T731" s="39" t="str">
        <f t="shared" si="2"/>
        <v/>
      </c>
      <c r="U731" s="40" t="str">
        <f t="shared" si="3"/>
        <v/>
      </c>
      <c r="V731" s="34" t="str">
        <f t="shared" si="4"/>
        <v/>
      </c>
      <c r="W731" s="41" t="str">
        <f>IFERROR(__xludf.DUMMYFUNCTION(" IF(Account!$F731&lt;&gt;"""", SPLIT(Account!$F731, "" ""), """")"),"")</f>
        <v/>
      </c>
      <c r="X731" s="42"/>
      <c r="Y731" s="42"/>
      <c r="Z731" s="42"/>
      <c r="AA731" s="42"/>
      <c r="AB731" s="42"/>
      <c r="AC731" s="42"/>
      <c r="AD731" s="42"/>
      <c r="AE731" s="42"/>
      <c r="AF731" s="42"/>
      <c r="AG731" s="42"/>
      <c r="AH731" s="42"/>
      <c r="AI731" s="42"/>
      <c r="AJ731" s="42"/>
      <c r="AK731" s="42"/>
    </row>
    <row r="732">
      <c r="A732" s="20"/>
      <c r="B732" s="20"/>
      <c r="C732" s="20"/>
      <c r="D732" s="20"/>
      <c r="E732" s="20"/>
      <c r="F732" s="21"/>
      <c r="G732" s="45"/>
      <c r="H732" s="20"/>
      <c r="I732" s="20"/>
      <c r="J732" s="20"/>
      <c r="K732" s="20"/>
      <c r="L732" s="21"/>
      <c r="M732" s="33" t="str">
        <f>IFERROR(__xludf.DUMMYFUNCTION("IFS(W732=""Achat"",IFERROR(VALUE(X732),VALUE(REGEXREPLACE(T(X732),""[^0-9]"",""""))),W732=""Vente"",-IFERROR(VALUE(X732),VALUE(REGEXREPLACE(T(X732),""[^0-9]"",""""))),Y732=""Change"",0,Y732&lt;&gt;""Change"","""")"),"")</f>
        <v/>
      </c>
      <c r="N732" s="34" t="str">
        <f>IFERROR(__xludf.DUMMYFUNCTION("IF(Account!$F732&lt;&gt;"""", VALUE(REGEXREPLACE($I732, ""\,"", ""."")), """")"),"")</f>
        <v/>
      </c>
      <c r="O732" s="35" t="str">
        <f>IF(Account!$F732&lt;&gt;"", DATEVALUE(MID($A732,4,3) &amp; LEFT($A732,3) &amp; RIGHT($A732,4)) + TIMEVALUE($B732), "")</f>
        <v/>
      </c>
      <c r="P732" s="36" t="str">
        <f>IF(Account!$F732&lt;&gt;"", DATEVALUE(MID($C732,4,3) &amp; LEFT($C732,3) &amp; RIGHT($C732,4)), "")</f>
        <v/>
      </c>
      <c r="Q732" s="37" t="str">
        <f t="array" ref="Q732">IF($R732&lt;&gt;"",IFERROR(INDEX(ISIN!$B:$B,MATCH($R732,ISIN!$C:$C,0))),)</f>
        <v/>
      </c>
      <c r="R732" s="38" t="str">
        <f t="array" ref="R732">IF($E732&lt;&gt;"",IFERROR(INDEX(ISIN!$C:$C,MATCH($E732,ISIN!$A:$A,0)),IFERROR(INDEX($R733:$R1200,MATCH($K732,$K733:$K1200,0)))),IF(AND($Y732="change",$H732="EUR"),IF($O732=$O733,$R733,IF($O732=$O731,$R731)),IFERROR(INDEX($R733:$R1200,MATCH(SUBSTITUTE($I732,"-","",1),$K733:$K1200,0)))))</f>
        <v/>
      </c>
      <c r="S732" s="37" t="str">
        <f t="shared" si="1"/>
        <v/>
      </c>
      <c r="T732" s="39" t="str">
        <f t="shared" si="2"/>
        <v/>
      </c>
      <c r="U732" s="40" t="str">
        <f t="shared" si="3"/>
        <v/>
      </c>
      <c r="V732" s="34" t="str">
        <f t="shared" si="4"/>
        <v/>
      </c>
      <c r="W732" s="41" t="str">
        <f>IFERROR(__xludf.DUMMYFUNCTION(" IF(Account!$F732&lt;&gt;"""", SPLIT(Account!$F732, "" ""), """")"),"")</f>
        <v/>
      </c>
      <c r="X732" s="42"/>
      <c r="Y732" s="42"/>
      <c r="Z732" s="42"/>
      <c r="AA732" s="42"/>
      <c r="AB732" s="42"/>
      <c r="AC732" s="42"/>
      <c r="AD732" s="42"/>
      <c r="AE732" s="42"/>
      <c r="AF732" s="42"/>
      <c r="AG732" s="42"/>
      <c r="AH732" s="42"/>
      <c r="AI732" s="42"/>
      <c r="AJ732" s="42"/>
      <c r="AK732" s="42"/>
    </row>
    <row r="733">
      <c r="A733" s="20"/>
      <c r="B733" s="20"/>
      <c r="C733" s="20"/>
      <c r="D733" s="20"/>
      <c r="E733" s="20"/>
      <c r="F733" s="21"/>
      <c r="G733" s="45"/>
      <c r="H733" s="20"/>
      <c r="I733" s="20"/>
      <c r="J733" s="20"/>
      <c r="K733" s="20"/>
      <c r="L733" s="21"/>
      <c r="M733" s="33" t="str">
        <f>IFERROR(__xludf.DUMMYFUNCTION("IFS(W733=""Achat"",IFERROR(VALUE(X733),VALUE(REGEXREPLACE(T(X733),""[^0-9]"",""""))),W733=""Vente"",-IFERROR(VALUE(X733),VALUE(REGEXREPLACE(T(X733),""[^0-9]"",""""))),Y733=""Change"",0,Y733&lt;&gt;""Change"","""")"),"")</f>
        <v/>
      </c>
      <c r="N733" s="34" t="str">
        <f>IFERROR(__xludf.DUMMYFUNCTION("IF(Account!$F733&lt;&gt;"""", VALUE(REGEXREPLACE($I733, ""\,"", ""."")), """")"),"")</f>
        <v/>
      </c>
      <c r="O733" s="35" t="str">
        <f>IF(Account!$F733&lt;&gt;"", DATEVALUE(MID($A733,4,3) &amp; LEFT($A733,3) &amp; RIGHT($A733,4)) + TIMEVALUE($B733), "")</f>
        <v/>
      </c>
      <c r="P733" s="36" t="str">
        <f>IF(Account!$F733&lt;&gt;"", DATEVALUE(MID($C733,4,3) &amp; LEFT($C733,3) &amp; RIGHT($C733,4)), "")</f>
        <v/>
      </c>
      <c r="Q733" s="37" t="str">
        <f t="array" ref="Q733">IF($R733&lt;&gt;"",IFERROR(INDEX(ISIN!$B:$B,MATCH($R733,ISIN!$C:$C,0))),)</f>
        <v/>
      </c>
      <c r="R733" s="38" t="str">
        <f t="array" ref="R733">IF($E733&lt;&gt;"",IFERROR(INDEX(ISIN!$C:$C,MATCH($E733,ISIN!$A:$A,0)),IFERROR(INDEX($R734:$R1200,MATCH($K733,$K734:$K1200,0)))),IF(AND($Y733="change",$H733="EUR"),IF($O733=$O734,$R734,IF($O733=$O732,$R732)),IFERROR(INDEX($R734:$R1200,MATCH(SUBSTITUTE($I733,"-","",1),$K734:$K1200,0)))))</f>
        <v/>
      </c>
      <c r="S733" s="37" t="str">
        <f t="shared" si="1"/>
        <v/>
      </c>
      <c r="T733" s="39" t="str">
        <f t="shared" si="2"/>
        <v/>
      </c>
      <c r="U733" s="40" t="str">
        <f t="shared" si="3"/>
        <v/>
      </c>
      <c r="V733" s="34" t="str">
        <f t="shared" si="4"/>
        <v/>
      </c>
      <c r="W733" s="41" t="str">
        <f>IFERROR(__xludf.DUMMYFUNCTION(" IF(Account!$F733&lt;&gt;"""", SPLIT(Account!$F733, "" ""), """")"),"")</f>
        <v/>
      </c>
      <c r="X733" s="42"/>
      <c r="Y733" s="42"/>
      <c r="Z733" s="42"/>
      <c r="AA733" s="42"/>
      <c r="AB733" s="42"/>
      <c r="AC733" s="42"/>
      <c r="AD733" s="42"/>
      <c r="AE733" s="42"/>
      <c r="AF733" s="42"/>
      <c r="AG733" s="42"/>
      <c r="AH733" s="42"/>
      <c r="AI733" s="42"/>
      <c r="AJ733" s="42"/>
      <c r="AK733" s="42"/>
    </row>
    <row r="734">
      <c r="A734" s="20"/>
      <c r="B734" s="20"/>
      <c r="C734" s="20"/>
      <c r="D734" s="20"/>
      <c r="E734" s="20"/>
      <c r="F734" s="21"/>
      <c r="G734" s="45"/>
      <c r="H734" s="20"/>
      <c r="I734" s="20"/>
      <c r="J734" s="20"/>
      <c r="K734" s="20"/>
      <c r="L734" s="21"/>
      <c r="M734" s="33" t="str">
        <f>IFERROR(__xludf.DUMMYFUNCTION("IFS(W734=""Achat"",IFERROR(VALUE(X734),VALUE(REGEXREPLACE(T(X734),""[^0-9]"",""""))),W734=""Vente"",-IFERROR(VALUE(X734),VALUE(REGEXREPLACE(T(X734),""[^0-9]"",""""))),Y734=""Change"",0,Y734&lt;&gt;""Change"","""")"),"")</f>
        <v/>
      </c>
      <c r="N734" s="34" t="str">
        <f>IFERROR(__xludf.DUMMYFUNCTION("IF(Account!$F734&lt;&gt;"""", VALUE(REGEXREPLACE($I734, ""\,"", ""."")), """")"),"")</f>
        <v/>
      </c>
      <c r="O734" s="35" t="str">
        <f>IF(Account!$F734&lt;&gt;"", DATEVALUE(MID($A734,4,3) &amp; LEFT($A734,3) &amp; RIGHT($A734,4)) + TIMEVALUE($B734), "")</f>
        <v/>
      </c>
      <c r="P734" s="36" t="str">
        <f>IF(Account!$F734&lt;&gt;"", DATEVALUE(MID($C734,4,3) &amp; LEFT($C734,3) &amp; RIGHT($C734,4)), "")</f>
        <v/>
      </c>
      <c r="Q734" s="37" t="str">
        <f t="array" ref="Q734">IF($R734&lt;&gt;"",IFERROR(INDEX(ISIN!$B:$B,MATCH($R734,ISIN!$C:$C,0))),)</f>
        <v/>
      </c>
      <c r="R734" s="38" t="str">
        <f t="array" ref="R734">IF($E734&lt;&gt;"",IFERROR(INDEX(ISIN!$C:$C,MATCH($E734,ISIN!$A:$A,0)),IFERROR(INDEX($R735:$R1200,MATCH($K734,$K735:$K1200,0)))),IF(AND($Y734="change",$H734="EUR"),IF($O734=$O735,$R735,IF($O734=$O733,$R733)),IFERROR(INDEX($R735:$R1200,MATCH(SUBSTITUTE($I734,"-","",1),$K735:$K1200,0)))))</f>
        <v/>
      </c>
      <c r="S734" s="37" t="str">
        <f t="shared" si="1"/>
        <v/>
      </c>
      <c r="T734" s="39" t="str">
        <f t="shared" si="2"/>
        <v/>
      </c>
      <c r="U734" s="40" t="str">
        <f t="shared" si="3"/>
        <v/>
      </c>
      <c r="V734" s="34" t="str">
        <f t="shared" si="4"/>
        <v/>
      </c>
      <c r="W734" s="41" t="str">
        <f>IFERROR(__xludf.DUMMYFUNCTION(" IF(Account!$F734&lt;&gt;"""", SPLIT(Account!$F734, "" ""), """")"),"")</f>
        <v/>
      </c>
      <c r="X734" s="42"/>
      <c r="Y734" s="42"/>
      <c r="Z734" s="42"/>
      <c r="AA734" s="42"/>
      <c r="AB734" s="42"/>
      <c r="AC734" s="42"/>
      <c r="AD734" s="42"/>
      <c r="AE734" s="42"/>
      <c r="AF734" s="42"/>
      <c r="AG734" s="42"/>
      <c r="AH734" s="42"/>
      <c r="AI734" s="42"/>
      <c r="AJ734" s="42"/>
      <c r="AK734" s="42"/>
    </row>
    <row r="735">
      <c r="A735" s="20"/>
      <c r="B735" s="20"/>
      <c r="C735" s="20"/>
      <c r="D735" s="20"/>
      <c r="E735" s="20"/>
      <c r="F735" s="21"/>
      <c r="G735" s="45"/>
      <c r="H735" s="20"/>
      <c r="I735" s="20"/>
      <c r="J735" s="20"/>
      <c r="K735" s="20"/>
      <c r="L735" s="21"/>
      <c r="M735" s="33" t="str">
        <f>IFERROR(__xludf.DUMMYFUNCTION("IFS(W735=""Achat"",IFERROR(VALUE(X735),VALUE(REGEXREPLACE(T(X735),""[^0-9]"",""""))),W735=""Vente"",-IFERROR(VALUE(X735),VALUE(REGEXREPLACE(T(X735),""[^0-9]"",""""))),Y735=""Change"",0,Y735&lt;&gt;""Change"","""")"),"")</f>
        <v/>
      </c>
      <c r="N735" s="34" t="str">
        <f>IFERROR(__xludf.DUMMYFUNCTION("IF(Account!$F735&lt;&gt;"""", VALUE(REGEXREPLACE($I735, ""\,"", ""."")), """")"),"")</f>
        <v/>
      </c>
      <c r="O735" s="35" t="str">
        <f>IF(Account!$F735&lt;&gt;"", DATEVALUE(MID($A735,4,3) &amp; LEFT($A735,3) &amp; RIGHT($A735,4)) + TIMEVALUE($B735), "")</f>
        <v/>
      </c>
      <c r="P735" s="36" t="str">
        <f>IF(Account!$F735&lt;&gt;"", DATEVALUE(MID($C735,4,3) &amp; LEFT($C735,3) &amp; RIGHT($C735,4)), "")</f>
        <v/>
      </c>
      <c r="Q735" s="37" t="str">
        <f t="array" ref="Q735">IF($R735&lt;&gt;"",IFERROR(INDEX(ISIN!$B:$B,MATCH($R735,ISIN!$C:$C,0))),)</f>
        <v/>
      </c>
      <c r="R735" s="38" t="str">
        <f t="array" ref="R735">IF($E735&lt;&gt;"",IFERROR(INDEX(ISIN!$C:$C,MATCH($E735,ISIN!$A:$A,0)),IFERROR(INDEX($R736:$R1200,MATCH($K735,$K736:$K1200,0)))),IF(AND($Y735="change",$H735="EUR"),IF($O735=$O736,$R736,IF($O735=$O734,$R734)),IFERROR(INDEX($R736:$R1200,MATCH(SUBSTITUTE($I735,"-","",1),$K736:$K1200,0)))))</f>
        <v/>
      </c>
      <c r="S735" s="37" t="str">
        <f t="shared" si="1"/>
        <v/>
      </c>
      <c r="T735" s="39" t="str">
        <f t="shared" si="2"/>
        <v/>
      </c>
      <c r="U735" s="40" t="str">
        <f t="shared" si="3"/>
        <v/>
      </c>
      <c r="V735" s="34" t="str">
        <f t="shared" si="4"/>
        <v/>
      </c>
      <c r="W735" s="41" t="str">
        <f>IFERROR(__xludf.DUMMYFUNCTION(" IF(Account!$F735&lt;&gt;"""", SPLIT(Account!$F735, "" ""), """")"),"")</f>
        <v/>
      </c>
      <c r="X735" s="42"/>
      <c r="Y735" s="42"/>
      <c r="Z735" s="42"/>
      <c r="AA735" s="42"/>
      <c r="AB735" s="42"/>
      <c r="AC735" s="42"/>
      <c r="AD735" s="42"/>
      <c r="AE735" s="42"/>
      <c r="AF735" s="42"/>
      <c r="AG735" s="42"/>
      <c r="AH735" s="42"/>
      <c r="AI735" s="42"/>
      <c r="AJ735" s="42"/>
      <c r="AK735" s="42"/>
    </row>
    <row r="736">
      <c r="A736" s="20"/>
      <c r="B736" s="20"/>
      <c r="C736" s="20"/>
      <c r="D736" s="20"/>
      <c r="E736" s="20"/>
      <c r="F736" s="21"/>
      <c r="G736" s="45"/>
      <c r="H736" s="20"/>
      <c r="I736" s="20"/>
      <c r="J736" s="20"/>
      <c r="K736" s="20"/>
      <c r="L736" s="21"/>
      <c r="M736" s="33" t="str">
        <f>IFERROR(__xludf.DUMMYFUNCTION("IFS(W736=""Achat"",IFERROR(VALUE(X736),VALUE(REGEXREPLACE(T(X736),""[^0-9]"",""""))),W736=""Vente"",-IFERROR(VALUE(X736),VALUE(REGEXREPLACE(T(X736),""[^0-9]"",""""))),Y736=""Change"",0,Y736&lt;&gt;""Change"","""")"),"")</f>
        <v/>
      </c>
      <c r="N736" s="34" t="str">
        <f>IFERROR(__xludf.DUMMYFUNCTION("IF(Account!$F736&lt;&gt;"""", VALUE(REGEXREPLACE($I736, ""\,"", ""."")), """")"),"")</f>
        <v/>
      </c>
      <c r="O736" s="35" t="str">
        <f>IF(Account!$F736&lt;&gt;"", DATEVALUE(MID($A736,4,3) &amp; LEFT($A736,3) &amp; RIGHT($A736,4)) + TIMEVALUE($B736), "")</f>
        <v/>
      </c>
      <c r="P736" s="36" t="str">
        <f>IF(Account!$F736&lt;&gt;"", DATEVALUE(MID($C736,4,3) &amp; LEFT($C736,3) &amp; RIGHT($C736,4)), "")</f>
        <v/>
      </c>
      <c r="Q736" s="37" t="str">
        <f t="array" ref="Q736">IF($R736&lt;&gt;"",IFERROR(INDEX(ISIN!$B:$B,MATCH($R736,ISIN!$C:$C,0))),)</f>
        <v/>
      </c>
      <c r="R736" s="38" t="str">
        <f t="array" ref="R736">IF($E736&lt;&gt;"",IFERROR(INDEX(ISIN!$C:$C,MATCH($E736,ISIN!$A:$A,0)),IFERROR(INDEX($R737:$R1200,MATCH($K736,$K737:$K1200,0)))),IF(AND($Y736="change",$H736="EUR"),IF($O736=$O737,$R737,IF($O736=$O735,$R735)),IFERROR(INDEX($R737:$R1200,MATCH(SUBSTITUTE($I736,"-","",1),$K737:$K1200,0)))))</f>
        <v/>
      </c>
      <c r="S736" s="37" t="str">
        <f t="shared" si="1"/>
        <v/>
      </c>
      <c r="T736" s="39" t="str">
        <f t="shared" si="2"/>
        <v/>
      </c>
      <c r="U736" s="40" t="str">
        <f t="shared" si="3"/>
        <v/>
      </c>
      <c r="V736" s="34" t="str">
        <f t="shared" si="4"/>
        <v/>
      </c>
      <c r="W736" s="41" t="str">
        <f>IFERROR(__xludf.DUMMYFUNCTION(" IF(Account!$F736&lt;&gt;"""", SPLIT(Account!$F736, "" ""), """")"),"")</f>
        <v/>
      </c>
      <c r="X736" s="42"/>
      <c r="Y736" s="42"/>
      <c r="Z736" s="42"/>
      <c r="AA736" s="42"/>
      <c r="AB736" s="42"/>
      <c r="AC736" s="42"/>
      <c r="AD736" s="42"/>
      <c r="AE736" s="42"/>
      <c r="AF736" s="42"/>
      <c r="AG736" s="42"/>
      <c r="AH736" s="42"/>
      <c r="AI736" s="42"/>
      <c r="AJ736" s="42"/>
      <c r="AK736" s="42"/>
    </row>
    <row r="737">
      <c r="A737" s="20"/>
      <c r="B737" s="20"/>
      <c r="C737" s="20"/>
      <c r="D737" s="20"/>
      <c r="E737" s="20"/>
      <c r="F737" s="21"/>
      <c r="G737" s="45"/>
      <c r="H737" s="20"/>
      <c r="I737" s="20"/>
      <c r="J737" s="20"/>
      <c r="K737" s="20"/>
      <c r="L737" s="21"/>
      <c r="M737" s="33" t="str">
        <f>IFERROR(__xludf.DUMMYFUNCTION("IFS(W737=""Achat"",IFERROR(VALUE(X737),VALUE(REGEXREPLACE(T(X737),""[^0-9]"",""""))),W737=""Vente"",-IFERROR(VALUE(X737),VALUE(REGEXREPLACE(T(X737),""[^0-9]"",""""))),Y737=""Change"",0,Y737&lt;&gt;""Change"","""")"),"")</f>
        <v/>
      </c>
      <c r="N737" s="34" t="str">
        <f>IFERROR(__xludf.DUMMYFUNCTION("IF(Account!$F737&lt;&gt;"""", VALUE(REGEXREPLACE($I737, ""\,"", ""."")), """")"),"")</f>
        <v/>
      </c>
      <c r="O737" s="35" t="str">
        <f>IF(Account!$F737&lt;&gt;"", DATEVALUE(MID($A737,4,3) &amp; LEFT($A737,3) &amp; RIGHT($A737,4)) + TIMEVALUE($B737), "")</f>
        <v/>
      </c>
      <c r="P737" s="36" t="str">
        <f>IF(Account!$F737&lt;&gt;"", DATEVALUE(MID($C737,4,3) &amp; LEFT($C737,3) &amp; RIGHT($C737,4)), "")</f>
        <v/>
      </c>
      <c r="Q737" s="37" t="str">
        <f t="array" ref="Q737">IF($R737&lt;&gt;"",IFERROR(INDEX(ISIN!$B:$B,MATCH($R737,ISIN!$C:$C,0))),)</f>
        <v/>
      </c>
      <c r="R737" s="38" t="str">
        <f t="array" ref="R737">IF($E737&lt;&gt;"",IFERROR(INDEX(ISIN!$C:$C,MATCH($E737,ISIN!$A:$A,0)),IFERROR(INDEX($R738:$R1200,MATCH($K737,$K738:$K1200,0)))),IF(AND($Y737="change",$H737="EUR"),IF($O737=$O738,$R738,IF($O737=$O736,$R736)),IFERROR(INDEX($R738:$R1200,MATCH(SUBSTITUTE($I737,"-","",1),$K738:$K1200,0)))))</f>
        <v/>
      </c>
      <c r="S737" s="37" t="str">
        <f t="shared" si="1"/>
        <v/>
      </c>
      <c r="T737" s="39" t="str">
        <f t="shared" si="2"/>
        <v/>
      </c>
      <c r="U737" s="40" t="str">
        <f t="shared" si="3"/>
        <v/>
      </c>
      <c r="V737" s="34" t="str">
        <f t="shared" si="4"/>
        <v/>
      </c>
      <c r="W737" s="41" t="str">
        <f>IFERROR(__xludf.DUMMYFUNCTION(" IF(Account!$F737&lt;&gt;"""", SPLIT(Account!$F737, "" ""), """")"),"")</f>
        <v/>
      </c>
      <c r="X737" s="42"/>
      <c r="Y737" s="42"/>
      <c r="Z737" s="42"/>
      <c r="AA737" s="42"/>
      <c r="AB737" s="42"/>
      <c r="AC737" s="42"/>
      <c r="AD737" s="42"/>
      <c r="AE737" s="42"/>
      <c r="AF737" s="42"/>
      <c r="AG737" s="42"/>
      <c r="AH737" s="42"/>
      <c r="AI737" s="42"/>
      <c r="AJ737" s="42"/>
      <c r="AK737" s="42"/>
    </row>
    <row r="738">
      <c r="A738" s="20"/>
      <c r="B738" s="20"/>
      <c r="C738" s="20"/>
      <c r="D738" s="20"/>
      <c r="E738" s="20"/>
      <c r="F738" s="21"/>
      <c r="G738" s="45"/>
      <c r="H738" s="20"/>
      <c r="I738" s="20"/>
      <c r="J738" s="20"/>
      <c r="K738" s="20"/>
      <c r="L738" s="21"/>
      <c r="M738" s="33" t="str">
        <f>IFERROR(__xludf.DUMMYFUNCTION("IFS(W738=""Achat"",IFERROR(VALUE(X738),VALUE(REGEXREPLACE(T(X738),""[^0-9]"",""""))),W738=""Vente"",-IFERROR(VALUE(X738),VALUE(REGEXREPLACE(T(X738),""[^0-9]"",""""))),Y738=""Change"",0,Y738&lt;&gt;""Change"","""")"),"")</f>
        <v/>
      </c>
      <c r="N738" s="34" t="str">
        <f>IFERROR(__xludf.DUMMYFUNCTION("IF(Account!$F738&lt;&gt;"""", VALUE(REGEXREPLACE($I738, ""\,"", ""."")), """")"),"")</f>
        <v/>
      </c>
      <c r="O738" s="35" t="str">
        <f>IF(Account!$F738&lt;&gt;"", DATEVALUE(MID($A738,4,3) &amp; LEFT($A738,3) &amp; RIGHT($A738,4)) + TIMEVALUE($B738), "")</f>
        <v/>
      </c>
      <c r="P738" s="36" t="str">
        <f>IF(Account!$F738&lt;&gt;"", DATEVALUE(MID($C738,4,3) &amp; LEFT($C738,3) &amp; RIGHT($C738,4)), "")</f>
        <v/>
      </c>
      <c r="Q738" s="37" t="str">
        <f t="array" ref="Q738">IF($R738&lt;&gt;"",IFERROR(INDEX(ISIN!$B:$B,MATCH($R738,ISIN!$C:$C,0))),)</f>
        <v/>
      </c>
      <c r="R738" s="38" t="str">
        <f t="array" ref="R738">IF($E738&lt;&gt;"",IFERROR(INDEX(ISIN!$C:$C,MATCH($E738,ISIN!$A:$A,0)),IFERROR(INDEX($R739:$R1200,MATCH($K738,$K739:$K1200,0)))),IF(AND($Y738="change",$H738="EUR"),IF($O738=$O739,$R739,IF($O738=$O737,$R737)),IFERROR(INDEX($R739:$R1200,MATCH(SUBSTITUTE($I738,"-","",1),$K739:$K1200,0)))))</f>
        <v/>
      </c>
      <c r="S738" s="37" t="str">
        <f t="shared" si="1"/>
        <v/>
      </c>
      <c r="T738" s="39" t="str">
        <f t="shared" si="2"/>
        <v/>
      </c>
      <c r="U738" s="40" t="str">
        <f t="shared" si="3"/>
        <v/>
      </c>
      <c r="V738" s="34" t="str">
        <f t="shared" si="4"/>
        <v/>
      </c>
      <c r="W738" s="41" t="str">
        <f>IFERROR(__xludf.DUMMYFUNCTION(" IF(Account!$F738&lt;&gt;"""", SPLIT(Account!$F738, "" ""), """")"),"")</f>
        <v/>
      </c>
      <c r="X738" s="42"/>
      <c r="Y738" s="42"/>
      <c r="Z738" s="42"/>
      <c r="AA738" s="42"/>
      <c r="AB738" s="42"/>
      <c r="AC738" s="42"/>
      <c r="AD738" s="42"/>
      <c r="AE738" s="42"/>
      <c r="AF738" s="42"/>
      <c r="AG738" s="42"/>
      <c r="AH738" s="42"/>
      <c r="AI738" s="42"/>
      <c r="AJ738" s="42"/>
      <c r="AK738" s="42"/>
    </row>
    <row r="739">
      <c r="A739" s="20"/>
      <c r="B739" s="20"/>
      <c r="C739" s="20"/>
      <c r="D739" s="20"/>
      <c r="E739" s="20"/>
      <c r="F739" s="21"/>
      <c r="G739" s="45"/>
      <c r="H739" s="20"/>
      <c r="I739" s="20"/>
      <c r="J739" s="20"/>
      <c r="K739" s="20"/>
      <c r="L739" s="21"/>
      <c r="M739" s="33" t="str">
        <f>IFERROR(__xludf.DUMMYFUNCTION("IFS(W739=""Achat"",IFERROR(VALUE(X739),VALUE(REGEXREPLACE(T(X739),""[^0-9]"",""""))),W739=""Vente"",-IFERROR(VALUE(X739),VALUE(REGEXREPLACE(T(X739),""[^0-9]"",""""))),Y739=""Change"",0,Y739&lt;&gt;""Change"","""")"),"")</f>
        <v/>
      </c>
      <c r="N739" s="34" t="str">
        <f>IFERROR(__xludf.DUMMYFUNCTION("IF(Account!$F739&lt;&gt;"""", VALUE(REGEXREPLACE($I739, ""\,"", ""."")), """")"),"")</f>
        <v/>
      </c>
      <c r="O739" s="35" t="str">
        <f>IF(Account!$F739&lt;&gt;"", DATEVALUE(MID($A739,4,3) &amp; LEFT($A739,3) &amp; RIGHT($A739,4)) + TIMEVALUE($B739), "")</f>
        <v/>
      </c>
      <c r="P739" s="36" t="str">
        <f>IF(Account!$F739&lt;&gt;"", DATEVALUE(MID($C739,4,3) &amp; LEFT($C739,3) &amp; RIGHT($C739,4)), "")</f>
        <v/>
      </c>
      <c r="Q739" s="37" t="str">
        <f t="array" ref="Q739">IF($R739&lt;&gt;"",IFERROR(INDEX(ISIN!$B:$B,MATCH($R739,ISIN!$C:$C,0))),)</f>
        <v/>
      </c>
      <c r="R739" s="38" t="str">
        <f t="array" ref="R739">IF($E739&lt;&gt;"",IFERROR(INDEX(ISIN!$C:$C,MATCH($E739,ISIN!$A:$A,0)),IFERROR(INDEX($R740:$R1200,MATCH($K739,$K740:$K1200,0)))),IF(AND($Y739="change",$H739="EUR"),IF($O739=$O740,$R740,IF($O739=$O738,$R738)),IFERROR(INDEX($R740:$R1200,MATCH(SUBSTITUTE($I739,"-","",1),$K740:$K1200,0)))))</f>
        <v/>
      </c>
      <c r="S739" s="37" t="str">
        <f t="shared" si="1"/>
        <v/>
      </c>
      <c r="T739" s="39" t="str">
        <f t="shared" si="2"/>
        <v/>
      </c>
      <c r="U739" s="40" t="str">
        <f t="shared" si="3"/>
        <v/>
      </c>
      <c r="V739" s="34" t="str">
        <f t="shared" si="4"/>
        <v/>
      </c>
      <c r="W739" s="41" t="str">
        <f>IFERROR(__xludf.DUMMYFUNCTION(" IF(Account!$F739&lt;&gt;"""", SPLIT(Account!$F739, "" ""), """")"),"")</f>
        <v/>
      </c>
      <c r="X739" s="42"/>
      <c r="Y739" s="42"/>
      <c r="Z739" s="42"/>
      <c r="AA739" s="42"/>
      <c r="AB739" s="42"/>
      <c r="AC739" s="42"/>
      <c r="AD739" s="42"/>
      <c r="AE739" s="42"/>
      <c r="AF739" s="42"/>
      <c r="AG739" s="42"/>
      <c r="AH739" s="42"/>
      <c r="AI739" s="42"/>
      <c r="AJ739" s="42"/>
      <c r="AK739" s="42"/>
    </row>
    <row r="740">
      <c r="A740" s="20"/>
      <c r="B740" s="20"/>
      <c r="C740" s="20"/>
      <c r="D740" s="20"/>
      <c r="E740" s="20"/>
      <c r="F740" s="21"/>
      <c r="G740" s="45"/>
      <c r="H740" s="20"/>
      <c r="I740" s="20"/>
      <c r="J740" s="20"/>
      <c r="K740" s="20"/>
      <c r="L740" s="21"/>
      <c r="M740" s="33" t="str">
        <f>IFERROR(__xludf.DUMMYFUNCTION("IFS(W740=""Achat"",IFERROR(VALUE(X740),VALUE(REGEXREPLACE(T(X740),""[^0-9]"",""""))),W740=""Vente"",-IFERROR(VALUE(X740),VALUE(REGEXREPLACE(T(X740),""[^0-9]"",""""))),Y740=""Change"",0,Y740&lt;&gt;""Change"","""")"),"")</f>
        <v/>
      </c>
      <c r="N740" s="34" t="str">
        <f>IFERROR(__xludf.DUMMYFUNCTION("IF(Account!$F740&lt;&gt;"""", VALUE(REGEXREPLACE($I740, ""\,"", ""."")), """")"),"")</f>
        <v/>
      </c>
      <c r="O740" s="35" t="str">
        <f>IF(Account!$F740&lt;&gt;"", DATEVALUE(MID($A740,4,3) &amp; LEFT($A740,3) &amp; RIGHT($A740,4)) + TIMEVALUE($B740), "")</f>
        <v/>
      </c>
      <c r="P740" s="36" t="str">
        <f>IF(Account!$F740&lt;&gt;"", DATEVALUE(MID($C740,4,3) &amp; LEFT($C740,3) &amp; RIGHT($C740,4)), "")</f>
        <v/>
      </c>
      <c r="Q740" s="37" t="str">
        <f t="array" ref="Q740">IF($R740&lt;&gt;"",IFERROR(INDEX(ISIN!$B:$B,MATCH($R740,ISIN!$C:$C,0))),)</f>
        <v/>
      </c>
      <c r="R740" s="38" t="str">
        <f t="array" ref="R740">IF($E740&lt;&gt;"",IFERROR(INDEX(ISIN!$C:$C,MATCH($E740,ISIN!$A:$A,0)),IFERROR(INDEX($R741:$R1200,MATCH($K740,$K741:$K1200,0)))),IF(AND($Y740="change",$H740="EUR"),IF($O740=$O741,$R741,IF($O740=$O739,$R739)),IFERROR(INDEX($R741:$R1200,MATCH(SUBSTITUTE($I740,"-","",1),$K741:$K1200,0)))))</f>
        <v/>
      </c>
      <c r="S740" s="37" t="str">
        <f t="shared" si="1"/>
        <v/>
      </c>
      <c r="T740" s="39" t="str">
        <f t="shared" si="2"/>
        <v/>
      </c>
      <c r="U740" s="40" t="str">
        <f t="shared" si="3"/>
        <v/>
      </c>
      <c r="V740" s="34" t="str">
        <f t="shared" si="4"/>
        <v/>
      </c>
      <c r="W740" s="41" t="str">
        <f>IFERROR(__xludf.DUMMYFUNCTION(" IF(Account!$F740&lt;&gt;"""", SPLIT(Account!$F740, "" ""), """")"),"")</f>
        <v/>
      </c>
      <c r="X740" s="42"/>
      <c r="Y740" s="42"/>
      <c r="Z740" s="42"/>
      <c r="AA740" s="42"/>
      <c r="AB740" s="42"/>
      <c r="AC740" s="42"/>
      <c r="AD740" s="42"/>
      <c r="AE740" s="42"/>
      <c r="AF740" s="42"/>
      <c r="AG740" s="42"/>
      <c r="AH740" s="42"/>
      <c r="AI740" s="42"/>
      <c r="AJ740" s="42"/>
      <c r="AK740" s="42"/>
    </row>
    <row r="741">
      <c r="A741" s="20"/>
      <c r="B741" s="20"/>
      <c r="C741" s="20"/>
      <c r="D741" s="20"/>
      <c r="E741" s="20"/>
      <c r="F741" s="21"/>
      <c r="G741" s="45"/>
      <c r="H741" s="20"/>
      <c r="I741" s="20"/>
      <c r="J741" s="20"/>
      <c r="K741" s="20"/>
      <c r="L741" s="21"/>
      <c r="M741" s="33" t="str">
        <f>IFERROR(__xludf.DUMMYFUNCTION("IFS(W741=""Achat"",IFERROR(VALUE(X741),VALUE(REGEXREPLACE(T(X741),""[^0-9]"",""""))),W741=""Vente"",-IFERROR(VALUE(X741),VALUE(REGEXREPLACE(T(X741),""[^0-9]"",""""))),Y741=""Change"",0,Y741&lt;&gt;""Change"","""")"),"")</f>
        <v/>
      </c>
      <c r="N741" s="34" t="str">
        <f>IFERROR(__xludf.DUMMYFUNCTION("IF(Account!$F741&lt;&gt;"""", VALUE(REGEXREPLACE($I741, ""\,"", ""."")), """")"),"")</f>
        <v/>
      </c>
      <c r="O741" s="35" t="str">
        <f>IF(Account!$F741&lt;&gt;"", DATEVALUE(MID($A741,4,3) &amp; LEFT($A741,3) &amp; RIGHT($A741,4)) + TIMEVALUE($B741), "")</f>
        <v/>
      </c>
      <c r="P741" s="36" t="str">
        <f>IF(Account!$F741&lt;&gt;"", DATEVALUE(MID($C741,4,3) &amp; LEFT($C741,3) &amp; RIGHT($C741,4)), "")</f>
        <v/>
      </c>
      <c r="Q741" s="37" t="str">
        <f t="array" ref="Q741">IF($R741&lt;&gt;"",IFERROR(INDEX(ISIN!$B:$B,MATCH($R741,ISIN!$C:$C,0))),)</f>
        <v/>
      </c>
      <c r="R741" s="38" t="str">
        <f t="array" ref="R741">IF($E741&lt;&gt;"",IFERROR(INDEX(ISIN!$C:$C,MATCH($E741,ISIN!$A:$A,0)),IFERROR(INDEX($R742:$R1200,MATCH($K741,$K742:$K1200,0)))),IF(AND($Y741="change",$H741="EUR"),IF($O741=$O742,$R742,IF($O741=$O740,$R740)),IFERROR(INDEX($R742:$R1200,MATCH(SUBSTITUTE($I741,"-","",1),$K742:$K1200,0)))))</f>
        <v/>
      </c>
      <c r="S741" s="37" t="str">
        <f t="shared" si="1"/>
        <v/>
      </c>
      <c r="T741" s="39" t="str">
        <f t="shared" si="2"/>
        <v/>
      </c>
      <c r="U741" s="40" t="str">
        <f t="shared" si="3"/>
        <v/>
      </c>
      <c r="V741" s="34" t="str">
        <f t="shared" si="4"/>
        <v/>
      </c>
      <c r="W741" s="41" t="str">
        <f>IFERROR(__xludf.DUMMYFUNCTION(" IF(Account!$F741&lt;&gt;"""", SPLIT(Account!$F741, "" ""), """")"),"")</f>
        <v/>
      </c>
      <c r="X741" s="42"/>
      <c r="Y741" s="42"/>
      <c r="Z741" s="42"/>
      <c r="AA741" s="42"/>
      <c r="AB741" s="42"/>
      <c r="AC741" s="42"/>
      <c r="AD741" s="42"/>
      <c r="AE741" s="42"/>
      <c r="AF741" s="42"/>
      <c r="AG741" s="42"/>
      <c r="AH741" s="42"/>
      <c r="AI741" s="42"/>
      <c r="AJ741" s="42"/>
      <c r="AK741" s="42"/>
    </row>
    <row r="742">
      <c r="A742" s="20"/>
      <c r="B742" s="20"/>
      <c r="C742" s="20"/>
      <c r="D742" s="20"/>
      <c r="E742" s="20"/>
      <c r="F742" s="21"/>
      <c r="G742" s="45"/>
      <c r="H742" s="20"/>
      <c r="I742" s="20"/>
      <c r="J742" s="20"/>
      <c r="K742" s="20"/>
      <c r="L742" s="21"/>
      <c r="M742" s="33" t="str">
        <f>IFERROR(__xludf.DUMMYFUNCTION("IFS(W742=""Achat"",IFERROR(VALUE(X742),VALUE(REGEXREPLACE(T(X742),""[^0-9]"",""""))),W742=""Vente"",-IFERROR(VALUE(X742),VALUE(REGEXREPLACE(T(X742),""[^0-9]"",""""))),Y742=""Change"",0,Y742&lt;&gt;""Change"","""")"),"")</f>
        <v/>
      </c>
      <c r="N742" s="34" t="str">
        <f>IFERROR(__xludf.DUMMYFUNCTION("IF(Account!$F742&lt;&gt;"""", VALUE(REGEXREPLACE($I742, ""\,"", ""."")), """")"),"")</f>
        <v/>
      </c>
      <c r="O742" s="35" t="str">
        <f>IF(Account!$F742&lt;&gt;"", DATEVALUE(MID($A742,4,3) &amp; LEFT($A742,3) &amp; RIGHT($A742,4)) + TIMEVALUE($B742), "")</f>
        <v/>
      </c>
      <c r="P742" s="36" t="str">
        <f>IF(Account!$F742&lt;&gt;"", DATEVALUE(MID($C742,4,3) &amp; LEFT($C742,3) &amp; RIGHT($C742,4)), "")</f>
        <v/>
      </c>
      <c r="Q742" s="37" t="str">
        <f t="array" ref="Q742">IF($R742&lt;&gt;"",IFERROR(INDEX(ISIN!$B:$B,MATCH($R742,ISIN!$C:$C,0))),)</f>
        <v/>
      </c>
      <c r="R742" s="38" t="str">
        <f t="array" ref="R742">IF($E742&lt;&gt;"",IFERROR(INDEX(ISIN!$C:$C,MATCH($E742,ISIN!$A:$A,0)),IFERROR(INDEX($R743:$R1200,MATCH($K742,$K743:$K1200,0)))),IF(AND($Y742="change",$H742="EUR"),IF($O742=$O743,$R743,IF($O742=$O741,$R741)),IFERROR(INDEX($R743:$R1200,MATCH(SUBSTITUTE($I742,"-","",1),$K743:$K1200,0)))))</f>
        <v/>
      </c>
      <c r="S742" s="37" t="str">
        <f t="shared" si="1"/>
        <v/>
      </c>
      <c r="T742" s="39" t="str">
        <f t="shared" si="2"/>
        <v/>
      </c>
      <c r="U742" s="40" t="str">
        <f t="shared" si="3"/>
        <v/>
      </c>
      <c r="V742" s="34" t="str">
        <f t="shared" si="4"/>
        <v/>
      </c>
      <c r="W742" s="41" t="str">
        <f>IFERROR(__xludf.DUMMYFUNCTION(" IF(Account!$F742&lt;&gt;"""", SPLIT(Account!$F742, "" ""), """")"),"")</f>
        <v/>
      </c>
      <c r="X742" s="42"/>
      <c r="Y742" s="42"/>
      <c r="Z742" s="42"/>
      <c r="AA742" s="42"/>
      <c r="AB742" s="42"/>
      <c r="AC742" s="42"/>
      <c r="AD742" s="42"/>
      <c r="AE742" s="42"/>
      <c r="AF742" s="42"/>
      <c r="AG742" s="42"/>
      <c r="AH742" s="42"/>
      <c r="AI742" s="42"/>
      <c r="AJ742" s="42"/>
      <c r="AK742" s="42"/>
    </row>
    <row r="743">
      <c r="A743" s="20"/>
      <c r="B743" s="20"/>
      <c r="C743" s="20"/>
      <c r="D743" s="20"/>
      <c r="E743" s="20"/>
      <c r="F743" s="21"/>
      <c r="G743" s="45"/>
      <c r="H743" s="20"/>
      <c r="I743" s="20"/>
      <c r="J743" s="20"/>
      <c r="K743" s="20"/>
      <c r="L743" s="21"/>
      <c r="M743" s="33" t="str">
        <f>IFERROR(__xludf.DUMMYFUNCTION("IFS(W743=""Achat"",IFERROR(VALUE(X743),VALUE(REGEXREPLACE(T(X743),""[^0-9]"",""""))),W743=""Vente"",-IFERROR(VALUE(X743),VALUE(REGEXREPLACE(T(X743),""[^0-9]"",""""))),Y743=""Change"",0,Y743&lt;&gt;""Change"","""")"),"")</f>
        <v/>
      </c>
      <c r="N743" s="34" t="str">
        <f>IFERROR(__xludf.DUMMYFUNCTION("IF(Account!$F743&lt;&gt;"""", VALUE(REGEXREPLACE($I743, ""\,"", ""."")), """")"),"")</f>
        <v/>
      </c>
      <c r="O743" s="35" t="str">
        <f>IF(Account!$F743&lt;&gt;"", DATEVALUE(MID($A743,4,3) &amp; LEFT($A743,3) &amp; RIGHT($A743,4)) + TIMEVALUE($B743), "")</f>
        <v/>
      </c>
      <c r="P743" s="36" t="str">
        <f>IF(Account!$F743&lt;&gt;"", DATEVALUE(MID($C743,4,3) &amp; LEFT($C743,3) &amp; RIGHT($C743,4)), "")</f>
        <v/>
      </c>
      <c r="Q743" s="37" t="str">
        <f t="array" ref="Q743">IF($R743&lt;&gt;"",IFERROR(INDEX(ISIN!$B:$B,MATCH($R743,ISIN!$C:$C,0))),)</f>
        <v/>
      </c>
      <c r="R743" s="38" t="str">
        <f t="array" ref="R743">IF($E743&lt;&gt;"",IFERROR(INDEX(ISIN!$C:$C,MATCH($E743,ISIN!$A:$A,0)),IFERROR(INDEX($R744:$R1200,MATCH($K743,$K744:$K1200,0)))),IF(AND($Y743="change",$H743="EUR"),IF($O743=$O744,$R744,IF($O743=$O742,$R742)),IFERROR(INDEX($R744:$R1200,MATCH(SUBSTITUTE($I743,"-","",1),$K744:$K1200,0)))))</f>
        <v/>
      </c>
      <c r="S743" s="37" t="str">
        <f t="shared" si="1"/>
        <v/>
      </c>
      <c r="T743" s="39" t="str">
        <f t="shared" si="2"/>
        <v/>
      </c>
      <c r="U743" s="40" t="str">
        <f t="shared" si="3"/>
        <v/>
      </c>
      <c r="V743" s="34" t="str">
        <f t="shared" si="4"/>
        <v/>
      </c>
      <c r="W743" s="41" t="str">
        <f>IFERROR(__xludf.DUMMYFUNCTION(" IF(Account!$F743&lt;&gt;"""", SPLIT(Account!$F743, "" ""), """")"),"")</f>
        <v/>
      </c>
      <c r="X743" s="42"/>
      <c r="Y743" s="42"/>
      <c r="Z743" s="42"/>
      <c r="AA743" s="42"/>
      <c r="AB743" s="42"/>
      <c r="AC743" s="42"/>
      <c r="AD743" s="42"/>
      <c r="AE743" s="42"/>
      <c r="AF743" s="42"/>
      <c r="AG743" s="42"/>
      <c r="AH743" s="42"/>
      <c r="AI743" s="42"/>
      <c r="AJ743" s="42"/>
      <c r="AK743" s="42"/>
    </row>
    <row r="744">
      <c r="A744" s="20"/>
      <c r="B744" s="20"/>
      <c r="C744" s="20"/>
      <c r="D744" s="20"/>
      <c r="E744" s="20"/>
      <c r="F744" s="21"/>
      <c r="G744" s="45"/>
      <c r="H744" s="20"/>
      <c r="I744" s="20"/>
      <c r="J744" s="20"/>
      <c r="K744" s="20"/>
      <c r="L744" s="21"/>
      <c r="M744" s="33" t="str">
        <f>IFERROR(__xludf.DUMMYFUNCTION("IFS(W744=""Achat"",IFERROR(VALUE(X744),VALUE(REGEXREPLACE(T(X744),""[^0-9]"",""""))),W744=""Vente"",-IFERROR(VALUE(X744),VALUE(REGEXREPLACE(T(X744),""[^0-9]"",""""))),Y744=""Change"",0,Y744&lt;&gt;""Change"","""")"),"")</f>
        <v/>
      </c>
      <c r="N744" s="34" t="str">
        <f>IFERROR(__xludf.DUMMYFUNCTION("IF(Account!$F744&lt;&gt;"""", VALUE(REGEXREPLACE($I744, ""\,"", ""."")), """")"),"")</f>
        <v/>
      </c>
      <c r="O744" s="35" t="str">
        <f>IF(Account!$F744&lt;&gt;"", DATEVALUE(MID($A744,4,3) &amp; LEFT($A744,3) &amp; RIGHT($A744,4)) + TIMEVALUE($B744), "")</f>
        <v/>
      </c>
      <c r="P744" s="36" t="str">
        <f>IF(Account!$F744&lt;&gt;"", DATEVALUE(MID($C744,4,3) &amp; LEFT($C744,3) &amp; RIGHT($C744,4)), "")</f>
        <v/>
      </c>
      <c r="Q744" s="37" t="str">
        <f t="array" ref="Q744">IF($R744&lt;&gt;"",IFERROR(INDEX(ISIN!$B:$B,MATCH($R744,ISIN!$C:$C,0))),)</f>
        <v/>
      </c>
      <c r="R744" s="38" t="str">
        <f t="array" ref="R744">IF($E744&lt;&gt;"",IFERROR(INDEX(ISIN!$C:$C,MATCH($E744,ISIN!$A:$A,0)),IFERROR(INDEX($R745:$R1200,MATCH($K744,$K745:$K1200,0)))),IF(AND($Y744="change",$H744="EUR"),IF($O744=$O745,$R745,IF($O744=$O743,$R743)),IFERROR(INDEX($R745:$R1200,MATCH(SUBSTITUTE($I744,"-","",1),$K745:$K1200,0)))))</f>
        <v/>
      </c>
      <c r="S744" s="37" t="str">
        <f t="shared" si="1"/>
        <v/>
      </c>
      <c r="T744" s="39" t="str">
        <f t="shared" si="2"/>
        <v/>
      </c>
      <c r="U744" s="40" t="str">
        <f t="shared" si="3"/>
        <v/>
      </c>
      <c r="V744" s="34" t="str">
        <f t="shared" si="4"/>
        <v/>
      </c>
      <c r="W744" s="41" t="str">
        <f>IFERROR(__xludf.DUMMYFUNCTION(" IF(Account!$F744&lt;&gt;"""", SPLIT(Account!$F744, "" ""), """")"),"")</f>
        <v/>
      </c>
      <c r="X744" s="42"/>
      <c r="Y744" s="42"/>
      <c r="Z744" s="42"/>
      <c r="AA744" s="42"/>
      <c r="AB744" s="42"/>
      <c r="AC744" s="42"/>
      <c r="AD744" s="42"/>
      <c r="AE744" s="42"/>
      <c r="AF744" s="42"/>
      <c r="AG744" s="42"/>
      <c r="AH744" s="42"/>
      <c r="AI744" s="42"/>
      <c r="AJ744" s="42"/>
      <c r="AK744" s="42"/>
    </row>
    <row r="745">
      <c r="A745" s="20"/>
      <c r="B745" s="20"/>
      <c r="C745" s="20"/>
      <c r="D745" s="45"/>
      <c r="E745" s="45"/>
      <c r="F745" s="21"/>
      <c r="G745" s="45"/>
      <c r="H745" s="20"/>
      <c r="I745" s="20"/>
      <c r="J745" s="20"/>
      <c r="K745" s="20"/>
      <c r="L745" s="46"/>
      <c r="M745" s="33" t="str">
        <f>IFERROR(__xludf.DUMMYFUNCTION("IFS(W745=""Achat"",IFERROR(VALUE(X745),VALUE(REGEXREPLACE(T(X745),""[^0-9]"",""""))),W745=""Vente"",-IFERROR(VALUE(X745),VALUE(REGEXREPLACE(T(X745),""[^0-9]"",""""))),Y745=""Change"",0,Y745&lt;&gt;""Change"","""")"),"")</f>
        <v/>
      </c>
      <c r="N745" s="34" t="str">
        <f>IFERROR(__xludf.DUMMYFUNCTION("IF(Account!$F745&lt;&gt;"""", VALUE(REGEXREPLACE($I745, ""\,"", ""."")), """")"),"")</f>
        <v/>
      </c>
      <c r="O745" s="35" t="str">
        <f>IF(Account!$F745&lt;&gt;"", DATEVALUE(MID($A745,4,3) &amp; LEFT($A745,3) &amp; RIGHT($A745,4)) + TIMEVALUE($B745), "")</f>
        <v/>
      </c>
      <c r="P745" s="36" t="str">
        <f>IF(Account!$F745&lt;&gt;"", DATEVALUE(MID($C745,4,3) &amp; LEFT($C745,3) &amp; RIGHT($C745,4)), "")</f>
        <v/>
      </c>
      <c r="Q745" s="37" t="str">
        <f t="array" ref="Q745">IF($R745&lt;&gt;"",IFERROR(INDEX(ISIN!$B:$B,MATCH($R745,ISIN!$C:$C,0))),)</f>
        <v/>
      </c>
      <c r="R745" s="38" t="str">
        <f t="array" ref="R745">IF($E745&lt;&gt;"",IFERROR(INDEX(ISIN!$C:$C,MATCH($E745,ISIN!$A:$A,0)),IFERROR(INDEX($R746:$R1200,MATCH($K745,$K746:$K1200,0)))),IF(AND($Y745="change",$H745="EUR"),IF($O745=$O746,$R746,IF($O745=$O744,$R744)),IFERROR(INDEX($R746:$R1200,MATCH(SUBSTITUTE($I745,"-","",1),$K746:$K1200,0)))))</f>
        <v/>
      </c>
      <c r="S745" s="37" t="str">
        <f t="shared" si="1"/>
        <v/>
      </c>
      <c r="T745" s="39" t="str">
        <f t="shared" si="2"/>
        <v/>
      </c>
      <c r="U745" s="40" t="str">
        <f t="shared" si="3"/>
        <v/>
      </c>
      <c r="V745" s="34" t="str">
        <f t="shared" si="4"/>
        <v/>
      </c>
      <c r="W745" s="41" t="str">
        <f>IFERROR(__xludf.DUMMYFUNCTION(" IF(Account!$F745&lt;&gt;"""", SPLIT(Account!$F745, "" ""), """")"),"")</f>
        <v/>
      </c>
      <c r="X745" s="42"/>
      <c r="Y745" s="42"/>
      <c r="Z745" s="42"/>
      <c r="AA745" s="42"/>
      <c r="AB745" s="42"/>
      <c r="AC745" s="42"/>
      <c r="AD745" s="42"/>
      <c r="AE745" s="42"/>
      <c r="AF745" s="42"/>
      <c r="AG745" s="42"/>
      <c r="AH745" s="42"/>
      <c r="AI745" s="42"/>
      <c r="AJ745" s="42"/>
      <c r="AK745" s="42"/>
    </row>
    <row r="746">
      <c r="A746" s="20"/>
      <c r="B746" s="20"/>
      <c r="C746" s="20"/>
      <c r="D746" s="45"/>
      <c r="E746" s="45"/>
      <c r="F746" s="21"/>
      <c r="G746" s="45"/>
      <c r="H746" s="20"/>
      <c r="I746" s="20"/>
      <c r="J746" s="20"/>
      <c r="K746" s="20"/>
      <c r="L746" s="46"/>
      <c r="M746" s="33" t="str">
        <f>IFERROR(__xludf.DUMMYFUNCTION("IFS(W746=""Achat"",IFERROR(VALUE(X746),VALUE(REGEXREPLACE(T(X746),""[^0-9]"",""""))),W746=""Vente"",-IFERROR(VALUE(X746),VALUE(REGEXREPLACE(T(X746),""[^0-9]"",""""))),Y746=""Change"",0,Y746&lt;&gt;""Change"","""")"),"")</f>
        <v/>
      </c>
      <c r="N746" s="34" t="str">
        <f>IFERROR(__xludf.DUMMYFUNCTION("IF(Account!$F746&lt;&gt;"""", VALUE(REGEXREPLACE($I746, ""\,"", ""."")), """")"),"")</f>
        <v/>
      </c>
      <c r="O746" s="35" t="str">
        <f>IF(Account!$F746&lt;&gt;"", DATEVALUE(MID($A746,4,3) &amp; LEFT($A746,3) &amp; RIGHT($A746,4)) + TIMEVALUE($B746), "")</f>
        <v/>
      </c>
      <c r="P746" s="36" t="str">
        <f>IF(Account!$F746&lt;&gt;"", DATEVALUE(MID($C746,4,3) &amp; LEFT($C746,3) &amp; RIGHT($C746,4)), "")</f>
        <v/>
      </c>
      <c r="Q746" s="37" t="str">
        <f t="array" ref="Q746">IF($R746&lt;&gt;"",IFERROR(INDEX(ISIN!$B:$B,MATCH($R746,ISIN!$C:$C,0))),)</f>
        <v/>
      </c>
      <c r="R746" s="38" t="str">
        <f t="array" ref="R746">IF($E746&lt;&gt;"",IFERROR(INDEX(ISIN!$C:$C,MATCH($E746,ISIN!$A:$A,0)),IFERROR(INDEX($R747:$R1200,MATCH($K746,$K747:$K1200,0)))),IF(AND($Y746="change",$H746="EUR"),IF($O746=$O747,$R747,IF($O746=$O745,$R745)),IFERROR(INDEX($R747:$R1200,MATCH(SUBSTITUTE($I746,"-","",1),$K747:$K1200,0)))))</f>
        <v/>
      </c>
      <c r="S746" s="37" t="str">
        <f t="shared" si="1"/>
        <v/>
      </c>
      <c r="T746" s="39" t="str">
        <f t="shared" si="2"/>
        <v/>
      </c>
      <c r="U746" s="40" t="str">
        <f t="shared" si="3"/>
        <v/>
      </c>
      <c r="V746" s="34" t="str">
        <f t="shared" si="4"/>
        <v/>
      </c>
      <c r="W746" s="41" t="str">
        <f>IFERROR(__xludf.DUMMYFUNCTION(" IF(Account!$F746&lt;&gt;"""", SPLIT(Account!$F746, "" ""), """")"),"")</f>
        <v/>
      </c>
      <c r="X746" s="42"/>
      <c r="Y746" s="42"/>
      <c r="Z746" s="42"/>
      <c r="AA746" s="42"/>
      <c r="AB746" s="42"/>
      <c r="AC746" s="42"/>
      <c r="AD746" s="42"/>
      <c r="AE746" s="42"/>
      <c r="AF746" s="42"/>
      <c r="AG746" s="42"/>
      <c r="AH746" s="42"/>
      <c r="AI746" s="42"/>
      <c r="AJ746" s="42"/>
      <c r="AK746" s="42"/>
    </row>
    <row r="747">
      <c r="A747" s="20"/>
      <c r="B747" s="20"/>
      <c r="C747" s="20"/>
      <c r="D747" s="45"/>
      <c r="E747" s="45"/>
      <c r="F747" s="21"/>
      <c r="G747" s="45"/>
      <c r="H747" s="20"/>
      <c r="I747" s="20"/>
      <c r="J747" s="20"/>
      <c r="K747" s="20"/>
      <c r="L747" s="46"/>
      <c r="M747" s="33" t="str">
        <f>IFERROR(__xludf.DUMMYFUNCTION("IFS(W747=""Achat"",IFERROR(VALUE(X747),VALUE(REGEXREPLACE(T(X747),""[^0-9]"",""""))),W747=""Vente"",-IFERROR(VALUE(X747),VALUE(REGEXREPLACE(T(X747),""[^0-9]"",""""))),Y747=""Change"",0,Y747&lt;&gt;""Change"","""")"),"")</f>
        <v/>
      </c>
      <c r="N747" s="34" t="str">
        <f>IFERROR(__xludf.DUMMYFUNCTION("IF(Account!$F747&lt;&gt;"""", VALUE(REGEXREPLACE($I747, ""\,"", ""."")), """")"),"")</f>
        <v/>
      </c>
      <c r="O747" s="35" t="str">
        <f>IF(Account!$F747&lt;&gt;"", DATEVALUE(MID($A747,4,3) &amp; LEFT($A747,3) &amp; RIGHT($A747,4)) + TIMEVALUE($B747), "")</f>
        <v/>
      </c>
      <c r="P747" s="36" t="str">
        <f>IF(Account!$F747&lt;&gt;"", DATEVALUE(MID($C747,4,3) &amp; LEFT($C747,3) &amp; RIGHT($C747,4)), "")</f>
        <v/>
      </c>
      <c r="Q747" s="37" t="str">
        <f t="array" ref="Q747">IF($R747&lt;&gt;"",IFERROR(INDEX(ISIN!$B:$B,MATCH($R747,ISIN!$C:$C,0))),)</f>
        <v/>
      </c>
      <c r="R747" s="38" t="str">
        <f t="array" ref="R747">IF($E747&lt;&gt;"",IFERROR(INDEX(ISIN!$C:$C,MATCH($E747,ISIN!$A:$A,0)),IFERROR(INDEX($R748:$R1200,MATCH($K747,$K748:$K1200,0)))),IF(AND($Y747="change",$H747="EUR"),IF($O747=$O748,$R748,IF($O747=$O746,$R746)),IFERROR(INDEX($R748:$R1200,MATCH(SUBSTITUTE($I747,"-","",1),$K748:$K1200,0)))))</f>
        <v/>
      </c>
      <c r="S747" s="37" t="str">
        <f t="shared" si="1"/>
        <v/>
      </c>
      <c r="T747" s="39" t="str">
        <f t="shared" si="2"/>
        <v/>
      </c>
      <c r="U747" s="40" t="str">
        <f t="shared" si="3"/>
        <v/>
      </c>
      <c r="V747" s="34" t="str">
        <f t="shared" si="4"/>
        <v/>
      </c>
      <c r="W747" s="41" t="str">
        <f>IFERROR(__xludf.DUMMYFUNCTION(" IF(Account!$F747&lt;&gt;"""", SPLIT(Account!$F747, "" ""), """")"),"")</f>
        <v/>
      </c>
      <c r="X747" s="42"/>
      <c r="Y747" s="42"/>
      <c r="Z747" s="42"/>
      <c r="AA747" s="42"/>
      <c r="AB747" s="42"/>
      <c r="AC747" s="42"/>
      <c r="AD747" s="42"/>
      <c r="AE747" s="42"/>
      <c r="AF747" s="42"/>
      <c r="AG747" s="42"/>
      <c r="AH747" s="42"/>
      <c r="AI747" s="42"/>
      <c r="AJ747" s="42"/>
      <c r="AK747" s="42"/>
    </row>
    <row r="748">
      <c r="A748" s="20"/>
      <c r="B748" s="20"/>
      <c r="C748" s="20"/>
      <c r="D748" s="45"/>
      <c r="E748" s="45"/>
      <c r="F748" s="21"/>
      <c r="G748" s="45"/>
      <c r="H748" s="20"/>
      <c r="I748" s="20"/>
      <c r="J748" s="20"/>
      <c r="K748" s="20"/>
      <c r="L748" s="46"/>
      <c r="M748" s="33" t="str">
        <f>IFERROR(__xludf.DUMMYFUNCTION("IFS(W748=""Achat"",IFERROR(VALUE(X748),VALUE(REGEXREPLACE(T(X748),""[^0-9]"",""""))),W748=""Vente"",-IFERROR(VALUE(X748),VALUE(REGEXREPLACE(T(X748),""[^0-9]"",""""))),Y748=""Change"",0,Y748&lt;&gt;""Change"","""")"),"")</f>
        <v/>
      </c>
      <c r="N748" s="34" t="str">
        <f>IFERROR(__xludf.DUMMYFUNCTION("IF(Account!$F748&lt;&gt;"""", VALUE(REGEXREPLACE($I748, ""\,"", ""."")), """")"),"")</f>
        <v/>
      </c>
      <c r="O748" s="35" t="str">
        <f>IF(Account!$F748&lt;&gt;"", DATEVALUE(MID($A748,4,3) &amp; LEFT($A748,3) &amp; RIGHT($A748,4)) + TIMEVALUE($B748), "")</f>
        <v/>
      </c>
      <c r="P748" s="36" t="str">
        <f>IF(Account!$F748&lt;&gt;"", DATEVALUE(MID($C748,4,3) &amp; LEFT($C748,3) &amp; RIGHT($C748,4)), "")</f>
        <v/>
      </c>
      <c r="Q748" s="37" t="str">
        <f t="array" ref="Q748">IF($R748&lt;&gt;"",IFERROR(INDEX(ISIN!$B:$B,MATCH($R748,ISIN!$C:$C,0))),)</f>
        <v/>
      </c>
      <c r="R748" s="38" t="str">
        <f t="array" ref="R748">IF($E748&lt;&gt;"",IFERROR(INDEX(ISIN!$C:$C,MATCH($E748,ISIN!$A:$A,0)),IFERROR(INDEX($R749:$R1200,MATCH($K748,$K749:$K1200,0)))),IF(AND($Y748="change",$H748="EUR"),IF($O748=$O749,$R749,IF($O748=$O747,$R747)),IFERROR(INDEX($R749:$R1200,MATCH(SUBSTITUTE($I748,"-","",1),$K749:$K1200,0)))))</f>
        <v/>
      </c>
      <c r="S748" s="37" t="str">
        <f t="shared" si="1"/>
        <v/>
      </c>
      <c r="T748" s="39" t="str">
        <f t="shared" si="2"/>
        <v/>
      </c>
      <c r="U748" s="40" t="str">
        <f t="shared" si="3"/>
        <v/>
      </c>
      <c r="V748" s="34" t="str">
        <f t="shared" si="4"/>
        <v/>
      </c>
      <c r="W748" s="41" t="str">
        <f>IFERROR(__xludf.DUMMYFUNCTION(" IF(Account!$F748&lt;&gt;"""", SPLIT(Account!$F748, "" ""), """")"),"")</f>
        <v/>
      </c>
      <c r="X748" s="42"/>
      <c r="Y748" s="42"/>
      <c r="Z748" s="42"/>
      <c r="AA748" s="42"/>
      <c r="AB748" s="42"/>
      <c r="AC748" s="42"/>
      <c r="AD748" s="42"/>
      <c r="AE748" s="42"/>
      <c r="AF748" s="42"/>
      <c r="AG748" s="42"/>
      <c r="AH748" s="42"/>
      <c r="AI748" s="42"/>
      <c r="AJ748" s="42"/>
      <c r="AK748" s="42"/>
    </row>
    <row r="749">
      <c r="A749" s="20"/>
      <c r="B749" s="20"/>
      <c r="C749" s="20"/>
      <c r="D749" s="20"/>
      <c r="E749" s="20"/>
      <c r="F749" s="21"/>
      <c r="G749" s="45"/>
      <c r="H749" s="20"/>
      <c r="I749" s="20"/>
      <c r="J749" s="20"/>
      <c r="K749" s="20"/>
      <c r="L749" s="21"/>
      <c r="M749" s="33" t="str">
        <f>IFERROR(__xludf.DUMMYFUNCTION("IFS(W749=""Achat"",IFERROR(VALUE(X749),VALUE(REGEXREPLACE(T(X749),""[^0-9]"",""""))),W749=""Vente"",-IFERROR(VALUE(X749),VALUE(REGEXREPLACE(T(X749),""[^0-9]"",""""))),Y749=""Change"",0,Y749&lt;&gt;""Change"","""")"),"")</f>
        <v/>
      </c>
      <c r="N749" s="34" t="str">
        <f>IFERROR(__xludf.DUMMYFUNCTION("IF(Account!$F749&lt;&gt;"""", VALUE(REGEXREPLACE($I749, ""\,"", ""."")), """")"),"")</f>
        <v/>
      </c>
      <c r="O749" s="35" t="str">
        <f>IF(Account!$F749&lt;&gt;"", DATEVALUE(MID($A749,4,3) &amp; LEFT($A749,3) &amp; RIGHT($A749,4)) + TIMEVALUE($B749), "")</f>
        <v/>
      </c>
      <c r="P749" s="36" t="str">
        <f>IF(Account!$F749&lt;&gt;"", DATEVALUE(MID($C749,4,3) &amp; LEFT($C749,3) &amp; RIGHT($C749,4)), "")</f>
        <v/>
      </c>
      <c r="Q749" s="37" t="str">
        <f t="array" ref="Q749">IF($R749&lt;&gt;"",IFERROR(INDEX(ISIN!$B:$B,MATCH($R749,ISIN!$C:$C,0))),)</f>
        <v/>
      </c>
      <c r="R749" s="38" t="str">
        <f t="array" ref="R749">IF($E749&lt;&gt;"",IFERROR(INDEX(ISIN!$C:$C,MATCH($E749,ISIN!$A:$A,0)),IFERROR(INDEX($R750:$R1200,MATCH($K749,$K750:$K1200,0)))),IF(AND($Y749="change",$H749="EUR"),IF($O749=$O750,$R750,IF($O749=$O748,$R748)),IFERROR(INDEX($R750:$R1200,MATCH(SUBSTITUTE($I749,"-","",1),$K750:$K1200,0)))))</f>
        <v/>
      </c>
      <c r="S749" s="37" t="str">
        <f t="shared" si="1"/>
        <v/>
      </c>
      <c r="T749" s="39" t="str">
        <f t="shared" si="2"/>
        <v/>
      </c>
      <c r="U749" s="40" t="str">
        <f t="shared" si="3"/>
        <v/>
      </c>
      <c r="V749" s="34" t="str">
        <f t="shared" si="4"/>
        <v/>
      </c>
      <c r="W749" s="41" t="str">
        <f>IFERROR(__xludf.DUMMYFUNCTION(" IF(Account!$F749&lt;&gt;"""", SPLIT(Account!$F749, "" ""), """")"),"")</f>
        <v/>
      </c>
      <c r="X749" s="42"/>
      <c r="Y749" s="42"/>
      <c r="Z749" s="42"/>
      <c r="AA749" s="42"/>
      <c r="AB749" s="42"/>
      <c r="AC749" s="42"/>
      <c r="AD749" s="42"/>
      <c r="AE749" s="42"/>
      <c r="AF749" s="42"/>
      <c r="AG749" s="42"/>
      <c r="AH749" s="42"/>
      <c r="AI749" s="42"/>
      <c r="AJ749" s="42"/>
      <c r="AK749" s="42"/>
    </row>
    <row r="750">
      <c r="A750" s="20"/>
      <c r="B750" s="20"/>
      <c r="C750" s="20"/>
      <c r="D750" s="20"/>
      <c r="E750" s="20"/>
      <c r="F750" s="21"/>
      <c r="G750" s="45"/>
      <c r="H750" s="20"/>
      <c r="I750" s="20"/>
      <c r="J750" s="20"/>
      <c r="K750" s="20"/>
      <c r="L750" s="21"/>
      <c r="M750" s="33" t="str">
        <f>IFERROR(__xludf.DUMMYFUNCTION("IFS(W750=""Achat"",IFERROR(VALUE(X750),VALUE(REGEXREPLACE(T(X750),""[^0-9]"",""""))),W750=""Vente"",-IFERROR(VALUE(X750),VALUE(REGEXREPLACE(T(X750),""[^0-9]"",""""))),Y750=""Change"",0,Y750&lt;&gt;""Change"","""")"),"")</f>
        <v/>
      </c>
      <c r="N750" s="34" t="str">
        <f>IFERROR(__xludf.DUMMYFUNCTION("IF(Account!$F750&lt;&gt;"""", VALUE(REGEXREPLACE($I750, ""\,"", ""."")), """")"),"")</f>
        <v/>
      </c>
      <c r="O750" s="35" t="str">
        <f>IF(Account!$F750&lt;&gt;"", DATEVALUE(MID($A750,4,3) &amp; LEFT($A750,3) &amp; RIGHT($A750,4)) + TIMEVALUE($B750), "")</f>
        <v/>
      </c>
      <c r="P750" s="36" t="str">
        <f>IF(Account!$F750&lt;&gt;"", DATEVALUE(MID($C750,4,3) &amp; LEFT($C750,3) &amp; RIGHT($C750,4)), "")</f>
        <v/>
      </c>
      <c r="Q750" s="37" t="str">
        <f t="array" ref="Q750">IF($R750&lt;&gt;"",IFERROR(INDEX(ISIN!$B:$B,MATCH($R750,ISIN!$C:$C,0))),)</f>
        <v/>
      </c>
      <c r="R750" s="38" t="str">
        <f t="array" ref="R750">IF($E750&lt;&gt;"",IFERROR(INDEX(ISIN!$C:$C,MATCH($E750,ISIN!$A:$A,0)),IFERROR(INDEX($R751:$R1200,MATCH($K750,$K751:$K1200,0)))),IF(AND($Y750="change",$H750="EUR"),IF($O750=$O751,$R751,IF($O750=$O749,$R749)),IFERROR(INDEX($R751:$R1200,MATCH(SUBSTITUTE($I750,"-","",1),$K751:$K1200,0)))))</f>
        <v/>
      </c>
      <c r="S750" s="37" t="str">
        <f t="shared" si="1"/>
        <v/>
      </c>
      <c r="T750" s="39" t="str">
        <f t="shared" si="2"/>
        <v/>
      </c>
      <c r="U750" s="40" t="str">
        <f t="shared" si="3"/>
        <v/>
      </c>
      <c r="V750" s="34" t="str">
        <f t="shared" si="4"/>
        <v/>
      </c>
      <c r="W750" s="41" t="str">
        <f>IFERROR(__xludf.DUMMYFUNCTION(" IF(Account!$F750&lt;&gt;"""", SPLIT(Account!$F750, "" ""), """")"),"")</f>
        <v/>
      </c>
      <c r="X750" s="42"/>
      <c r="Y750" s="42"/>
      <c r="Z750" s="42"/>
      <c r="AA750" s="42"/>
      <c r="AB750" s="42"/>
      <c r="AC750" s="42"/>
      <c r="AD750" s="42"/>
      <c r="AE750" s="42"/>
      <c r="AF750" s="42"/>
      <c r="AG750" s="42"/>
      <c r="AH750" s="42"/>
      <c r="AI750" s="42"/>
      <c r="AJ750" s="42"/>
      <c r="AK750" s="42"/>
    </row>
    <row r="751">
      <c r="A751" s="20"/>
      <c r="B751" s="20"/>
      <c r="C751" s="20"/>
      <c r="D751" s="45"/>
      <c r="E751" s="45"/>
      <c r="F751" s="21"/>
      <c r="G751" s="45"/>
      <c r="H751" s="20"/>
      <c r="I751" s="20"/>
      <c r="J751" s="20"/>
      <c r="K751" s="20"/>
      <c r="L751" s="46"/>
      <c r="M751" s="33" t="str">
        <f>IFERROR(__xludf.DUMMYFUNCTION("IFS(W751=""Achat"",IFERROR(VALUE(X751),VALUE(REGEXREPLACE(T(X751),""[^0-9]"",""""))),W751=""Vente"",-IFERROR(VALUE(X751),VALUE(REGEXREPLACE(T(X751),""[^0-9]"",""""))),Y751=""Change"",0,Y751&lt;&gt;""Change"","""")"),"")</f>
        <v/>
      </c>
      <c r="N751" s="34" t="str">
        <f>IFERROR(__xludf.DUMMYFUNCTION("IF(Account!$F751&lt;&gt;"""", VALUE(REGEXREPLACE($I751, ""\,"", ""."")), """")"),"")</f>
        <v/>
      </c>
      <c r="O751" s="35" t="str">
        <f>IF(Account!$F751&lt;&gt;"", DATEVALUE(MID($A751,4,3) &amp; LEFT($A751,3) &amp; RIGHT($A751,4)) + TIMEVALUE($B751), "")</f>
        <v/>
      </c>
      <c r="P751" s="36" t="str">
        <f>IF(Account!$F751&lt;&gt;"", DATEVALUE(MID($C751,4,3) &amp; LEFT($C751,3) &amp; RIGHT($C751,4)), "")</f>
        <v/>
      </c>
      <c r="Q751" s="37" t="str">
        <f t="array" ref="Q751">IF($R751&lt;&gt;"",IFERROR(INDEX(ISIN!$B:$B,MATCH($R751,ISIN!$C:$C,0))),)</f>
        <v/>
      </c>
      <c r="R751" s="38" t="str">
        <f t="array" ref="R751">IF($E751&lt;&gt;"",IFERROR(INDEX(ISIN!$C:$C,MATCH($E751,ISIN!$A:$A,0)),IFERROR(INDEX($R752:$R1200,MATCH($K751,$K752:$K1200,0)))),IF(AND($Y751="change",$H751="EUR"),IF($O751=$O752,$R752,IF($O751=$O750,$R750)),IFERROR(INDEX($R752:$R1200,MATCH(SUBSTITUTE($I751,"-","",1),$K752:$K1200,0)))))</f>
        <v/>
      </c>
      <c r="S751" s="37" t="str">
        <f t="shared" si="1"/>
        <v/>
      </c>
      <c r="T751" s="39" t="str">
        <f t="shared" si="2"/>
        <v/>
      </c>
      <c r="U751" s="40" t="str">
        <f t="shared" si="3"/>
        <v/>
      </c>
      <c r="V751" s="34" t="str">
        <f t="shared" si="4"/>
        <v/>
      </c>
      <c r="W751" s="41" t="str">
        <f>IFERROR(__xludf.DUMMYFUNCTION(" IF(Account!$F751&lt;&gt;"""", SPLIT(Account!$F751, "" ""), """")"),"")</f>
        <v/>
      </c>
      <c r="X751" s="42"/>
      <c r="Y751" s="42"/>
      <c r="Z751" s="42"/>
      <c r="AA751" s="42"/>
      <c r="AB751" s="42"/>
      <c r="AC751" s="42"/>
      <c r="AD751" s="42"/>
      <c r="AE751" s="42"/>
      <c r="AF751" s="42"/>
      <c r="AG751" s="42"/>
      <c r="AH751" s="42"/>
      <c r="AI751" s="42"/>
      <c r="AJ751" s="42"/>
      <c r="AK751" s="42"/>
    </row>
    <row r="752">
      <c r="A752" s="20"/>
      <c r="B752" s="20"/>
      <c r="C752" s="20"/>
      <c r="D752" s="45"/>
      <c r="E752" s="45"/>
      <c r="F752" s="21"/>
      <c r="G752" s="20"/>
      <c r="H752" s="20"/>
      <c r="I752" s="20"/>
      <c r="J752" s="20"/>
      <c r="K752" s="20"/>
      <c r="L752" s="46"/>
      <c r="M752" s="33" t="str">
        <f>IFERROR(__xludf.DUMMYFUNCTION("IFS(W752=""Achat"",IFERROR(VALUE(X752),VALUE(REGEXREPLACE(T(X752),""[^0-9]"",""""))),W752=""Vente"",-IFERROR(VALUE(X752),VALUE(REGEXREPLACE(T(X752),""[^0-9]"",""""))),Y752=""Change"",0,Y752&lt;&gt;""Change"","""")"),"")</f>
        <v/>
      </c>
      <c r="N752" s="34" t="str">
        <f>IFERROR(__xludf.DUMMYFUNCTION("IF(Account!$F752&lt;&gt;"""", VALUE(REGEXREPLACE($I752, ""\,"", ""."")), """")"),"")</f>
        <v/>
      </c>
      <c r="O752" s="35" t="str">
        <f>IF(Account!$F752&lt;&gt;"", DATEVALUE(MID($A752,4,3) &amp; LEFT($A752,3) &amp; RIGHT($A752,4)) + TIMEVALUE($B752), "")</f>
        <v/>
      </c>
      <c r="P752" s="36" t="str">
        <f>IF(Account!$F752&lt;&gt;"", DATEVALUE(MID($C752,4,3) &amp; LEFT($C752,3) &amp; RIGHT($C752,4)), "")</f>
        <v/>
      </c>
      <c r="Q752" s="37" t="str">
        <f t="array" ref="Q752">IF($R752&lt;&gt;"",IFERROR(INDEX(ISIN!$B:$B,MATCH($R752,ISIN!$C:$C,0))),)</f>
        <v/>
      </c>
      <c r="R752" s="38" t="str">
        <f t="array" ref="R752">IF($E752&lt;&gt;"",IFERROR(INDEX(ISIN!$C:$C,MATCH($E752,ISIN!$A:$A,0)),IFERROR(INDEX($R753:$R1200,MATCH($K752,$K753:$K1200,0)))),IF(AND($Y752="change",$H752="EUR"),IF($O752=$O753,$R753,IF($O752=$O751,$R751)),IFERROR(INDEX($R753:$R1200,MATCH(SUBSTITUTE($I752,"-","",1),$K753:$K1200,0)))))</f>
        <v/>
      </c>
      <c r="S752" s="37" t="str">
        <f t="shared" si="1"/>
        <v/>
      </c>
      <c r="T752" s="39" t="str">
        <f t="shared" si="2"/>
        <v/>
      </c>
      <c r="U752" s="40" t="str">
        <f t="shared" si="3"/>
        <v/>
      </c>
      <c r="V752" s="34" t="str">
        <f t="shared" si="4"/>
        <v/>
      </c>
      <c r="W752" s="41" t="str">
        <f>IFERROR(__xludf.DUMMYFUNCTION(" IF(Account!$F752&lt;&gt;"""", SPLIT(Account!$F752, "" ""), """")"),"")</f>
        <v/>
      </c>
      <c r="X752" s="42"/>
      <c r="Y752" s="42"/>
      <c r="Z752" s="42"/>
      <c r="AA752" s="42"/>
      <c r="AB752" s="42"/>
      <c r="AC752" s="42"/>
      <c r="AD752" s="42"/>
      <c r="AE752" s="42"/>
      <c r="AF752" s="42"/>
      <c r="AG752" s="42"/>
      <c r="AH752" s="42"/>
      <c r="AI752" s="42"/>
      <c r="AJ752" s="42"/>
      <c r="AK752" s="42"/>
    </row>
    <row r="753">
      <c r="A753" s="20"/>
      <c r="B753" s="20"/>
      <c r="C753" s="20"/>
      <c r="D753" s="20"/>
      <c r="E753" s="20"/>
      <c r="F753" s="21"/>
      <c r="G753" s="45"/>
      <c r="H753" s="20"/>
      <c r="I753" s="20"/>
      <c r="J753" s="20"/>
      <c r="K753" s="20"/>
      <c r="L753" s="46"/>
      <c r="M753" s="33" t="str">
        <f>IFERROR(__xludf.DUMMYFUNCTION("IFS(W753=""Achat"",IFERROR(VALUE(X753),VALUE(REGEXREPLACE(T(X753),""[^0-9]"",""""))),W753=""Vente"",-IFERROR(VALUE(X753),VALUE(REGEXREPLACE(T(X753),""[^0-9]"",""""))),Y753=""Change"",0,Y753&lt;&gt;""Change"","""")"),"")</f>
        <v/>
      </c>
      <c r="N753" s="34" t="str">
        <f>IFERROR(__xludf.DUMMYFUNCTION("IF(Account!$F753&lt;&gt;"""", VALUE(REGEXREPLACE($I753, ""\,"", ""."")), """")"),"")</f>
        <v/>
      </c>
      <c r="O753" s="35" t="str">
        <f>IF(Account!$F753&lt;&gt;"", DATEVALUE(MID($A753,4,3) &amp; LEFT($A753,3) &amp; RIGHT($A753,4)) + TIMEVALUE($B753), "")</f>
        <v/>
      </c>
      <c r="P753" s="36" t="str">
        <f>IF(Account!$F753&lt;&gt;"", DATEVALUE(MID($C753,4,3) &amp; LEFT($C753,3) &amp; RIGHT($C753,4)), "")</f>
        <v/>
      </c>
      <c r="Q753" s="37" t="str">
        <f t="array" ref="Q753">IF($R753&lt;&gt;"",IFERROR(INDEX(ISIN!$B:$B,MATCH($R753,ISIN!$C:$C,0))),)</f>
        <v/>
      </c>
      <c r="R753" s="38" t="str">
        <f t="array" ref="R753">IF($E753&lt;&gt;"",IFERROR(INDEX(ISIN!$C:$C,MATCH($E753,ISIN!$A:$A,0)),IFERROR(INDEX($R754:$R1200,MATCH($K753,$K754:$K1200,0)))),IF(AND($Y753="change",$H753="EUR"),IF($O753=$O754,$R754,IF($O753=$O752,$R752)),IFERROR(INDEX($R754:$R1200,MATCH(SUBSTITUTE($I753,"-","",1),$K754:$K1200,0)))))</f>
        <v/>
      </c>
      <c r="S753" s="37" t="str">
        <f t="shared" si="1"/>
        <v/>
      </c>
      <c r="T753" s="39" t="str">
        <f t="shared" si="2"/>
        <v/>
      </c>
      <c r="U753" s="40" t="str">
        <f t="shared" si="3"/>
        <v/>
      </c>
      <c r="V753" s="34" t="str">
        <f t="shared" si="4"/>
        <v/>
      </c>
      <c r="W753" s="41" t="str">
        <f>IFERROR(__xludf.DUMMYFUNCTION(" IF(Account!$F753&lt;&gt;"""", SPLIT(Account!$F753, "" ""), """")"),"")</f>
        <v/>
      </c>
      <c r="X753" s="42"/>
      <c r="Y753" s="42"/>
      <c r="Z753" s="42"/>
      <c r="AA753" s="42"/>
      <c r="AB753" s="42"/>
      <c r="AC753" s="42"/>
      <c r="AD753" s="42"/>
      <c r="AE753" s="42"/>
      <c r="AF753" s="42"/>
      <c r="AG753" s="42"/>
      <c r="AH753" s="42"/>
      <c r="AI753" s="42"/>
      <c r="AJ753" s="42"/>
      <c r="AK753" s="42"/>
    </row>
    <row r="754">
      <c r="A754" s="20"/>
      <c r="B754" s="20"/>
      <c r="C754" s="20"/>
      <c r="D754" s="20"/>
      <c r="E754" s="20"/>
      <c r="F754" s="21"/>
      <c r="G754" s="45"/>
      <c r="H754" s="20"/>
      <c r="I754" s="20"/>
      <c r="J754" s="20"/>
      <c r="K754" s="20"/>
      <c r="L754" s="21"/>
      <c r="M754" s="33" t="str">
        <f>IFERROR(__xludf.DUMMYFUNCTION("IFS(W754=""Achat"",IFERROR(VALUE(X754),VALUE(REGEXREPLACE(T(X754),""[^0-9]"",""""))),W754=""Vente"",-IFERROR(VALUE(X754),VALUE(REGEXREPLACE(T(X754),""[^0-9]"",""""))),Y754=""Change"",0,Y754&lt;&gt;""Change"","""")"),"")</f>
        <v/>
      </c>
      <c r="N754" s="34" t="str">
        <f>IFERROR(__xludf.DUMMYFUNCTION("IF(Account!$F754&lt;&gt;"""", VALUE(REGEXREPLACE($I754, ""\,"", ""."")), """")"),"")</f>
        <v/>
      </c>
      <c r="O754" s="35" t="str">
        <f>IF(Account!$F754&lt;&gt;"", DATEVALUE(MID($A754,4,3) &amp; LEFT($A754,3) &amp; RIGHT($A754,4)) + TIMEVALUE($B754), "")</f>
        <v/>
      </c>
      <c r="P754" s="36" t="str">
        <f>IF(Account!$F754&lt;&gt;"", DATEVALUE(MID($C754,4,3) &amp; LEFT($C754,3) &amp; RIGHT($C754,4)), "")</f>
        <v/>
      </c>
      <c r="Q754" s="37" t="str">
        <f t="array" ref="Q754">IF($R754&lt;&gt;"",IFERROR(INDEX(ISIN!$B:$B,MATCH($R754,ISIN!$C:$C,0))),)</f>
        <v/>
      </c>
      <c r="R754" s="38" t="str">
        <f t="array" ref="R754">IF($E754&lt;&gt;"",IFERROR(INDEX(ISIN!$C:$C,MATCH($E754,ISIN!$A:$A,0)),IFERROR(INDEX($R755:$R1200,MATCH($K754,$K755:$K1200,0)))),IF(AND($Y754="change",$H754="EUR"),IF($O754=$O755,$R755,IF($O754=$O753,$R753)),IFERROR(INDEX($R755:$R1200,MATCH(SUBSTITUTE($I754,"-","",1),$K755:$K1200,0)))))</f>
        <v/>
      </c>
      <c r="S754" s="37" t="str">
        <f t="shared" si="1"/>
        <v/>
      </c>
      <c r="T754" s="39" t="str">
        <f t="shared" si="2"/>
        <v/>
      </c>
      <c r="U754" s="40" t="str">
        <f t="shared" si="3"/>
        <v/>
      </c>
      <c r="V754" s="34" t="str">
        <f t="shared" si="4"/>
        <v/>
      </c>
      <c r="W754" s="41" t="str">
        <f>IFERROR(__xludf.DUMMYFUNCTION(" IF(Account!$F754&lt;&gt;"""", SPLIT(Account!$F754, "" ""), """")"),"")</f>
        <v/>
      </c>
      <c r="X754" s="42"/>
      <c r="Y754" s="42"/>
      <c r="Z754" s="42"/>
      <c r="AA754" s="42"/>
      <c r="AB754" s="42"/>
      <c r="AC754" s="42"/>
      <c r="AD754" s="42"/>
      <c r="AE754" s="42"/>
      <c r="AF754" s="42"/>
      <c r="AG754" s="42"/>
      <c r="AH754" s="42"/>
      <c r="AI754" s="42"/>
      <c r="AJ754" s="42"/>
      <c r="AK754" s="42"/>
    </row>
    <row r="755">
      <c r="A755" s="20"/>
      <c r="B755" s="20"/>
      <c r="C755" s="20"/>
      <c r="D755" s="20"/>
      <c r="E755" s="20"/>
      <c r="F755" s="21"/>
      <c r="G755" s="45"/>
      <c r="H755" s="20"/>
      <c r="I755" s="20"/>
      <c r="J755" s="20"/>
      <c r="K755" s="20"/>
      <c r="L755" s="21"/>
      <c r="M755" s="33" t="str">
        <f>IFERROR(__xludf.DUMMYFUNCTION("IFS(W755=""Achat"",IFERROR(VALUE(X755),VALUE(REGEXREPLACE(T(X755),""[^0-9]"",""""))),W755=""Vente"",-IFERROR(VALUE(X755),VALUE(REGEXREPLACE(T(X755),""[^0-9]"",""""))),Y755=""Change"",0,Y755&lt;&gt;""Change"","""")"),"")</f>
        <v/>
      </c>
      <c r="N755" s="34" t="str">
        <f>IFERROR(__xludf.DUMMYFUNCTION("IF(Account!$F755&lt;&gt;"""", VALUE(REGEXREPLACE($I755, ""\,"", ""."")), """")"),"")</f>
        <v/>
      </c>
      <c r="O755" s="35" t="str">
        <f>IF(Account!$F755&lt;&gt;"", DATEVALUE(MID($A755,4,3) &amp; LEFT($A755,3) &amp; RIGHT($A755,4)) + TIMEVALUE($B755), "")</f>
        <v/>
      </c>
      <c r="P755" s="36" t="str">
        <f>IF(Account!$F755&lt;&gt;"", DATEVALUE(MID($C755,4,3) &amp; LEFT($C755,3) &amp; RIGHT($C755,4)), "")</f>
        <v/>
      </c>
      <c r="Q755" s="37" t="str">
        <f t="array" ref="Q755">IF($R755&lt;&gt;"",IFERROR(INDEX(ISIN!$B:$B,MATCH($R755,ISIN!$C:$C,0))),)</f>
        <v/>
      </c>
      <c r="R755" s="38" t="str">
        <f t="array" ref="R755">IF($E755&lt;&gt;"",IFERROR(INDEX(ISIN!$C:$C,MATCH($E755,ISIN!$A:$A,0)),IFERROR(INDEX($R756:$R1200,MATCH($K755,$K756:$K1200,0)))),IF(AND($Y755="change",$H755="EUR"),IF($O755=$O756,$R756,IF($O755=$O754,$R754)),IFERROR(INDEX($R756:$R1200,MATCH(SUBSTITUTE($I755,"-","",1),$K756:$K1200,0)))))</f>
        <v/>
      </c>
      <c r="S755" s="37" t="str">
        <f t="shared" si="1"/>
        <v/>
      </c>
      <c r="T755" s="39" t="str">
        <f t="shared" si="2"/>
        <v/>
      </c>
      <c r="U755" s="40" t="str">
        <f t="shared" si="3"/>
        <v/>
      </c>
      <c r="V755" s="34" t="str">
        <f t="shared" si="4"/>
        <v/>
      </c>
      <c r="W755" s="41" t="str">
        <f>IFERROR(__xludf.DUMMYFUNCTION(" IF(Account!$F755&lt;&gt;"""", SPLIT(Account!$F755, "" ""), """")"),"")</f>
        <v/>
      </c>
      <c r="X755" s="42"/>
      <c r="Y755" s="42"/>
      <c r="Z755" s="42"/>
      <c r="AA755" s="42"/>
      <c r="AB755" s="42"/>
      <c r="AC755" s="42"/>
      <c r="AD755" s="42"/>
      <c r="AE755" s="42"/>
      <c r="AF755" s="42"/>
      <c r="AG755" s="42"/>
      <c r="AH755" s="42"/>
      <c r="AI755" s="42"/>
      <c r="AJ755" s="42"/>
      <c r="AK755" s="42"/>
    </row>
    <row r="756">
      <c r="A756" s="20"/>
      <c r="B756" s="20"/>
      <c r="C756" s="20"/>
      <c r="D756" s="20"/>
      <c r="E756" s="20"/>
      <c r="F756" s="21"/>
      <c r="G756" s="45"/>
      <c r="H756" s="20"/>
      <c r="I756" s="20"/>
      <c r="J756" s="20"/>
      <c r="K756" s="20"/>
      <c r="L756" s="21"/>
      <c r="M756" s="33" t="str">
        <f>IFERROR(__xludf.DUMMYFUNCTION("IFS(W756=""Achat"",IFERROR(VALUE(X756),VALUE(REGEXREPLACE(T(X756),""[^0-9]"",""""))),W756=""Vente"",-IFERROR(VALUE(X756),VALUE(REGEXREPLACE(T(X756),""[^0-9]"",""""))),Y756=""Change"",0,Y756&lt;&gt;""Change"","""")"),"")</f>
        <v/>
      </c>
      <c r="N756" s="34" t="str">
        <f>IFERROR(__xludf.DUMMYFUNCTION("IF(Account!$F756&lt;&gt;"""", VALUE(REGEXREPLACE($I756, ""\,"", ""."")), """")"),"")</f>
        <v/>
      </c>
      <c r="O756" s="35" t="str">
        <f>IF(Account!$F756&lt;&gt;"", DATEVALUE(MID($A756,4,3) &amp; LEFT($A756,3) &amp; RIGHT($A756,4)) + TIMEVALUE($B756), "")</f>
        <v/>
      </c>
      <c r="P756" s="36" t="str">
        <f>IF(Account!$F756&lt;&gt;"", DATEVALUE(MID($C756,4,3) &amp; LEFT($C756,3) &amp; RIGHT($C756,4)), "")</f>
        <v/>
      </c>
      <c r="Q756" s="37" t="str">
        <f t="array" ref="Q756">IF($R756&lt;&gt;"",IFERROR(INDEX(ISIN!$B:$B,MATCH($R756,ISIN!$C:$C,0))),)</f>
        <v/>
      </c>
      <c r="R756" s="38" t="str">
        <f t="array" ref="R756">IF($E756&lt;&gt;"",IFERROR(INDEX(ISIN!$C:$C,MATCH($E756,ISIN!$A:$A,0)),IFERROR(INDEX($R757:$R1200,MATCH($K756,$K757:$K1200,0)))),IF(AND($Y756="change",$H756="EUR"),IF($O756=$O757,$R757,IF($O756=$O755,$R755)),IFERROR(INDEX($R757:$R1200,MATCH(SUBSTITUTE($I756,"-","",1),$K757:$K1200,0)))))</f>
        <v/>
      </c>
      <c r="S756" s="37" t="str">
        <f t="shared" si="1"/>
        <v/>
      </c>
      <c r="T756" s="39" t="str">
        <f t="shared" si="2"/>
        <v/>
      </c>
      <c r="U756" s="40" t="str">
        <f t="shared" si="3"/>
        <v/>
      </c>
      <c r="V756" s="34" t="str">
        <f t="shared" si="4"/>
        <v/>
      </c>
      <c r="W756" s="41" t="str">
        <f>IFERROR(__xludf.DUMMYFUNCTION(" IF(Account!$F756&lt;&gt;"""", SPLIT(Account!$F756, "" ""), """")"),"")</f>
        <v/>
      </c>
      <c r="X756" s="42"/>
      <c r="Y756" s="42"/>
      <c r="Z756" s="42"/>
      <c r="AA756" s="42"/>
      <c r="AB756" s="42"/>
      <c r="AC756" s="42"/>
      <c r="AD756" s="42"/>
      <c r="AE756" s="42"/>
      <c r="AF756" s="42"/>
      <c r="AG756" s="42"/>
      <c r="AH756" s="42"/>
      <c r="AI756" s="42"/>
      <c r="AJ756" s="42"/>
      <c r="AK756" s="42"/>
    </row>
    <row r="757">
      <c r="A757" s="20"/>
      <c r="B757" s="20"/>
      <c r="C757" s="20"/>
      <c r="D757" s="20"/>
      <c r="E757" s="20"/>
      <c r="F757" s="21"/>
      <c r="G757" s="45"/>
      <c r="H757" s="20"/>
      <c r="I757" s="20"/>
      <c r="J757" s="20"/>
      <c r="K757" s="20"/>
      <c r="L757" s="21"/>
      <c r="M757" s="33" t="str">
        <f>IFERROR(__xludf.DUMMYFUNCTION("IFS(W757=""Achat"",IFERROR(VALUE(X757),VALUE(REGEXREPLACE(T(X757),""[^0-9]"",""""))),W757=""Vente"",-IFERROR(VALUE(X757),VALUE(REGEXREPLACE(T(X757),""[^0-9]"",""""))),Y757=""Change"",0,Y757&lt;&gt;""Change"","""")"),"")</f>
        <v/>
      </c>
      <c r="N757" s="34" t="str">
        <f>IFERROR(__xludf.DUMMYFUNCTION("IF(Account!$F757&lt;&gt;"""", VALUE(REGEXREPLACE($I757, ""\,"", ""."")), """")"),"")</f>
        <v/>
      </c>
      <c r="O757" s="35" t="str">
        <f>IF(Account!$F757&lt;&gt;"", DATEVALUE(MID($A757,4,3) &amp; LEFT($A757,3) &amp; RIGHT($A757,4)) + TIMEVALUE($B757), "")</f>
        <v/>
      </c>
      <c r="P757" s="36" t="str">
        <f>IF(Account!$F757&lt;&gt;"", DATEVALUE(MID($C757,4,3) &amp; LEFT($C757,3) &amp; RIGHT($C757,4)), "")</f>
        <v/>
      </c>
      <c r="Q757" s="37" t="str">
        <f t="array" ref="Q757">IF($R757&lt;&gt;"",IFERROR(INDEX(ISIN!$B:$B,MATCH($R757,ISIN!$C:$C,0))),)</f>
        <v/>
      </c>
      <c r="R757" s="38" t="str">
        <f t="array" ref="R757">IF($E757&lt;&gt;"",IFERROR(INDEX(ISIN!$C:$C,MATCH($E757,ISIN!$A:$A,0)),IFERROR(INDEX($R758:$R1200,MATCH($K757,$K758:$K1200,0)))),IF(AND($Y757="change",$H757="EUR"),IF($O757=$O758,$R758,IF($O757=$O756,$R756)),IFERROR(INDEX($R758:$R1200,MATCH(SUBSTITUTE($I757,"-","",1),$K758:$K1200,0)))))</f>
        <v/>
      </c>
      <c r="S757" s="37" t="str">
        <f t="shared" si="1"/>
        <v/>
      </c>
      <c r="T757" s="39" t="str">
        <f t="shared" si="2"/>
        <v/>
      </c>
      <c r="U757" s="40" t="str">
        <f t="shared" si="3"/>
        <v/>
      </c>
      <c r="V757" s="34" t="str">
        <f t="shared" si="4"/>
        <v/>
      </c>
      <c r="W757" s="41" t="str">
        <f>IFERROR(__xludf.DUMMYFUNCTION(" IF(Account!$F757&lt;&gt;"""", SPLIT(Account!$F757, "" ""), """")"),"")</f>
        <v/>
      </c>
      <c r="X757" s="42"/>
      <c r="Y757" s="42"/>
      <c r="Z757" s="42"/>
      <c r="AA757" s="42"/>
      <c r="AB757" s="42"/>
      <c r="AC757" s="42"/>
      <c r="AD757" s="42"/>
      <c r="AE757" s="42"/>
      <c r="AF757" s="42"/>
      <c r="AG757" s="42"/>
      <c r="AH757" s="42"/>
      <c r="AI757" s="42"/>
      <c r="AJ757" s="42"/>
      <c r="AK757" s="42"/>
    </row>
    <row r="758">
      <c r="A758" s="20"/>
      <c r="B758" s="20"/>
      <c r="C758" s="20"/>
      <c r="D758" s="20"/>
      <c r="E758" s="20"/>
      <c r="F758" s="21"/>
      <c r="G758" s="45"/>
      <c r="H758" s="45"/>
      <c r="I758" s="45"/>
      <c r="J758" s="20"/>
      <c r="K758" s="20"/>
      <c r="L758" s="46"/>
      <c r="M758" s="33" t="str">
        <f>IFERROR(__xludf.DUMMYFUNCTION("IFS(W758=""Achat"",IFERROR(VALUE(X758),VALUE(REGEXREPLACE(T(X758),""[^0-9]"",""""))),W758=""Vente"",-IFERROR(VALUE(X758),VALUE(REGEXREPLACE(T(X758),""[^0-9]"",""""))),Y758=""Change"",0,Y758&lt;&gt;""Change"","""")"),"")</f>
        <v/>
      </c>
      <c r="N758" s="34" t="str">
        <f>IFERROR(__xludf.DUMMYFUNCTION("IF(Account!$F758&lt;&gt;"""", VALUE(REGEXREPLACE($I758, ""\,"", ""."")), """")"),"")</f>
        <v/>
      </c>
      <c r="O758" s="35" t="str">
        <f>IF(Account!$F758&lt;&gt;"", DATEVALUE(MID($A758,4,3) &amp; LEFT($A758,3) &amp; RIGHT($A758,4)) + TIMEVALUE($B758), "")</f>
        <v/>
      </c>
      <c r="P758" s="36" t="str">
        <f>IF(Account!$F758&lt;&gt;"", DATEVALUE(MID($C758,4,3) &amp; LEFT($C758,3) &amp; RIGHT($C758,4)), "")</f>
        <v/>
      </c>
      <c r="Q758" s="37" t="str">
        <f t="array" ref="Q758">IF($R758&lt;&gt;"",IFERROR(INDEX(ISIN!$B:$B,MATCH($R758,ISIN!$C:$C,0))),)</f>
        <v/>
      </c>
      <c r="R758" s="38" t="str">
        <f t="array" ref="R758">IF($E758&lt;&gt;"",IFERROR(INDEX(ISIN!$C:$C,MATCH($E758,ISIN!$A:$A,0)),IFERROR(INDEX($R759:$R1200,MATCH($K758,$K759:$K1200,0)))),IF(AND($Y758="change",$H758="EUR"),IF($O758=$O759,$R759,IF($O758=$O757,$R757)),IFERROR(INDEX($R759:$R1200,MATCH(SUBSTITUTE($I758,"-","",1),$K759:$K1200,0)))))</f>
        <v/>
      </c>
      <c r="S758" s="37" t="str">
        <f t="shared" si="1"/>
        <v/>
      </c>
      <c r="T758" s="39" t="str">
        <f t="shared" si="2"/>
        <v/>
      </c>
      <c r="U758" s="40" t="str">
        <f t="shared" si="3"/>
        <v/>
      </c>
      <c r="V758" s="34" t="str">
        <f t="shared" si="4"/>
        <v/>
      </c>
      <c r="W758" s="41" t="str">
        <f>IFERROR(__xludf.DUMMYFUNCTION(" IF(Account!$F758&lt;&gt;"""", SPLIT(Account!$F758, "" ""), """")"),"")</f>
        <v/>
      </c>
      <c r="X758" s="42"/>
      <c r="Y758" s="42"/>
      <c r="Z758" s="42"/>
      <c r="AA758" s="42"/>
      <c r="AB758" s="42"/>
      <c r="AC758" s="42"/>
      <c r="AD758" s="42"/>
      <c r="AE758" s="42"/>
      <c r="AF758" s="42"/>
      <c r="AG758" s="42"/>
      <c r="AH758" s="42"/>
      <c r="AI758" s="42"/>
      <c r="AJ758" s="42"/>
      <c r="AK758" s="42"/>
    </row>
    <row r="759">
      <c r="A759" s="20"/>
      <c r="B759" s="20"/>
      <c r="C759" s="20"/>
      <c r="D759" s="45"/>
      <c r="E759" s="45"/>
      <c r="F759" s="21"/>
      <c r="G759" s="45"/>
      <c r="H759" s="20"/>
      <c r="I759" s="20"/>
      <c r="J759" s="20"/>
      <c r="K759" s="20"/>
      <c r="L759" s="46"/>
      <c r="M759" s="33" t="str">
        <f>IFERROR(__xludf.DUMMYFUNCTION("IFS(W759=""Achat"",IFERROR(VALUE(X759),VALUE(REGEXREPLACE(T(X759),""[^0-9]"",""""))),W759=""Vente"",-IFERROR(VALUE(X759),VALUE(REGEXREPLACE(T(X759),""[^0-9]"",""""))),Y759=""Change"",0,Y759&lt;&gt;""Change"","""")"),"")</f>
        <v/>
      </c>
      <c r="N759" s="34" t="str">
        <f>IFERROR(__xludf.DUMMYFUNCTION("IF(Account!$F759&lt;&gt;"""", VALUE(REGEXREPLACE($I759, ""\,"", ""."")), """")"),"")</f>
        <v/>
      </c>
      <c r="O759" s="35" t="str">
        <f>IF(Account!$F759&lt;&gt;"", DATEVALUE(MID($A759,4,3) &amp; LEFT($A759,3) &amp; RIGHT($A759,4)) + TIMEVALUE($B759), "")</f>
        <v/>
      </c>
      <c r="P759" s="36" t="str">
        <f>IF(Account!$F759&lt;&gt;"", DATEVALUE(MID($C759,4,3) &amp; LEFT($C759,3) &amp; RIGHT($C759,4)), "")</f>
        <v/>
      </c>
      <c r="Q759" s="37" t="str">
        <f t="array" ref="Q759">IF($R759&lt;&gt;"",IFERROR(INDEX(ISIN!$B:$B,MATCH($R759,ISIN!$C:$C,0))),)</f>
        <v/>
      </c>
      <c r="R759" s="38" t="str">
        <f t="array" ref="R759">IF($E759&lt;&gt;"",IFERROR(INDEX(ISIN!$C:$C,MATCH($E759,ISIN!$A:$A,0)),IFERROR(INDEX($R760:$R1200,MATCH($K759,$K760:$K1200,0)))),IF(AND($Y759="change",$H759="EUR"),IF($O759=$O760,$R760,IF($O759=$O758,$R758)),IFERROR(INDEX($R760:$R1200,MATCH(SUBSTITUTE($I759,"-","",1),$K760:$K1200,0)))))</f>
        <v/>
      </c>
      <c r="S759" s="37" t="str">
        <f t="shared" si="1"/>
        <v/>
      </c>
      <c r="T759" s="39" t="str">
        <f t="shared" si="2"/>
        <v/>
      </c>
      <c r="U759" s="40" t="str">
        <f t="shared" si="3"/>
        <v/>
      </c>
      <c r="V759" s="34" t="str">
        <f t="shared" si="4"/>
        <v/>
      </c>
      <c r="W759" s="41" t="str">
        <f>IFERROR(__xludf.DUMMYFUNCTION(" IF(Account!$F759&lt;&gt;"""", SPLIT(Account!$F759, "" ""), """")"),"")</f>
        <v/>
      </c>
      <c r="X759" s="42"/>
      <c r="Y759" s="42"/>
      <c r="Z759" s="42"/>
      <c r="AA759" s="42"/>
      <c r="AB759" s="42"/>
      <c r="AC759" s="42"/>
      <c r="AD759" s="42"/>
      <c r="AE759" s="42"/>
      <c r="AF759" s="42"/>
      <c r="AG759" s="42"/>
      <c r="AH759" s="42"/>
      <c r="AI759" s="42"/>
      <c r="AJ759" s="42"/>
      <c r="AK759" s="42"/>
    </row>
    <row r="760">
      <c r="A760" s="20"/>
      <c r="B760" s="20"/>
      <c r="C760" s="20"/>
      <c r="D760" s="45"/>
      <c r="E760" s="45"/>
      <c r="F760" s="21"/>
      <c r="G760" s="20"/>
      <c r="H760" s="20"/>
      <c r="I760" s="20"/>
      <c r="J760" s="20"/>
      <c r="K760" s="20"/>
      <c r="L760" s="46"/>
      <c r="M760" s="33" t="str">
        <f>IFERROR(__xludf.DUMMYFUNCTION("IFS(W760=""Achat"",IFERROR(VALUE(X760),VALUE(REGEXREPLACE(T(X760),""[^0-9]"",""""))),W760=""Vente"",-IFERROR(VALUE(X760),VALUE(REGEXREPLACE(T(X760),""[^0-9]"",""""))),Y760=""Change"",0,Y760&lt;&gt;""Change"","""")"),"")</f>
        <v/>
      </c>
      <c r="N760" s="34" t="str">
        <f>IFERROR(__xludf.DUMMYFUNCTION("IF(Account!$F760&lt;&gt;"""", VALUE(REGEXREPLACE($I760, ""\,"", ""."")), """")"),"")</f>
        <v/>
      </c>
      <c r="O760" s="35" t="str">
        <f>IF(Account!$F760&lt;&gt;"", DATEVALUE(MID($A760,4,3) &amp; LEFT($A760,3) &amp; RIGHT($A760,4)) + TIMEVALUE($B760), "")</f>
        <v/>
      </c>
      <c r="P760" s="36" t="str">
        <f>IF(Account!$F760&lt;&gt;"", DATEVALUE(MID($C760,4,3) &amp; LEFT($C760,3) &amp; RIGHT($C760,4)), "")</f>
        <v/>
      </c>
      <c r="Q760" s="37" t="str">
        <f t="array" ref="Q760">IF($R760&lt;&gt;"",IFERROR(INDEX(ISIN!$B:$B,MATCH($R760,ISIN!$C:$C,0))),)</f>
        <v/>
      </c>
      <c r="R760" s="38" t="str">
        <f t="array" ref="R760">IF($E760&lt;&gt;"",IFERROR(INDEX(ISIN!$C:$C,MATCH($E760,ISIN!$A:$A,0)),IFERROR(INDEX($R761:$R1200,MATCH($K760,$K761:$K1200,0)))),IF(AND($Y760="change",$H760="EUR"),IF($O760=$O761,$R761,IF($O760=$O759,$R759)),IFERROR(INDEX($R761:$R1200,MATCH(SUBSTITUTE($I760,"-","",1),$K761:$K1200,0)))))</f>
        <v/>
      </c>
      <c r="S760" s="37" t="str">
        <f t="shared" si="1"/>
        <v/>
      </c>
      <c r="T760" s="39" t="str">
        <f t="shared" si="2"/>
        <v/>
      </c>
      <c r="U760" s="40" t="str">
        <f t="shared" si="3"/>
        <v/>
      </c>
      <c r="V760" s="34" t="str">
        <f t="shared" si="4"/>
        <v/>
      </c>
      <c r="W760" s="41" t="str">
        <f>IFERROR(__xludf.DUMMYFUNCTION(" IF(Account!$F760&lt;&gt;"""", SPLIT(Account!$F760, "" ""), """")"),"")</f>
        <v/>
      </c>
      <c r="X760" s="42"/>
      <c r="Y760" s="42"/>
      <c r="Z760" s="42"/>
      <c r="AA760" s="42"/>
      <c r="AB760" s="42"/>
      <c r="AC760" s="42"/>
      <c r="AD760" s="42"/>
      <c r="AE760" s="42"/>
      <c r="AF760" s="42"/>
      <c r="AG760" s="42"/>
      <c r="AH760" s="42"/>
      <c r="AI760" s="42"/>
      <c r="AJ760" s="42"/>
      <c r="AK760" s="42"/>
    </row>
    <row r="761">
      <c r="A761" s="20"/>
      <c r="B761" s="20"/>
      <c r="C761" s="20"/>
      <c r="D761" s="20"/>
      <c r="E761" s="20"/>
      <c r="F761" s="21"/>
      <c r="G761" s="45"/>
      <c r="H761" s="45"/>
      <c r="I761" s="45"/>
      <c r="J761" s="20"/>
      <c r="K761" s="20"/>
      <c r="L761" s="46"/>
      <c r="M761" s="33" t="str">
        <f>IFERROR(__xludf.DUMMYFUNCTION("IFS(W761=""Achat"",IFERROR(VALUE(X761),VALUE(REGEXREPLACE(T(X761),""[^0-9]"",""""))),W761=""Vente"",-IFERROR(VALUE(X761),VALUE(REGEXREPLACE(T(X761),""[^0-9]"",""""))),Y761=""Change"",0,Y761&lt;&gt;""Change"","""")"),"")</f>
        <v/>
      </c>
      <c r="N761" s="34" t="str">
        <f>IFERROR(__xludf.DUMMYFUNCTION("IF(Account!$F761&lt;&gt;"""", VALUE(REGEXREPLACE($I761, ""\,"", ""."")), """")"),"")</f>
        <v/>
      </c>
      <c r="O761" s="35" t="str">
        <f>IF(Account!$F761&lt;&gt;"", DATEVALUE(MID($A761,4,3) &amp; LEFT($A761,3) &amp; RIGHT($A761,4)) + TIMEVALUE($B761), "")</f>
        <v/>
      </c>
      <c r="P761" s="36" t="str">
        <f>IF(Account!$F761&lt;&gt;"", DATEVALUE(MID($C761,4,3) &amp; LEFT($C761,3) &amp; RIGHT($C761,4)), "")</f>
        <v/>
      </c>
      <c r="Q761" s="37" t="str">
        <f t="array" ref="Q761">IF($R761&lt;&gt;"",IFERROR(INDEX(ISIN!$B:$B,MATCH($R761,ISIN!$C:$C,0))),)</f>
        <v/>
      </c>
      <c r="R761" s="38" t="str">
        <f t="array" ref="R761">IF($E761&lt;&gt;"",IFERROR(INDEX(ISIN!$C:$C,MATCH($E761,ISIN!$A:$A,0)),IFERROR(INDEX($R762:$R1200,MATCH($K761,$K762:$K1200,0)))),IF(AND($Y761="change",$H761="EUR"),IF($O761=$O762,$R762,IF($O761=$O760,$R760)),IFERROR(INDEX($R762:$R1200,MATCH(SUBSTITUTE($I761,"-","",1),$K762:$K1200,0)))))</f>
        <v/>
      </c>
      <c r="S761" s="37" t="str">
        <f t="shared" si="1"/>
        <v/>
      </c>
      <c r="T761" s="39" t="str">
        <f t="shared" si="2"/>
        <v/>
      </c>
      <c r="U761" s="40" t="str">
        <f t="shared" si="3"/>
        <v/>
      </c>
      <c r="V761" s="34" t="str">
        <f t="shared" si="4"/>
        <v/>
      </c>
      <c r="W761" s="41" t="str">
        <f>IFERROR(__xludf.DUMMYFUNCTION(" IF(Account!$F761&lt;&gt;"""", SPLIT(Account!$F761, "" ""), """")"),"")</f>
        <v/>
      </c>
      <c r="X761" s="42"/>
      <c r="Y761" s="42"/>
      <c r="Z761" s="42"/>
      <c r="AA761" s="42"/>
      <c r="AB761" s="42"/>
      <c r="AC761" s="42"/>
      <c r="AD761" s="42"/>
      <c r="AE761" s="42"/>
      <c r="AF761" s="42"/>
      <c r="AG761" s="42"/>
      <c r="AH761" s="42"/>
      <c r="AI761" s="42"/>
      <c r="AJ761" s="42"/>
      <c r="AK761" s="42"/>
    </row>
    <row r="762">
      <c r="A762" s="20"/>
      <c r="B762" s="20"/>
      <c r="C762" s="20"/>
      <c r="D762" s="20"/>
      <c r="E762" s="20"/>
      <c r="F762" s="21"/>
      <c r="G762" s="45"/>
      <c r="H762" s="20"/>
      <c r="I762" s="20"/>
      <c r="J762" s="20"/>
      <c r="K762" s="20"/>
      <c r="L762" s="46"/>
      <c r="M762" s="33" t="str">
        <f>IFERROR(__xludf.DUMMYFUNCTION("IFS(W762=""Achat"",IFERROR(VALUE(X762),VALUE(REGEXREPLACE(T(X762),""[^0-9]"",""""))),W762=""Vente"",-IFERROR(VALUE(X762),VALUE(REGEXREPLACE(T(X762),""[^0-9]"",""""))),Y762=""Change"",0,Y762&lt;&gt;""Change"","""")"),"")</f>
        <v/>
      </c>
      <c r="N762" s="34" t="str">
        <f>IFERROR(__xludf.DUMMYFUNCTION("IF(Account!$F762&lt;&gt;"""", VALUE(REGEXREPLACE($I762, ""\,"", ""."")), """")"),"")</f>
        <v/>
      </c>
      <c r="O762" s="35" t="str">
        <f>IF(Account!$F762&lt;&gt;"", DATEVALUE(MID($A762,4,3) &amp; LEFT($A762,3) &amp; RIGHT($A762,4)) + TIMEVALUE($B762), "")</f>
        <v/>
      </c>
      <c r="P762" s="36" t="str">
        <f>IF(Account!$F762&lt;&gt;"", DATEVALUE(MID($C762,4,3) &amp; LEFT($C762,3) &amp; RIGHT($C762,4)), "")</f>
        <v/>
      </c>
      <c r="Q762" s="37" t="str">
        <f t="array" ref="Q762">IF($R762&lt;&gt;"",IFERROR(INDEX(ISIN!$B:$B,MATCH($R762,ISIN!$C:$C,0))),)</f>
        <v/>
      </c>
      <c r="R762" s="38" t="str">
        <f t="array" ref="R762">IF($E762&lt;&gt;"",IFERROR(INDEX(ISIN!$C:$C,MATCH($E762,ISIN!$A:$A,0)),IFERROR(INDEX($R763:$R1200,MATCH($K762,$K763:$K1200,0)))),IF(AND($Y762="change",$H762="EUR"),IF($O762=$O763,$R763,IF($O762=$O761,$R761)),IFERROR(INDEX($R763:$R1200,MATCH(SUBSTITUTE($I762,"-","",1),$K763:$K1200,0)))))</f>
        <v/>
      </c>
      <c r="S762" s="37" t="str">
        <f t="shared" si="1"/>
        <v/>
      </c>
      <c r="T762" s="39" t="str">
        <f t="shared" si="2"/>
        <v/>
      </c>
      <c r="U762" s="40" t="str">
        <f t="shared" si="3"/>
        <v/>
      </c>
      <c r="V762" s="34" t="str">
        <f t="shared" si="4"/>
        <v/>
      </c>
      <c r="W762" s="41" t="str">
        <f>IFERROR(__xludf.DUMMYFUNCTION(" IF(Account!$F762&lt;&gt;"""", SPLIT(Account!$F762, "" ""), """")"),"")</f>
        <v/>
      </c>
      <c r="X762" s="42"/>
      <c r="Y762" s="42"/>
      <c r="Z762" s="42"/>
      <c r="AA762" s="42"/>
      <c r="AB762" s="42"/>
      <c r="AC762" s="42"/>
      <c r="AD762" s="42"/>
      <c r="AE762" s="42"/>
      <c r="AF762" s="42"/>
      <c r="AG762" s="42"/>
      <c r="AH762" s="42"/>
      <c r="AI762" s="42"/>
      <c r="AJ762" s="42"/>
      <c r="AK762" s="42"/>
    </row>
    <row r="763">
      <c r="A763" s="20"/>
      <c r="B763" s="20"/>
      <c r="C763" s="20"/>
      <c r="D763" s="45"/>
      <c r="E763" s="45"/>
      <c r="F763" s="21"/>
      <c r="G763" s="45"/>
      <c r="H763" s="20"/>
      <c r="I763" s="20"/>
      <c r="J763" s="20"/>
      <c r="K763" s="20"/>
      <c r="L763" s="46"/>
      <c r="M763" s="33" t="str">
        <f>IFERROR(__xludf.DUMMYFUNCTION("IFS(W763=""Achat"",IFERROR(VALUE(X763),VALUE(REGEXREPLACE(T(X763),""[^0-9]"",""""))),W763=""Vente"",-IFERROR(VALUE(X763),VALUE(REGEXREPLACE(T(X763),""[^0-9]"",""""))),Y763=""Change"",0,Y763&lt;&gt;""Change"","""")"),"")</f>
        <v/>
      </c>
      <c r="N763" s="34" t="str">
        <f>IFERROR(__xludf.DUMMYFUNCTION("IF(Account!$F763&lt;&gt;"""", VALUE(REGEXREPLACE($I763, ""\,"", ""."")), """")"),"")</f>
        <v/>
      </c>
      <c r="O763" s="35" t="str">
        <f>IF(Account!$F763&lt;&gt;"", DATEVALUE(MID($A763,4,3) &amp; LEFT($A763,3) &amp; RIGHT($A763,4)) + TIMEVALUE($B763), "")</f>
        <v/>
      </c>
      <c r="P763" s="36" t="str">
        <f>IF(Account!$F763&lt;&gt;"", DATEVALUE(MID($C763,4,3) &amp; LEFT($C763,3) &amp; RIGHT($C763,4)), "")</f>
        <v/>
      </c>
      <c r="Q763" s="37" t="str">
        <f t="array" ref="Q763">IF($R763&lt;&gt;"",IFERROR(INDEX(ISIN!$B:$B,MATCH($R763,ISIN!$C:$C,0))),)</f>
        <v/>
      </c>
      <c r="R763" s="38" t="str">
        <f t="array" ref="R763">IF($E763&lt;&gt;"",IFERROR(INDEX(ISIN!$C:$C,MATCH($E763,ISIN!$A:$A,0)),IFERROR(INDEX($R764:$R1200,MATCH($K763,$K764:$K1200,0)))),IF(AND($Y763="change",$H763="EUR"),IF($O763=$O764,$R764,IF($O763=$O762,$R762)),IFERROR(INDEX($R764:$R1200,MATCH(SUBSTITUTE($I763,"-","",1),$K764:$K1200,0)))))</f>
        <v/>
      </c>
      <c r="S763" s="37" t="str">
        <f t="shared" si="1"/>
        <v/>
      </c>
      <c r="T763" s="39" t="str">
        <f t="shared" si="2"/>
        <v/>
      </c>
      <c r="U763" s="40" t="str">
        <f t="shared" si="3"/>
        <v/>
      </c>
      <c r="V763" s="34" t="str">
        <f t="shared" si="4"/>
        <v/>
      </c>
      <c r="W763" s="41" t="str">
        <f>IFERROR(__xludf.DUMMYFUNCTION(" IF(Account!$F763&lt;&gt;"""", SPLIT(Account!$F763, "" ""), """")"),"")</f>
        <v/>
      </c>
      <c r="X763" s="42"/>
      <c r="Y763" s="42"/>
      <c r="Z763" s="42"/>
      <c r="AA763" s="42"/>
      <c r="AB763" s="42"/>
      <c r="AC763" s="42"/>
      <c r="AD763" s="42"/>
      <c r="AE763" s="42"/>
      <c r="AF763" s="42"/>
      <c r="AG763" s="42"/>
      <c r="AH763" s="42"/>
      <c r="AI763" s="42"/>
      <c r="AJ763" s="42"/>
      <c r="AK763" s="42"/>
    </row>
    <row r="764">
      <c r="A764" s="20"/>
      <c r="B764" s="20"/>
      <c r="C764" s="20"/>
      <c r="D764" s="45"/>
      <c r="E764" s="45"/>
      <c r="F764" s="21"/>
      <c r="G764" s="45"/>
      <c r="H764" s="20"/>
      <c r="I764" s="20"/>
      <c r="J764" s="20"/>
      <c r="K764" s="20"/>
      <c r="L764" s="46"/>
      <c r="M764" s="33" t="str">
        <f>IFERROR(__xludf.DUMMYFUNCTION("IFS(W764=""Achat"",IFERROR(VALUE(X764),VALUE(REGEXREPLACE(T(X764),""[^0-9]"",""""))),W764=""Vente"",-IFERROR(VALUE(X764),VALUE(REGEXREPLACE(T(X764),""[^0-9]"",""""))),Y764=""Change"",0,Y764&lt;&gt;""Change"","""")"),"")</f>
        <v/>
      </c>
      <c r="N764" s="34" t="str">
        <f>IFERROR(__xludf.DUMMYFUNCTION("IF(Account!$F764&lt;&gt;"""", VALUE(REGEXREPLACE($I764, ""\,"", ""."")), """")"),"")</f>
        <v/>
      </c>
      <c r="O764" s="35" t="str">
        <f>IF(Account!$F764&lt;&gt;"", DATEVALUE(MID($A764,4,3) &amp; LEFT($A764,3) &amp; RIGHT($A764,4)) + TIMEVALUE($B764), "")</f>
        <v/>
      </c>
      <c r="P764" s="36" t="str">
        <f>IF(Account!$F764&lt;&gt;"", DATEVALUE(MID($C764,4,3) &amp; LEFT($C764,3) &amp; RIGHT($C764,4)), "")</f>
        <v/>
      </c>
      <c r="Q764" s="37" t="str">
        <f t="array" ref="Q764">IF($R764&lt;&gt;"",IFERROR(INDEX(ISIN!$B:$B,MATCH($R764,ISIN!$C:$C,0))),)</f>
        <v/>
      </c>
      <c r="R764" s="38" t="str">
        <f t="array" ref="R764">IF($E764&lt;&gt;"",IFERROR(INDEX(ISIN!$C:$C,MATCH($E764,ISIN!$A:$A,0)),IFERROR(INDEX($R765:$R1200,MATCH($K764,$K765:$K1200,0)))),IF(AND($Y764="change",$H764="EUR"),IF($O764=$O765,$R765,IF($O764=$O763,$R763)),IFERROR(INDEX($R765:$R1200,MATCH(SUBSTITUTE($I764,"-","",1),$K765:$K1200,0)))))</f>
        <v/>
      </c>
      <c r="S764" s="37" t="str">
        <f t="shared" si="1"/>
        <v/>
      </c>
      <c r="T764" s="39" t="str">
        <f t="shared" si="2"/>
        <v/>
      </c>
      <c r="U764" s="40" t="str">
        <f t="shared" si="3"/>
        <v/>
      </c>
      <c r="V764" s="34" t="str">
        <f t="shared" si="4"/>
        <v/>
      </c>
      <c r="W764" s="41" t="str">
        <f>IFERROR(__xludf.DUMMYFUNCTION(" IF(Account!$F764&lt;&gt;"""", SPLIT(Account!$F764, "" ""), """")"),"")</f>
        <v/>
      </c>
      <c r="X764" s="42"/>
      <c r="Y764" s="42"/>
      <c r="Z764" s="42"/>
      <c r="AA764" s="42"/>
      <c r="AB764" s="42"/>
      <c r="AC764" s="42"/>
      <c r="AD764" s="42"/>
      <c r="AE764" s="42"/>
      <c r="AF764" s="42"/>
      <c r="AG764" s="42"/>
      <c r="AH764" s="42"/>
      <c r="AI764" s="42"/>
      <c r="AJ764" s="42"/>
      <c r="AK764" s="42"/>
    </row>
    <row r="765">
      <c r="A765" s="20"/>
      <c r="B765" s="20"/>
      <c r="C765" s="20"/>
      <c r="D765" s="45"/>
      <c r="E765" s="45"/>
      <c r="F765" s="21"/>
      <c r="G765" s="45"/>
      <c r="H765" s="20"/>
      <c r="I765" s="20"/>
      <c r="J765" s="20"/>
      <c r="K765" s="20"/>
      <c r="L765" s="46"/>
      <c r="M765" s="33" t="str">
        <f>IFERROR(__xludf.DUMMYFUNCTION("IFS(W765=""Achat"",IFERROR(VALUE(X765),VALUE(REGEXREPLACE(T(X765),""[^0-9]"",""""))),W765=""Vente"",-IFERROR(VALUE(X765),VALUE(REGEXREPLACE(T(X765),""[^0-9]"",""""))),Y765=""Change"",0,Y765&lt;&gt;""Change"","""")"),"")</f>
        <v/>
      </c>
      <c r="N765" s="34" t="str">
        <f>IFERROR(__xludf.DUMMYFUNCTION("IF(Account!$F765&lt;&gt;"""", VALUE(REGEXREPLACE($I765, ""\,"", ""."")), """")"),"")</f>
        <v/>
      </c>
      <c r="O765" s="35" t="str">
        <f>IF(Account!$F765&lt;&gt;"", DATEVALUE(MID($A765,4,3) &amp; LEFT($A765,3) &amp; RIGHT($A765,4)) + TIMEVALUE($B765), "")</f>
        <v/>
      </c>
      <c r="P765" s="36" t="str">
        <f>IF(Account!$F765&lt;&gt;"", DATEVALUE(MID($C765,4,3) &amp; LEFT($C765,3) &amp; RIGHT($C765,4)), "")</f>
        <v/>
      </c>
      <c r="Q765" s="37" t="str">
        <f t="array" ref="Q765">IF($R765&lt;&gt;"",IFERROR(INDEX(ISIN!$B:$B,MATCH($R765,ISIN!$C:$C,0))),)</f>
        <v/>
      </c>
      <c r="R765" s="38" t="str">
        <f t="array" ref="R765">IF($E765&lt;&gt;"",IFERROR(INDEX(ISIN!$C:$C,MATCH($E765,ISIN!$A:$A,0)),IFERROR(INDEX($R766:$R1200,MATCH($K765,$K766:$K1200,0)))),IF(AND($Y765="change",$H765="EUR"),IF($O765=$O766,$R766,IF($O765=$O764,$R764)),IFERROR(INDEX($R766:$R1200,MATCH(SUBSTITUTE($I765,"-","",1),$K766:$K1200,0)))))</f>
        <v/>
      </c>
      <c r="S765" s="37" t="str">
        <f t="shared" si="1"/>
        <v/>
      </c>
      <c r="T765" s="39" t="str">
        <f t="shared" si="2"/>
        <v/>
      </c>
      <c r="U765" s="40" t="str">
        <f t="shared" si="3"/>
        <v/>
      </c>
      <c r="V765" s="34" t="str">
        <f t="shared" si="4"/>
        <v/>
      </c>
      <c r="W765" s="41" t="str">
        <f>IFERROR(__xludf.DUMMYFUNCTION(" IF(Account!$F765&lt;&gt;"""", SPLIT(Account!$F765, "" ""), """")"),"")</f>
        <v/>
      </c>
      <c r="X765" s="42"/>
      <c r="Y765" s="42"/>
      <c r="Z765" s="42"/>
      <c r="AA765" s="42"/>
      <c r="AB765" s="42"/>
      <c r="AC765" s="42"/>
      <c r="AD765" s="42"/>
      <c r="AE765" s="42"/>
      <c r="AF765" s="42"/>
      <c r="AG765" s="42"/>
      <c r="AH765" s="42"/>
      <c r="AI765" s="42"/>
      <c r="AJ765" s="42"/>
      <c r="AK765" s="42"/>
    </row>
    <row r="766">
      <c r="A766" s="20"/>
      <c r="B766" s="20"/>
      <c r="C766" s="20"/>
      <c r="D766" s="45"/>
      <c r="E766" s="45"/>
      <c r="F766" s="21"/>
      <c r="G766" s="20"/>
      <c r="H766" s="20"/>
      <c r="I766" s="20"/>
      <c r="J766" s="20"/>
      <c r="K766" s="20"/>
      <c r="L766" s="46"/>
      <c r="M766" s="33" t="str">
        <f>IFERROR(__xludf.DUMMYFUNCTION("IFS(W766=""Achat"",IFERROR(VALUE(X766),VALUE(REGEXREPLACE(T(X766),""[^0-9]"",""""))),W766=""Vente"",-IFERROR(VALUE(X766),VALUE(REGEXREPLACE(T(X766),""[^0-9]"",""""))),Y766=""Change"",0,Y766&lt;&gt;""Change"","""")"),"")</f>
        <v/>
      </c>
      <c r="N766" s="34" t="str">
        <f>IFERROR(__xludf.DUMMYFUNCTION("IF(Account!$F766&lt;&gt;"""", VALUE(REGEXREPLACE($I766, ""\,"", ""."")), """")"),"")</f>
        <v/>
      </c>
      <c r="O766" s="35" t="str">
        <f>IF(Account!$F766&lt;&gt;"", DATEVALUE(MID($A766,4,3) &amp; LEFT($A766,3) &amp; RIGHT($A766,4)) + TIMEVALUE($B766), "")</f>
        <v/>
      </c>
      <c r="P766" s="36" t="str">
        <f>IF(Account!$F766&lt;&gt;"", DATEVALUE(MID($C766,4,3) &amp; LEFT($C766,3) &amp; RIGHT($C766,4)), "")</f>
        <v/>
      </c>
      <c r="Q766" s="37" t="str">
        <f t="array" ref="Q766">IF($R766&lt;&gt;"",IFERROR(INDEX(ISIN!$B:$B,MATCH($R766,ISIN!$C:$C,0))),)</f>
        <v/>
      </c>
      <c r="R766" s="38" t="str">
        <f t="array" ref="R766">IF($E766&lt;&gt;"",IFERROR(INDEX(ISIN!$C:$C,MATCH($E766,ISIN!$A:$A,0)),IFERROR(INDEX($R767:$R1200,MATCH($K766,$K767:$K1200,0)))),IF(AND($Y766="change",$H766="EUR"),IF($O766=$O767,$R767,IF($O766=$O765,$R765)),IFERROR(INDEX($R767:$R1200,MATCH(SUBSTITUTE($I766,"-","",1),$K767:$K1200,0)))))</f>
        <v/>
      </c>
      <c r="S766" s="37" t="str">
        <f t="shared" si="1"/>
        <v/>
      </c>
      <c r="T766" s="39" t="str">
        <f t="shared" si="2"/>
        <v/>
      </c>
      <c r="U766" s="40" t="str">
        <f t="shared" si="3"/>
        <v/>
      </c>
      <c r="V766" s="34" t="str">
        <f t="shared" si="4"/>
        <v/>
      </c>
      <c r="W766" s="41" t="str">
        <f>IFERROR(__xludf.DUMMYFUNCTION(" IF(Account!$F766&lt;&gt;"""", SPLIT(Account!$F766, "" ""), """")"),"")</f>
        <v/>
      </c>
      <c r="X766" s="42"/>
      <c r="Y766" s="42"/>
      <c r="Z766" s="42"/>
      <c r="AA766" s="42"/>
      <c r="AB766" s="42"/>
      <c r="AC766" s="42"/>
      <c r="AD766" s="42"/>
      <c r="AE766" s="42"/>
      <c r="AF766" s="42"/>
      <c r="AG766" s="42"/>
      <c r="AH766" s="42"/>
      <c r="AI766" s="42"/>
      <c r="AJ766" s="42"/>
      <c r="AK766" s="42"/>
    </row>
    <row r="767">
      <c r="A767" s="20"/>
      <c r="B767" s="20"/>
      <c r="C767" s="20"/>
      <c r="D767" s="20"/>
      <c r="E767" s="20"/>
      <c r="F767" s="21"/>
      <c r="G767" s="45"/>
      <c r="H767" s="20"/>
      <c r="I767" s="20"/>
      <c r="J767" s="20"/>
      <c r="K767" s="20"/>
      <c r="L767" s="46"/>
      <c r="M767" s="33" t="str">
        <f>IFERROR(__xludf.DUMMYFUNCTION("IFS(W767=""Achat"",IFERROR(VALUE(X767),VALUE(REGEXREPLACE(T(X767),""[^0-9]"",""""))),W767=""Vente"",-IFERROR(VALUE(X767),VALUE(REGEXREPLACE(T(X767),""[^0-9]"",""""))),Y767=""Change"",0,Y767&lt;&gt;""Change"","""")"),"")</f>
        <v/>
      </c>
      <c r="N767" s="34" t="str">
        <f>IFERROR(__xludf.DUMMYFUNCTION("IF(Account!$F767&lt;&gt;"""", VALUE(REGEXREPLACE($I767, ""\,"", ""."")), """")"),"")</f>
        <v/>
      </c>
      <c r="O767" s="35" t="str">
        <f>IF(Account!$F767&lt;&gt;"", DATEVALUE(MID($A767,4,3) &amp; LEFT($A767,3) &amp; RIGHT($A767,4)) + TIMEVALUE($B767), "")</f>
        <v/>
      </c>
      <c r="P767" s="36" t="str">
        <f>IF(Account!$F767&lt;&gt;"", DATEVALUE(MID($C767,4,3) &amp; LEFT($C767,3) &amp; RIGHT($C767,4)), "")</f>
        <v/>
      </c>
      <c r="Q767" s="37" t="str">
        <f t="array" ref="Q767">IF($R767&lt;&gt;"",IFERROR(INDEX(ISIN!$B:$B,MATCH($R767,ISIN!$C:$C,0))),)</f>
        <v/>
      </c>
      <c r="R767" s="38" t="str">
        <f t="array" ref="R767">IF($E767&lt;&gt;"",IFERROR(INDEX(ISIN!$C:$C,MATCH($E767,ISIN!$A:$A,0)),IFERROR(INDEX($R768:$R1200,MATCH($K767,$K768:$K1200,0)))),IF(AND($Y767="change",$H767="EUR"),IF($O767=$O768,$R768,IF($O767=$O766,$R766)),IFERROR(INDEX($R768:$R1200,MATCH(SUBSTITUTE($I767,"-","",1),$K768:$K1200,0)))))</f>
        <v/>
      </c>
      <c r="S767" s="37" t="str">
        <f t="shared" si="1"/>
        <v/>
      </c>
      <c r="T767" s="39" t="str">
        <f t="shared" si="2"/>
        <v/>
      </c>
      <c r="U767" s="40" t="str">
        <f t="shared" si="3"/>
        <v/>
      </c>
      <c r="V767" s="34" t="str">
        <f t="shared" si="4"/>
        <v/>
      </c>
      <c r="W767" s="41" t="str">
        <f>IFERROR(__xludf.DUMMYFUNCTION(" IF(Account!$F767&lt;&gt;"""", SPLIT(Account!$F767, "" ""), """")"),"")</f>
        <v/>
      </c>
      <c r="X767" s="42"/>
      <c r="Y767" s="42"/>
      <c r="Z767" s="42"/>
      <c r="AA767" s="42"/>
      <c r="AB767" s="42"/>
      <c r="AC767" s="42"/>
      <c r="AD767" s="42"/>
      <c r="AE767" s="42"/>
      <c r="AF767" s="42"/>
      <c r="AG767" s="42"/>
      <c r="AH767" s="42"/>
      <c r="AI767" s="42"/>
      <c r="AJ767" s="42"/>
      <c r="AK767" s="42"/>
    </row>
    <row r="768">
      <c r="A768" s="20"/>
      <c r="B768" s="20"/>
      <c r="C768" s="20"/>
      <c r="D768" s="20"/>
      <c r="E768" s="20"/>
      <c r="F768" s="21"/>
      <c r="G768" s="45"/>
      <c r="H768" s="20"/>
      <c r="I768" s="20"/>
      <c r="J768" s="20"/>
      <c r="K768" s="20"/>
      <c r="L768" s="46"/>
      <c r="M768" s="33" t="str">
        <f>IFERROR(__xludf.DUMMYFUNCTION("IFS(W768=""Achat"",IFERROR(VALUE(X768),VALUE(REGEXREPLACE(T(X768),""[^0-9]"",""""))),W768=""Vente"",-IFERROR(VALUE(X768),VALUE(REGEXREPLACE(T(X768),""[^0-9]"",""""))),Y768=""Change"",0,Y768&lt;&gt;""Change"","""")"),"")</f>
        <v/>
      </c>
      <c r="N768" s="34" t="str">
        <f>IFERROR(__xludf.DUMMYFUNCTION("IF(Account!$F768&lt;&gt;"""", VALUE(REGEXREPLACE($I768, ""\,"", ""."")), """")"),"")</f>
        <v/>
      </c>
      <c r="O768" s="35" t="str">
        <f>IF(Account!$F768&lt;&gt;"", DATEVALUE(MID($A768,4,3) &amp; LEFT($A768,3) &amp; RIGHT($A768,4)) + TIMEVALUE($B768), "")</f>
        <v/>
      </c>
      <c r="P768" s="36" t="str">
        <f>IF(Account!$F768&lt;&gt;"", DATEVALUE(MID($C768,4,3) &amp; LEFT($C768,3) &amp; RIGHT($C768,4)), "")</f>
        <v/>
      </c>
      <c r="Q768" s="37" t="str">
        <f t="array" ref="Q768">IF($R768&lt;&gt;"",IFERROR(INDEX(ISIN!$B:$B,MATCH($R768,ISIN!$C:$C,0))),)</f>
        <v/>
      </c>
      <c r="R768" s="38" t="str">
        <f t="array" ref="R768">IF($E768&lt;&gt;"",IFERROR(INDEX(ISIN!$C:$C,MATCH($E768,ISIN!$A:$A,0)),IFERROR(INDEX($R769:$R1200,MATCH($K768,$K769:$K1200,0)))),IF(AND($Y768="change",$H768="EUR"),IF($O768=$O769,$R769,IF($O768=$O767,$R767)),IFERROR(INDEX($R769:$R1200,MATCH(SUBSTITUTE($I768,"-","",1),$K769:$K1200,0)))))</f>
        <v/>
      </c>
      <c r="S768" s="37" t="str">
        <f t="shared" si="1"/>
        <v/>
      </c>
      <c r="T768" s="39" t="str">
        <f t="shared" si="2"/>
        <v/>
      </c>
      <c r="U768" s="40" t="str">
        <f t="shared" si="3"/>
        <v/>
      </c>
      <c r="V768" s="34" t="str">
        <f t="shared" si="4"/>
        <v/>
      </c>
      <c r="W768" s="41" t="str">
        <f>IFERROR(__xludf.DUMMYFUNCTION(" IF(Account!$F768&lt;&gt;"""", SPLIT(Account!$F768, "" ""), """")"),"")</f>
        <v/>
      </c>
      <c r="X768" s="42"/>
      <c r="Y768" s="42"/>
      <c r="Z768" s="42"/>
      <c r="AA768" s="42"/>
      <c r="AB768" s="42"/>
      <c r="AC768" s="42"/>
      <c r="AD768" s="42"/>
      <c r="AE768" s="42"/>
      <c r="AF768" s="42"/>
      <c r="AG768" s="42"/>
      <c r="AH768" s="42"/>
      <c r="AI768" s="42"/>
      <c r="AJ768" s="42"/>
      <c r="AK768" s="42"/>
    </row>
    <row r="769">
      <c r="A769" s="20"/>
      <c r="B769" s="20"/>
      <c r="C769" s="20"/>
      <c r="D769" s="20"/>
      <c r="E769" s="20"/>
      <c r="F769" s="21"/>
      <c r="G769" s="45"/>
      <c r="H769" s="20"/>
      <c r="I769" s="20"/>
      <c r="J769" s="20"/>
      <c r="K769" s="20"/>
      <c r="L769" s="46"/>
      <c r="M769" s="33" t="str">
        <f>IFERROR(__xludf.DUMMYFUNCTION("IFS(W769=""Achat"",IFERROR(VALUE(X769),VALUE(REGEXREPLACE(T(X769),""[^0-9]"",""""))),W769=""Vente"",-IFERROR(VALUE(X769),VALUE(REGEXREPLACE(T(X769),""[^0-9]"",""""))),Y769=""Change"",0,Y769&lt;&gt;""Change"","""")"),"")</f>
        <v/>
      </c>
      <c r="N769" s="34" t="str">
        <f>IFERROR(__xludf.DUMMYFUNCTION("IF(Account!$F769&lt;&gt;"""", VALUE(REGEXREPLACE($I769, ""\,"", ""."")), """")"),"")</f>
        <v/>
      </c>
      <c r="O769" s="35" t="str">
        <f>IF(Account!$F769&lt;&gt;"", DATEVALUE(MID($A769,4,3) &amp; LEFT($A769,3) &amp; RIGHT($A769,4)) + TIMEVALUE($B769), "")</f>
        <v/>
      </c>
      <c r="P769" s="36" t="str">
        <f>IF(Account!$F769&lt;&gt;"", DATEVALUE(MID($C769,4,3) &amp; LEFT($C769,3) &amp; RIGHT($C769,4)), "")</f>
        <v/>
      </c>
      <c r="Q769" s="37" t="str">
        <f t="array" ref="Q769">IF($R769&lt;&gt;"",IFERROR(INDEX(ISIN!$B:$B,MATCH($R769,ISIN!$C:$C,0))),)</f>
        <v/>
      </c>
      <c r="R769" s="38" t="str">
        <f t="array" ref="R769">IF($E769&lt;&gt;"",IFERROR(INDEX(ISIN!$C:$C,MATCH($E769,ISIN!$A:$A,0)),IFERROR(INDEX($R770:$R1200,MATCH($K769,$K770:$K1200,0)))),IF(AND($Y769="change",$H769="EUR"),IF($O769=$O770,$R770,IF($O769=$O768,$R768)),IFERROR(INDEX($R770:$R1200,MATCH(SUBSTITUTE($I769,"-","",1),$K770:$K1200,0)))))</f>
        <v/>
      </c>
      <c r="S769" s="37" t="str">
        <f t="shared" si="1"/>
        <v/>
      </c>
      <c r="T769" s="39" t="str">
        <f t="shared" si="2"/>
        <v/>
      </c>
      <c r="U769" s="40" t="str">
        <f t="shared" si="3"/>
        <v/>
      </c>
      <c r="V769" s="34" t="str">
        <f t="shared" si="4"/>
        <v/>
      </c>
      <c r="W769" s="41" t="str">
        <f>IFERROR(__xludf.DUMMYFUNCTION(" IF(Account!$F769&lt;&gt;"""", SPLIT(Account!$F769, "" ""), """")"),"")</f>
        <v/>
      </c>
      <c r="X769" s="42"/>
      <c r="Y769" s="42"/>
      <c r="Z769" s="42"/>
      <c r="AA769" s="42"/>
      <c r="AB769" s="42"/>
      <c r="AC769" s="42"/>
      <c r="AD769" s="42"/>
      <c r="AE769" s="42"/>
      <c r="AF769" s="42"/>
      <c r="AG769" s="42"/>
      <c r="AH769" s="42"/>
      <c r="AI769" s="42"/>
      <c r="AJ769" s="42"/>
      <c r="AK769" s="42"/>
    </row>
    <row r="770">
      <c r="A770" s="20"/>
      <c r="B770" s="20"/>
      <c r="C770" s="20"/>
      <c r="D770" s="20"/>
      <c r="E770" s="20"/>
      <c r="F770" s="21"/>
      <c r="G770" s="45"/>
      <c r="H770" s="20"/>
      <c r="I770" s="20"/>
      <c r="J770" s="20"/>
      <c r="K770" s="20"/>
      <c r="L770" s="46"/>
      <c r="M770" s="33" t="str">
        <f>IFERROR(__xludf.DUMMYFUNCTION("IFS(W770=""Achat"",IFERROR(VALUE(X770),VALUE(REGEXREPLACE(T(X770),""[^0-9]"",""""))),W770=""Vente"",-IFERROR(VALUE(X770),VALUE(REGEXREPLACE(T(X770),""[^0-9]"",""""))),Y770=""Change"",0,Y770&lt;&gt;""Change"","""")"),"")</f>
        <v/>
      </c>
      <c r="N770" s="34" t="str">
        <f>IFERROR(__xludf.DUMMYFUNCTION("IF(Account!$F770&lt;&gt;"""", VALUE(REGEXREPLACE($I770, ""\,"", ""."")), """")"),"")</f>
        <v/>
      </c>
      <c r="O770" s="35" t="str">
        <f>IF(Account!$F770&lt;&gt;"", DATEVALUE(MID($A770,4,3) &amp; LEFT($A770,3) &amp; RIGHT($A770,4)) + TIMEVALUE($B770), "")</f>
        <v/>
      </c>
      <c r="P770" s="36" t="str">
        <f>IF(Account!$F770&lt;&gt;"", DATEVALUE(MID($C770,4,3) &amp; LEFT($C770,3) &amp; RIGHT($C770,4)), "")</f>
        <v/>
      </c>
      <c r="Q770" s="37" t="str">
        <f t="array" ref="Q770">IF($R770&lt;&gt;"",IFERROR(INDEX(ISIN!$B:$B,MATCH($R770,ISIN!$C:$C,0))),)</f>
        <v/>
      </c>
      <c r="R770" s="38" t="str">
        <f t="array" ref="R770">IF($E770&lt;&gt;"",IFERROR(INDEX(ISIN!$C:$C,MATCH($E770,ISIN!$A:$A,0)),IFERROR(INDEX($R771:$R1200,MATCH($K770,$K771:$K1200,0)))),IF(AND($Y770="change",$H770="EUR"),IF($O770=$O771,$R771,IF($O770=$O769,$R769)),IFERROR(INDEX($R771:$R1200,MATCH(SUBSTITUTE($I770,"-","",1),$K771:$K1200,0)))))</f>
        <v/>
      </c>
      <c r="S770" s="37" t="str">
        <f t="shared" si="1"/>
        <v/>
      </c>
      <c r="T770" s="39" t="str">
        <f t="shared" si="2"/>
        <v/>
      </c>
      <c r="U770" s="40" t="str">
        <f t="shared" si="3"/>
        <v/>
      </c>
      <c r="V770" s="34" t="str">
        <f t="shared" si="4"/>
        <v/>
      </c>
      <c r="W770" s="41" t="str">
        <f>IFERROR(__xludf.DUMMYFUNCTION(" IF(Account!$F770&lt;&gt;"""", SPLIT(Account!$F770, "" ""), """")"),"")</f>
        <v/>
      </c>
      <c r="X770" s="42"/>
      <c r="Y770" s="42"/>
      <c r="Z770" s="42"/>
      <c r="AA770" s="42"/>
      <c r="AB770" s="42"/>
      <c r="AC770" s="42"/>
      <c r="AD770" s="42"/>
      <c r="AE770" s="42"/>
      <c r="AF770" s="42"/>
      <c r="AG770" s="42"/>
      <c r="AH770" s="42"/>
      <c r="AI770" s="42"/>
      <c r="AJ770" s="42"/>
      <c r="AK770" s="42"/>
    </row>
    <row r="771">
      <c r="A771" s="20"/>
      <c r="B771" s="20"/>
      <c r="C771" s="20"/>
      <c r="D771" s="20"/>
      <c r="E771" s="20"/>
      <c r="F771" s="21"/>
      <c r="G771" s="45"/>
      <c r="H771" s="20"/>
      <c r="I771" s="20"/>
      <c r="J771" s="20"/>
      <c r="K771" s="20"/>
      <c r="L771" s="46"/>
      <c r="M771" s="33" t="str">
        <f>IFERROR(__xludf.DUMMYFUNCTION("IFS(W771=""Achat"",IFERROR(VALUE(X771),VALUE(REGEXREPLACE(T(X771),""[^0-9]"",""""))),W771=""Vente"",-IFERROR(VALUE(X771),VALUE(REGEXREPLACE(T(X771),""[^0-9]"",""""))),Y771=""Change"",0,Y771&lt;&gt;""Change"","""")"),"")</f>
        <v/>
      </c>
      <c r="N771" s="34" t="str">
        <f>IFERROR(__xludf.DUMMYFUNCTION("IF(Account!$F771&lt;&gt;"""", VALUE(REGEXREPLACE($I771, ""\,"", ""."")), """")"),"")</f>
        <v/>
      </c>
      <c r="O771" s="35" t="str">
        <f>IF(Account!$F771&lt;&gt;"", DATEVALUE(MID($A771,4,3) &amp; LEFT($A771,3) &amp; RIGHT($A771,4)) + TIMEVALUE($B771), "")</f>
        <v/>
      </c>
      <c r="P771" s="36" t="str">
        <f>IF(Account!$F771&lt;&gt;"", DATEVALUE(MID($C771,4,3) &amp; LEFT($C771,3) &amp; RIGHT($C771,4)), "")</f>
        <v/>
      </c>
      <c r="Q771" s="37" t="str">
        <f t="array" ref="Q771">IF($R771&lt;&gt;"",IFERROR(INDEX(ISIN!$B:$B,MATCH($R771,ISIN!$C:$C,0))),)</f>
        <v/>
      </c>
      <c r="R771" s="38" t="str">
        <f t="array" ref="R771">IF($E771&lt;&gt;"",IFERROR(INDEX(ISIN!$C:$C,MATCH($E771,ISIN!$A:$A,0)),IFERROR(INDEX($R772:$R1200,MATCH($K771,$K772:$K1200,0)))),IF(AND($Y771="change",$H771="EUR"),IF($O771=$O772,$R772,IF($O771=$O770,$R770)),IFERROR(INDEX($R772:$R1200,MATCH(SUBSTITUTE($I771,"-","",1),$K772:$K1200,0)))))</f>
        <v/>
      </c>
      <c r="S771" s="37" t="str">
        <f t="shared" si="1"/>
        <v/>
      </c>
      <c r="T771" s="39" t="str">
        <f t="shared" si="2"/>
        <v/>
      </c>
      <c r="U771" s="40" t="str">
        <f t="shared" si="3"/>
        <v/>
      </c>
      <c r="V771" s="34" t="str">
        <f t="shared" si="4"/>
        <v/>
      </c>
      <c r="W771" s="41" t="str">
        <f>IFERROR(__xludf.DUMMYFUNCTION(" IF(Account!$F771&lt;&gt;"""", SPLIT(Account!$F771, "" ""), """")"),"")</f>
        <v/>
      </c>
      <c r="X771" s="42"/>
      <c r="Y771" s="42"/>
      <c r="Z771" s="42"/>
      <c r="AA771" s="42"/>
      <c r="AB771" s="42"/>
      <c r="AC771" s="42"/>
      <c r="AD771" s="42"/>
      <c r="AE771" s="42"/>
      <c r="AF771" s="42"/>
      <c r="AG771" s="42"/>
      <c r="AH771" s="42"/>
      <c r="AI771" s="42"/>
      <c r="AJ771" s="42"/>
      <c r="AK771" s="42"/>
    </row>
    <row r="772">
      <c r="A772" s="20"/>
      <c r="B772" s="20"/>
      <c r="C772" s="20"/>
      <c r="D772" s="20"/>
      <c r="E772" s="20"/>
      <c r="F772" s="21"/>
      <c r="G772" s="45"/>
      <c r="H772" s="20"/>
      <c r="I772" s="20"/>
      <c r="J772" s="20"/>
      <c r="K772" s="20"/>
      <c r="L772" s="46"/>
      <c r="M772" s="33" t="str">
        <f>IFERROR(__xludf.DUMMYFUNCTION("IFS(W772=""Achat"",IFERROR(VALUE(X772),VALUE(REGEXREPLACE(T(X772),""[^0-9]"",""""))),W772=""Vente"",-IFERROR(VALUE(X772),VALUE(REGEXREPLACE(T(X772),""[^0-9]"",""""))),Y772=""Change"",0,Y772&lt;&gt;""Change"","""")"),"")</f>
        <v/>
      </c>
      <c r="N772" s="34" t="str">
        <f>IFERROR(__xludf.DUMMYFUNCTION("IF(Account!$F772&lt;&gt;"""", VALUE(REGEXREPLACE($I772, ""\,"", ""."")), """")"),"")</f>
        <v/>
      </c>
      <c r="O772" s="35" t="str">
        <f>IF(Account!$F772&lt;&gt;"", DATEVALUE(MID($A772,4,3) &amp; LEFT($A772,3) &amp; RIGHT($A772,4)) + TIMEVALUE($B772), "")</f>
        <v/>
      </c>
      <c r="P772" s="36" t="str">
        <f>IF(Account!$F772&lt;&gt;"", DATEVALUE(MID($C772,4,3) &amp; LEFT($C772,3) &amp; RIGHT($C772,4)), "")</f>
        <v/>
      </c>
      <c r="Q772" s="37" t="str">
        <f t="array" ref="Q772">IF($R772&lt;&gt;"",IFERROR(INDEX(ISIN!$B:$B,MATCH($R772,ISIN!$C:$C,0))),)</f>
        <v/>
      </c>
      <c r="R772" s="38" t="str">
        <f t="array" ref="R772">IF($E772&lt;&gt;"",IFERROR(INDEX(ISIN!$C:$C,MATCH($E772,ISIN!$A:$A,0)),IFERROR(INDEX($R773:$R1200,MATCH($K772,$K773:$K1200,0)))),IF(AND($Y772="change",$H772="EUR"),IF($O772=$O773,$R773,IF($O772=$O771,$R771)),IFERROR(INDEX($R773:$R1200,MATCH(SUBSTITUTE($I772,"-","",1),$K773:$K1200,0)))))</f>
        <v/>
      </c>
      <c r="S772" s="37" t="str">
        <f t="shared" si="1"/>
        <v/>
      </c>
      <c r="T772" s="39" t="str">
        <f t="shared" si="2"/>
        <v/>
      </c>
      <c r="U772" s="40" t="str">
        <f t="shared" si="3"/>
        <v/>
      </c>
      <c r="V772" s="34" t="str">
        <f t="shared" si="4"/>
        <v/>
      </c>
      <c r="W772" s="41" t="str">
        <f>IFERROR(__xludf.DUMMYFUNCTION(" IF(Account!$F772&lt;&gt;"""", SPLIT(Account!$F772, "" ""), """")"),"")</f>
        <v/>
      </c>
      <c r="X772" s="42"/>
      <c r="Y772" s="42"/>
      <c r="Z772" s="42"/>
      <c r="AA772" s="42"/>
      <c r="AB772" s="42"/>
      <c r="AC772" s="42"/>
      <c r="AD772" s="42"/>
      <c r="AE772" s="42"/>
      <c r="AF772" s="42"/>
      <c r="AG772" s="42"/>
      <c r="AH772" s="42"/>
      <c r="AI772" s="42"/>
      <c r="AJ772" s="42"/>
      <c r="AK772" s="42"/>
    </row>
    <row r="773">
      <c r="A773" s="20"/>
      <c r="B773" s="20"/>
      <c r="C773" s="20"/>
      <c r="D773" s="20"/>
      <c r="E773" s="20"/>
      <c r="F773" s="21"/>
      <c r="G773" s="45"/>
      <c r="H773" s="20"/>
      <c r="I773" s="20"/>
      <c r="J773" s="20"/>
      <c r="K773" s="20"/>
      <c r="L773" s="21"/>
      <c r="M773" s="33" t="str">
        <f>IFERROR(__xludf.DUMMYFUNCTION("IFS(W773=""Achat"",IFERROR(VALUE(X773),VALUE(REGEXREPLACE(T(X773),""[^0-9]"",""""))),W773=""Vente"",-IFERROR(VALUE(X773),VALUE(REGEXREPLACE(T(X773),""[^0-9]"",""""))),Y773=""Change"",0,Y773&lt;&gt;""Change"","""")"),"")</f>
        <v/>
      </c>
      <c r="N773" s="34" t="str">
        <f>IFERROR(__xludf.DUMMYFUNCTION("IF(Account!$F773&lt;&gt;"""", VALUE(REGEXREPLACE($I773, ""\,"", ""."")), """")"),"")</f>
        <v/>
      </c>
      <c r="O773" s="35" t="str">
        <f>IF(Account!$F773&lt;&gt;"", DATEVALUE(MID($A773,4,3) &amp; LEFT($A773,3) &amp; RIGHT($A773,4)) + TIMEVALUE($B773), "")</f>
        <v/>
      </c>
      <c r="P773" s="36" t="str">
        <f>IF(Account!$F773&lt;&gt;"", DATEVALUE(MID($C773,4,3) &amp; LEFT($C773,3) &amp; RIGHT($C773,4)), "")</f>
        <v/>
      </c>
      <c r="Q773" s="37" t="str">
        <f t="array" ref="Q773">IF($R773&lt;&gt;"",IFERROR(INDEX(ISIN!$B:$B,MATCH($R773,ISIN!$C:$C,0))),)</f>
        <v/>
      </c>
      <c r="R773" s="38" t="str">
        <f t="array" ref="R773">IF($E773&lt;&gt;"",IFERROR(INDEX(ISIN!$C:$C,MATCH($E773,ISIN!$A:$A,0)),IFERROR(INDEX($R774:$R1200,MATCH($K773,$K774:$K1200,0)))),IF(AND($Y773="change",$H773="EUR"),IF($O773=$O774,$R774,IF($O773=$O772,$R772)),IFERROR(INDEX($R774:$R1200,MATCH(SUBSTITUTE($I773,"-","",1),$K774:$K1200,0)))))</f>
        <v/>
      </c>
      <c r="S773" s="37" t="str">
        <f t="shared" si="1"/>
        <v/>
      </c>
      <c r="T773" s="39" t="str">
        <f t="shared" si="2"/>
        <v/>
      </c>
      <c r="U773" s="40" t="str">
        <f t="shared" si="3"/>
        <v/>
      </c>
      <c r="V773" s="34" t="str">
        <f t="shared" si="4"/>
        <v/>
      </c>
      <c r="W773" s="41" t="str">
        <f>IFERROR(__xludf.DUMMYFUNCTION(" IF(Account!$F773&lt;&gt;"""", SPLIT(Account!$F773, "" ""), """")"),"")</f>
        <v/>
      </c>
      <c r="X773" s="42"/>
      <c r="Y773" s="42"/>
      <c r="Z773" s="42"/>
      <c r="AA773" s="42"/>
      <c r="AB773" s="42"/>
      <c r="AC773" s="42"/>
      <c r="AD773" s="42"/>
      <c r="AE773" s="42"/>
      <c r="AF773" s="42"/>
      <c r="AG773" s="42"/>
      <c r="AH773" s="42"/>
      <c r="AI773" s="42"/>
      <c r="AJ773" s="42"/>
      <c r="AK773" s="42"/>
    </row>
    <row r="774">
      <c r="A774" s="20"/>
      <c r="B774" s="20"/>
      <c r="C774" s="20"/>
      <c r="D774" s="20"/>
      <c r="E774" s="20"/>
      <c r="F774" s="21"/>
      <c r="G774" s="45"/>
      <c r="H774" s="20"/>
      <c r="I774" s="20"/>
      <c r="J774" s="20"/>
      <c r="K774" s="20"/>
      <c r="L774" s="21"/>
      <c r="M774" s="33" t="str">
        <f>IFERROR(__xludf.DUMMYFUNCTION("IFS(W774=""Achat"",IFERROR(VALUE(X774),VALUE(REGEXREPLACE(T(X774),""[^0-9]"",""""))),W774=""Vente"",-IFERROR(VALUE(X774),VALUE(REGEXREPLACE(T(X774),""[^0-9]"",""""))),Y774=""Change"",0,Y774&lt;&gt;""Change"","""")"),"")</f>
        <v/>
      </c>
      <c r="N774" s="34" t="str">
        <f>IFERROR(__xludf.DUMMYFUNCTION("IF(Account!$F774&lt;&gt;"""", VALUE(REGEXREPLACE($I774, ""\,"", ""."")), """")"),"")</f>
        <v/>
      </c>
      <c r="O774" s="35" t="str">
        <f>IF(Account!$F774&lt;&gt;"", DATEVALUE(MID($A774,4,3) &amp; LEFT($A774,3) &amp; RIGHT($A774,4)) + TIMEVALUE($B774), "")</f>
        <v/>
      </c>
      <c r="P774" s="36" t="str">
        <f>IF(Account!$F774&lt;&gt;"", DATEVALUE(MID($C774,4,3) &amp; LEFT($C774,3) &amp; RIGHT($C774,4)), "")</f>
        <v/>
      </c>
      <c r="Q774" s="37" t="str">
        <f t="array" ref="Q774">IF($R774&lt;&gt;"",IFERROR(INDEX(ISIN!$B:$B,MATCH($R774,ISIN!$C:$C,0))),)</f>
        <v/>
      </c>
      <c r="R774" s="38" t="str">
        <f t="array" ref="R774">IF($E774&lt;&gt;"",IFERROR(INDEX(ISIN!$C:$C,MATCH($E774,ISIN!$A:$A,0)),IFERROR(INDEX($R775:$R1200,MATCH($K774,$K775:$K1200,0)))),IF(AND($Y774="change",$H774="EUR"),IF($O774=$O775,$R775,IF($O774=$O773,$R773)),IFERROR(INDEX($R775:$R1200,MATCH(SUBSTITUTE($I774,"-","",1),$K775:$K1200,0)))))</f>
        <v/>
      </c>
      <c r="S774" s="37" t="str">
        <f t="shared" si="1"/>
        <v/>
      </c>
      <c r="T774" s="39" t="str">
        <f t="shared" si="2"/>
        <v/>
      </c>
      <c r="U774" s="40" t="str">
        <f t="shared" si="3"/>
        <v/>
      </c>
      <c r="V774" s="34" t="str">
        <f t="shared" si="4"/>
        <v/>
      </c>
      <c r="W774" s="41" t="str">
        <f>IFERROR(__xludf.DUMMYFUNCTION(" IF(Account!$F774&lt;&gt;"""", SPLIT(Account!$F774, "" ""), """")"),"")</f>
        <v/>
      </c>
      <c r="X774" s="42"/>
      <c r="Y774" s="42"/>
      <c r="Z774" s="42"/>
      <c r="AA774" s="42"/>
      <c r="AB774" s="42"/>
      <c r="AC774" s="42"/>
      <c r="AD774" s="42"/>
      <c r="AE774" s="42"/>
      <c r="AF774" s="42"/>
      <c r="AG774" s="42"/>
      <c r="AH774" s="42"/>
      <c r="AI774" s="42"/>
      <c r="AJ774" s="42"/>
      <c r="AK774" s="42"/>
    </row>
    <row r="775">
      <c r="A775" s="20"/>
      <c r="B775" s="20"/>
      <c r="C775" s="20"/>
      <c r="D775" s="20"/>
      <c r="E775" s="20"/>
      <c r="F775" s="21"/>
      <c r="G775" s="45"/>
      <c r="H775" s="20"/>
      <c r="I775" s="20"/>
      <c r="J775" s="20"/>
      <c r="K775" s="20"/>
      <c r="L775" s="21"/>
      <c r="M775" s="33" t="str">
        <f>IFERROR(__xludf.DUMMYFUNCTION("IFS(W775=""Achat"",IFERROR(VALUE(X775),VALUE(REGEXREPLACE(T(X775),""[^0-9]"",""""))),W775=""Vente"",-IFERROR(VALUE(X775),VALUE(REGEXREPLACE(T(X775),""[^0-9]"",""""))),Y775=""Change"",0,Y775&lt;&gt;""Change"","""")"),"")</f>
        <v/>
      </c>
      <c r="N775" s="34" t="str">
        <f>IFERROR(__xludf.DUMMYFUNCTION("IF(Account!$F775&lt;&gt;"""", VALUE(REGEXREPLACE($I775, ""\,"", ""."")), """")"),"")</f>
        <v/>
      </c>
      <c r="O775" s="35" t="str">
        <f>IF(Account!$F775&lt;&gt;"", DATEVALUE(MID($A775,4,3) &amp; LEFT($A775,3) &amp; RIGHT($A775,4)) + TIMEVALUE($B775), "")</f>
        <v/>
      </c>
      <c r="P775" s="36" t="str">
        <f>IF(Account!$F775&lt;&gt;"", DATEVALUE(MID($C775,4,3) &amp; LEFT($C775,3) &amp; RIGHT($C775,4)), "")</f>
        <v/>
      </c>
      <c r="Q775" s="37" t="str">
        <f t="array" ref="Q775">IF($R775&lt;&gt;"",IFERROR(INDEX(ISIN!$B:$B,MATCH($R775,ISIN!$C:$C,0))),)</f>
        <v/>
      </c>
      <c r="R775" s="38" t="str">
        <f t="array" ref="R775">IF($E775&lt;&gt;"",IFERROR(INDEX(ISIN!$C:$C,MATCH($E775,ISIN!$A:$A,0)),IFERROR(INDEX($R776:$R1200,MATCH($K775,$K776:$K1200,0)))),IF(AND($Y775="change",$H775="EUR"),IF($O775=$O776,$R776,IF($O775=$O774,$R774)),IFERROR(INDEX($R776:$R1200,MATCH(SUBSTITUTE($I775,"-","",1),$K776:$K1200,0)))))</f>
        <v/>
      </c>
      <c r="S775" s="37" t="str">
        <f t="shared" si="1"/>
        <v/>
      </c>
      <c r="T775" s="39" t="str">
        <f t="shared" si="2"/>
        <v/>
      </c>
      <c r="U775" s="40" t="str">
        <f t="shared" si="3"/>
        <v/>
      </c>
      <c r="V775" s="34" t="str">
        <f t="shared" si="4"/>
        <v/>
      </c>
      <c r="W775" s="41" t="str">
        <f>IFERROR(__xludf.DUMMYFUNCTION(" IF(Account!$F775&lt;&gt;"""", SPLIT(Account!$F775, "" ""), """")"),"")</f>
        <v/>
      </c>
      <c r="X775" s="42"/>
      <c r="Y775" s="42"/>
      <c r="Z775" s="42"/>
      <c r="AA775" s="42"/>
      <c r="AB775" s="42"/>
      <c r="AC775" s="42"/>
      <c r="AD775" s="42"/>
      <c r="AE775" s="42"/>
      <c r="AF775" s="42"/>
      <c r="AG775" s="42"/>
      <c r="AH775" s="42"/>
      <c r="AI775" s="42"/>
      <c r="AJ775" s="42"/>
      <c r="AK775" s="42"/>
    </row>
    <row r="776">
      <c r="A776" s="20"/>
      <c r="B776" s="20"/>
      <c r="C776" s="20"/>
      <c r="D776" s="20"/>
      <c r="E776" s="20"/>
      <c r="F776" s="21"/>
      <c r="G776" s="20"/>
      <c r="H776" s="20"/>
      <c r="I776" s="20"/>
      <c r="J776" s="20"/>
      <c r="K776" s="20"/>
      <c r="L776" s="21"/>
      <c r="M776" s="33" t="str">
        <f>IFERROR(__xludf.DUMMYFUNCTION("IFS(W776=""Achat"",IFERROR(VALUE(X776),VALUE(REGEXREPLACE(T(X776),""[^0-9]"",""""))),W776=""Vente"",-IFERROR(VALUE(X776),VALUE(REGEXREPLACE(T(X776),""[^0-9]"",""""))),Y776=""Change"",0,Y776&lt;&gt;""Change"","""")"),"")</f>
        <v/>
      </c>
      <c r="N776" s="34" t="str">
        <f>IFERROR(__xludf.DUMMYFUNCTION("IF(Account!$F776&lt;&gt;"""", VALUE(REGEXREPLACE($I776, ""\,"", ""."")), """")"),"")</f>
        <v/>
      </c>
      <c r="O776" s="35" t="str">
        <f>IF(Account!$F776&lt;&gt;"", DATEVALUE(MID($A776,4,3) &amp; LEFT($A776,3) &amp; RIGHT($A776,4)) + TIMEVALUE($B776), "")</f>
        <v/>
      </c>
      <c r="P776" s="36" t="str">
        <f>IF(Account!$F776&lt;&gt;"", DATEVALUE(MID($C776,4,3) &amp; LEFT($C776,3) &amp; RIGHT($C776,4)), "")</f>
        <v/>
      </c>
      <c r="Q776" s="37" t="str">
        <f t="array" ref="Q776">IF($R776&lt;&gt;"",IFERROR(INDEX(ISIN!$B:$B,MATCH($R776,ISIN!$C:$C,0))),)</f>
        <v/>
      </c>
      <c r="R776" s="38" t="str">
        <f t="array" ref="R776">IF($E776&lt;&gt;"",IFERROR(INDEX(ISIN!$C:$C,MATCH($E776,ISIN!$A:$A,0)),IFERROR(INDEX($R777:$R1200,MATCH($K776,$K777:$K1200,0)))),IF(AND($Y776="change",$H776="EUR"),IF($O776=$O777,$R777,IF($O776=$O775,$R775)),IFERROR(INDEX($R777:$R1200,MATCH(SUBSTITUTE($I776,"-","",1),$K777:$K1200,0)))))</f>
        <v/>
      </c>
      <c r="S776" s="37" t="str">
        <f t="shared" si="1"/>
        <v/>
      </c>
      <c r="T776" s="39" t="str">
        <f t="shared" si="2"/>
        <v/>
      </c>
      <c r="U776" s="40" t="str">
        <f t="shared" si="3"/>
        <v/>
      </c>
      <c r="V776" s="34" t="str">
        <f t="shared" si="4"/>
        <v/>
      </c>
      <c r="W776" s="41" t="str">
        <f>IFERROR(__xludf.DUMMYFUNCTION(" IF(Account!$F776&lt;&gt;"""", SPLIT(Account!$F776, "" ""), """")"),"")</f>
        <v/>
      </c>
      <c r="X776" s="42"/>
      <c r="Y776" s="42"/>
      <c r="Z776" s="42"/>
      <c r="AA776" s="42"/>
      <c r="AB776" s="42"/>
      <c r="AC776" s="42"/>
      <c r="AD776" s="42"/>
      <c r="AE776" s="42"/>
      <c r="AF776" s="42"/>
      <c r="AG776" s="42"/>
      <c r="AH776" s="42"/>
      <c r="AI776" s="42"/>
      <c r="AJ776" s="42"/>
      <c r="AK776" s="42"/>
    </row>
    <row r="777">
      <c r="A777" s="20"/>
      <c r="B777" s="20"/>
      <c r="C777" s="20"/>
      <c r="D777" s="20"/>
      <c r="E777" s="20"/>
      <c r="F777" s="21"/>
      <c r="G777" s="45"/>
      <c r="H777" s="20"/>
      <c r="I777" s="20"/>
      <c r="J777" s="20"/>
      <c r="K777" s="20"/>
      <c r="L777" s="21"/>
      <c r="M777" s="33" t="str">
        <f>IFERROR(__xludf.DUMMYFUNCTION("IFS(W777=""Achat"",IFERROR(VALUE(X777),VALUE(REGEXREPLACE(T(X777),""[^0-9]"",""""))),W777=""Vente"",-IFERROR(VALUE(X777),VALUE(REGEXREPLACE(T(X777),""[^0-9]"",""""))),Y777=""Change"",0,Y777&lt;&gt;""Change"","""")"),"")</f>
        <v/>
      </c>
      <c r="N777" s="34" t="str">
        <f>IFERROR(__xludf.DUMMYFUNCTION("IF(Account!$F777&lt;&gt;"""", VALUE(REGEXREPLACE($I777, ""\,"", ""."")), """")"),"")</f>
        <v/>
      </c>
      <c r="O777" s="35" t="str">
        <f>IF(Account!$F777&lt;&gt;"", DATEVALUE(MID($A777,4,3) &amp; LEFT($A777,3) &amp; RIGHT($A777,4)) + TIMEVALUE($B777), "")</f>
        <v/>
      </c>
      <c r="P777" s="36" t="str">
        <f>IF(Account!$F777&lt;&gt;"", DATEVALUE(MID($C777,4,3) &amp; LEFT($C777,3) &amp; RIGHT($C777,4)), "")</f>
        <v/>
      </c>
      <c r="Q777" s="37" t="str">
        <f t="array" ref="Q777">IF($R777&lt;&gt;"",IFERROR(INDEX(ISIN!$B:$B,MATCH($R777,ISIN!$C:$C,0))),)</f>
        <v/>
      </c>
      <c r="R777" s="38" t="str">
        <f t="array" ref="R777">IF($E777&lt;&gt;"",IFERROR(INDEX(ISIN!$C:$C,MATCH($E777,ISIN!$A:$A,0)),IFERROR(INDEX($R778:$R1200,MATCH($K777,$K778:$K1200,0)))),IF(AND($Y777="change",$H777="EUR"),IF($O777=$O778,$R778,IF($O777=$O776,$R776)),IFERROR(INDEX($R778:$R1200,MATCH(SUBSTITUTE($I777,"-","",1),$K778:$K1200,0)))))</f>
        <v/>
      </c>
      <c r="S777" s="37" t="str">
        <f t="shared" si="1"/>
        <v/>
      </c>
      <c r="T777" s="39" t="str">
        <f t="shared" si="2"/>
        <v/>
      </c>
      <c r="U777" s="40" t="str">
        <f t="shared" si="3"/>
        <v/>
      </c>
      <c r="V777" s="34" t="str">
        <f t="shared" si="4"/>
        <v/>
      </c>
      <c r="W777" s="41" t="str">
        <f>IFERROR(__xludf.DUMMYFUNCTION(" IF(Account!$F777&lt;&gt;"""", SPLIT(Account!$F777, "" ""), """")"),"")</f>
        <v/>
      </c>
      <c r="X777" s="42"/>
      <c r="Y777" s="42"/>
      <c r="Z777" s="42"/>
      <c r="AA777" s="42"/>
      <c r="AB777" s="42"/>
      <c r="AC777" s="42"/>
      <c r="AD777" s="42"/>
      <c r="AE777" s="42"/>
      <c r="AF777" s="42"/>
      <c r="AG777" s="42"/>
      <c r="AH777" s="42"/>
      <c r="AI777" s="42"/>
      <c r="AJ777" s="42"/>
      <c r="AK777" s="42"/>
    </row>
    <row r="778">
      <c r="A778" s="20"/>
      <c r="B778" s="20"/>
      <c r="C778" s="20"/>
      <c r="D778" s="20"/>
      <c r="E778" s="20"/>
      <c r="F778" s="21"/>
      <c r="G778" s="45"/>
      <c r="H778" s="20"/>
      <c r="I778" s="20"/>
      <c r="J778" s="20"/>
      <c r="K778" s="20"/>
      <c r="L778" s="21"/>
      <c r="M778" s="33" t="str">
        <f>IFERROR(__xludf.DUMMYFUNCTION("IFS(W778=""Achat"",IFERROR(VALUE(X778),VALUE(REGEXREPLACE(T(X778),""[^0-9]"",""""))),W778=""Vente"",-IFERROR(VALUE(X778),VALUE(REGEXREPLACE(T(X778),""[^0-9]"",""""))),Y778=""Change"",0,Y778&lt;&gt;""Change"","""")"),"")</f>
        <v/>
      </c>
      <c r="N778" s="34" t="str">
        <f>IFERROR(__xludf.DUMMYFUNCTION("IF(Account!$F778&lt;&gt;"""", VALUE(REGEXREPLACE($I778, ""\,"", ""."")), """")"),"")</f>
        <v/>
      </c>
      <c r="O778" s="35" t="str">
        <f>IF(Account!$F778&lt;&gt;"", DATEVALUE(MID($A778,4,3) &amp; LEFT($A778,3) &amp; RIGHT($A778,4)) + TIMEVALUE($B778), "")</f>
        <v/>
      </c>
      <c r="P778" s="36" t="str">
        <f>IF(Account!$F778&lt;&gt;"", DATEVALUE(MID($C778,4,3) &amp; LEFT($C778,3) &amp; RIGHT($C778,4)), "")</f>
        <v/>
      </c>
      <c r="Q778" s="37" t="str">
        <f t="array" ref="Q778">IF($R778&lt;&gt;"",IFERROR(INDEX(ISIN!$B:$B,MATCH($R778,ISIN!$C:$C,0))),)</f>
        <v/>
      </c>
      <c r="R778" s="38" t="str">
        <f t="array" ref="R778">IF($E778&lt;&gt;"",IFERROR(INDEX(ISIN!$C:$C,MATCH($E778,ISIN!$A:$A,0)),IFERROR(INDEX($R779:$R1200,MATCH($K778,$K779:$K1200,0)))),IF(AND($Y778="change",$H778="EUR"),IF($O778=$O779,$R779,IF($O778=$O777,$R777)),IFERROR(INDEX($R779:$R1200,MATCH(SUBSTITUTE($I778,"-","",1),$K779:$K1200,0)))))</f>
        <v/>
      </c>
      <c r="S778" s="37" t="str">
        <f t="shared" si="1"/>
        <v/>
      </c>
      <c r="T778" s="39" t="str">
        <f t="shared" si="2"/>
        <v/>
      </c>
      <c r="U778" s="40" t="str">
        <f t="shared" si="3"/>
        <v/>
      </c>
      <c r="V778" s="34" t="str">
        <f t="shared" si="4"/>
        <v/>
      </c>
      <c r="W778" s="41" t="str">
        <f>IFERROR(__xludf.DUMMYFUNCTION(" IF(Account!$F778&lt;&gt;"""", SPLIT(Account!$F778, "" ""), """")"),"")</f>
        <v/>
      </c>
      <c r="X778" s="42"/>
      <c r="Y778" s="42"/>
      <c r="Z778" s="42"/>
      <c r="AA778" s="42"/>
      <c r="AB778" s="42"/>
      <c r="AC778" s="42"/>
      <c r="AD778" s="42"/>
      <c r="AE778" s="42"/>
      <c r="AF778" s="42"/>
      <c r="AG778" s="42"/>
      <c r="AH778" s="42"/>
      <c r="AI778" s="42"/>
      <c r="AJ778" s="42"/>
      <c r="AK778" s="42"/>
    </row>
    <row r="779">
      <c r="A779" s="20"/>
      <c r="B779" s="20"/>
      <c r="C779" s="20"/>
      <c r="D779" s="20"/>
      <c r="E779" s="20"/>
      <c r="F779" s="21"/>
      <c r="G779" s="20"/>
      <c r="H779" s="20"/>
      <c r="I779" s="20"/>
      <c r="J779" s="20"/>
      <c r="K779" s="20"/>
      <c r="L779" s="21"/>
      <c r="M779" s="33" t="str">
        <f>IFERROR(__xludf.DUMMYFUNCTION("IFS(W779=""Achat"",IFERROR(VALUE(X779),VALUE(REGEXREPLACE(T(X779),""[^0-9]"",""""))),W779=""Vente"",-IFERROR(VALUE(X779),VALUE(REGEXREPLACE(T(X779),""[^0-9]"",""""))),Y779=""Change"",0,Y779&lt;&gt;""Change"","""")"),"")</f>
        <v/>
      </c>
      <c r="N779" s="34" t="str">
        <f>IFERROR(__xludf.DUMMYFUNCTION("IF(Account!$F779&lt;&gt;"""", VALUE(REGEXREPLACE($I779, ""\,"", ""."")), """")"),"")</f>
        <v/>
      </c>
      <c r="O779" s="35" t="str">
        <f>IF(Account!$F779&lt;&gt;"", DATEVALUE(MID($A779,4,3) &amp; LEFT($A779,3) &amp; RIGHT($A779,4)) + TIMEVALUE($B779), "")</f>
        <v/>
      </c>
      <c r="P779" s="36" t="str">
        <f>IF(Account!$F779&lt;&gt;"", DATEVALUE(MID($C779,4,3) &amp; LEFT($C779,3) &amp; RIGHT($C779,4)), "")</f>
        <v/>
      </c>
      <c r="Q779" s="37" t="str">
        <f t="array" ref="Q779">IF($R779&lt;&gt;"",IFERROR(INDEX(ISIN!$B:$B,MATCH($R779,ISIN!$C:$C,0))),)</f>
        <v/>
      </c>
      <c r="R779" s="38" t="str">
        <f t="array" ref="R779">IF($E779&lt;&gt;"",IFERROR(INDEX(ISIN!$C:$C,MATCH($E779,ISIN!$A:$A,0)),IFERROR(INDEX($R780:$R1200,MATCH($K779,$K780:$K1200,0)))),IF(AND($Y779="change",$H779="EUR"),IF($O779=$O780,$R780,IF($O779=$O778,$R778)),IFERROR(INDEX($R780:$R1200,MATCH(SUBSTITUTE($I779,"-","",1),$K780:$K1200,0)))))</f>
        <v/>
      </c>
      <c r="S779" s="37" t="str">
        <f t="shared" si="1"/>
        <v/>
      </c>
      <c r="T779" s="39" t="str">
        <f t="shared" si="2"/>
        <v/>
      </c>
      <c r="U779" s="40" t="str">
        <f t="shared" si="3"/>
        <v/>
      </c>
      <c r="V779" s="34" t="str">
        <f t="shared" si="4"/>
        <v/>
      </c>
      <c r="W779" s="41" t="str">
        <f>IFERROR(__xludf.DUMMYFUNCTION(" IF(Account!$F779&lt;&gt;"""", SPLIT(Account!$F779, "" ""), """")"),"")</f>
        <v/>
      </c>
      <c r="X779" s="42"/>
      <c r="Y779" s="42"/>
      <c r="Z779" s="42"/>
      <c r="AA779" s="42"/>
      <c r="AB779" s="42"/>
      <c r="AC779" s="42"/>
      <c r="AD779" s="42"/>
      <c r="AE779" s="42"/>
      <c r="AF779" s="42"/>
      <c r="AG779" s="42"/>
      <c r="AH779" s="42"/>
      <c r="AI779" s="42"/>
      <c r="AJ779" s="42"/>
      <c r="AK779" s="42"/>
    </row>
    <row r="780">
      <c r="A780" s="20"/>
      <c r="B780" s="20"/>
      <c r="C780" s="20"/>
      <c r="D780" s="20"/>
      <c r="E780" s="20"/>
      <c r="F780" s="21"/>
      <c r="G780" s="45"/>
      <c r="H780" s="20"/>
      <c r="I780" s="20"/>
      <c r="J780" s="20"/>
      <c r="K780" s="20"/>
      <c r="L780" s="21"/>
      <c r="M780" s="33" t="str">
        <f>IFERROR(__xludf.DUMMYFUNCTION("IFS(W780=""Achat"",IFERROR(VALUE(X780),VALUE(REGEXREPLACE(T(X780),""[^0-9]"",""""))),W780=""Vente"",-IFERROR(VALUE(X780),VALUE(REGEXREPLACE(T(X780),""[^0-9]"",""""))),Y780=""Change"",0,Y780&lt;&gt;""Change"","""")"),"")</f>
        <v/>
      </c>
      <c r="N780" s="34" t="str">
        <f>IFERROR(__xludf.DUMMYFUNCTION("IF(Account!$F780&lt;&gt;"""", VALUE(REGEXREPLACE($I780, ""\,"", ""."")), """")"),"")</f>
        <v/>
      </c>
      <c r="O780" s="35" t="str">
        <f>IF(Account!$F780&lt;&gt;"", DATEVALUE(MID($A780,4,3) &amp; LEFT($A780,3) &amp; RIGHT($A780,4)) + TIMEVALUE($B780), "")</f>
        <v/>
      </c>
      <c r="P780" s="36" t="str">
        <f>IF(Account!$F780&lt;&gt;"", DATEVALUE(MID($C780,4,3) &amp; LEFT($C780,3) &amp; RIGHT($C780,4)), "")</f>
        <v/>
      </c>
      <c r="Q780" s="37" t="str">
        <f t="array" ref="Q780">IF($R780&lt;&gt;"",IFERROR(INDEX(ISIN!$B:$B,MATCH($R780,ISIN!$C:$C,0))),)</f>
        <v/>
      </c>
      <c r="R780" s="38" t="str">
        <f t="array" ref="R780">IF($E780&lt;&gt;"",IFERROR(INDEX(ISIN!$C:$C,MATCH($E780,ISIN!$A:$A,0)),IFERROR(INDEX($R781:$R1200,MATCH($K780,$K781:$K1200,0)))),IF(AND($Y780="change",$H780="EUR"),IF($O780=$O781,$R781,IF($O780=$O779,$R779)),IFERROR(INDEX($R781:$R1200,MATCH(SUBSTITUTE($I780,"-","",1),$K781:$K1200,0)))))</f>
        <v/>
      </c>
      <c r="S780" s="37" t="str">
        <f t="shared" si="1"/>
        <v/>
      </c>
      <c r="T780" s="39" t="str">
        <f t="shared" si="2"/>
        <v/>
      </c>
      <c r="U780" s="40" t="str">
        <f t="shared" si="3"/>
        <v/>
      </c>
      <c r="V780" s="34" t="str">
        <f t="shared" si="4"/>
        <v/>
      </c>
      <c r="W780" s="41" t="str">
        <f>IFERROR(__xludf.DUMMYFUNCTION(" IF(Account!$F780&lt;&gt;"""", SPLIT(Account!$F780, "" ""), """")"),"")</f>
        <v/>
      </c>
      <c r="X780" s="42"/>
      <c r="Y780" s="42"/>
      <c r="Z780" s="42"/>
      <c r="AA780" s="42"/>
      <c r="AB780" s="42"/>
      <c r="AC780" s="42"/>
      <c r="AD780" s="42"/>
      <c r="AE780" s="42"/>
      <c r="AF780" s="42"/>
      <c r="AG780" s="42"/>
      <c r="AH780" s="42"/>
      <c r="AI780" s="42"/>
      <c r="AJ780" s="42"/>
      <c r="AK780" s="42"/>
    </row>
    <row r="781">
      <c r="A781" s="20"/>
      <c r="B781" s="20"/>
      <c r="C781" s="20"/>
      <c r="D781" s="20"/>
      <c r="E781" s="20"/>
      <c r="F781" s="21"/>
      <c r="G781" s="45"/>
      <c r="H781" s="20"/>
      <c r="I781" s="20"/>
      <c r="J781" s="20"/>
      <c r="K781" s="20"/>
      <c r="L781" s="21"/>
      <c r="M781" s="33" t="str">
        <f>IFERROR(__xludf.DUMMYFUNCTION("IFS(W781=""Achat"",IFERROR(VALUE(X781),VALUE(REGEXREPLACE(T(X781),""[^0-9]"",""""))),W781=""Vente"",-IFERROR(VALUE(X781),VALUE(REGEXREPLACE(T(X781),""[^0-9]"",""""))),Y781=""Change"",0,Y781&lt;&gt;""Change"","""")"),"")</f>
        <v/>
      </c>
      <c r="N781" s="34" t="str">
        <f>IFERROR(__xludf.DUMMYFUNCTION("IF(Account!$F781&lt;&gt;"""", VALUE(REGEXREPLACE($I781, ""\,"", ""."")), """")"),"")</f>
        <v/>
      </c>
      <c r="O781" s="35" t="str">
        <f>IF(Account!$F781&lt;&gt;"", DATEVALUE(MID($A781,4,3) &amp; LEFT($A781,3) &amp; RIGHT($A781,4)) + TIMEVALUE($B781), "")</f>
        <v/>
      </c>
      <c r="P781" s="36" t="str">
        <f>IF(Account!$F781&lt;&gt;"", DATEVALUE(MID($C781,4,3) &amp; LEFT($C781,3) &amp; RIGHT($C781,4)), "")</f>
        <v/>
      </c>
      <c r="Q781" s="37" t="str">
        <f t="array" ref="Q781">IF($R781&lt;&gt;"",IFERROR(INDEX(ISIN!$B:$B,MATCH($R781,ISIN!$C:$C,0))),)</f>
        <v/>
      </c>
      <c r="R781" s="38" t="str">
        <f t="array" ref="R781">IF($E781&lt;&gt;"",IFERROR(INDEX(ISIN!$C:$C,MATCH($E781,ISIN!$A:$A,0)),IFERROR(INDEX($R782:$R1200,MATCH($K781,$K782:$K1200,0)))),IF(AND($Y781="change",$H781="EUR"),IF($O781=$O782,$R782,IF($O781=$O780,$R780)),IFERROR(INDEX($R782:$R1200,MATCH(SUBSTITUTE($I781,"-","",1),$K782:$K1200,0)))))</f>
        <v/>
      </c>
      <c r="S781" s="37" t="str">
        <f t="shared" si="1"/>
        <v/>
      </c>
      <c r="T781" s="39" t="str">
        <f t="shared" si="2"/>
        <v/>
      </c>
      <c r="U781" s="40" t="str">
        <f t="shared" si="3"/>
        <v/>
      </c>
      <c r="V781" s="34" t="str">
        <f t="shared" si="4"/>
        <v/>
      </c>
      <c r="W781" s="41" t="str">
        <f>IFERROR(__xludf.DUMMYFUNCTION(" IF(Account!$F781&lt;&gt;"""", SPLIT(Account!$F781, "" ""), """")"),"")</f>
        <v/>
      </c>
      <c r="X781" s="42"/>
      <c r="Y781" s="42"/>
      <c r="Z781" s="42"/>
      <c r="AA781" s="42"/>
      <c r="AB781" s="42"/>
      <c r="AC781" s="42"/>
      <c r="AD781" s="42"/>
      <c r="AE781" s="42"/>
      <c r="AF781" s="42"/>
      <c r="AG781" s="42"/>
      <c r="AH781" s="42"/>
      <c r="AI781" s="42"/>
      <c r="AJ781" s="42"/>
      <c r="AK781" s="42"/>
    </row>
    <row r="782">
      <c r="A782" s="20"/>
      <c r="B782" s="20"/>
      <c r="C782" s="20"/>
      <c r="D782" s="20"/>
      <c r="E782" s="20"/>
      <c r="F782" s="21"/>
      <c r="G782" s="45"/>
      <c r="H782" s="20"/>
      <c r="I782" s="20"/>
      <c r="J782" s="20"/>
      <c r="K782" s="20"/>
      <c r="L782" s="21"/>
      <c r="M782" s="33" t="str">
        <f>IFERROR(__xludf.DUMMYFUNCTION("IFS(W782=""Achat"",IFERROR(VALUE(X782),VALUE(REGEXREPLACE(T(X782),""[^0-9]"",""""))),W782=""Vente"",-IFERROR(VALUE(X782),VALUE(REGEXREPLACE(T(X782),""[^0-9]"",""""))),Y782=""Change"",0,Y782&lt;&gt;""Change"","""")"),"")</f>
        <v/>
      </c>
      <c r="N782" s="34" t="str">
        <f>IFERROR(__xludf.DUMMYFUNCTION("IF(Account!$F782&lt;&gt;"""", VALUE(REGEXREPLACE($I782, ""\,"", ""."")), """")"),"")</f>
        <v/>
      </c>
      <c r="O782" s="35" t="str">
        <f>IF(Account!$F782&lt;&gt;"", DATEVALUE(MID($A782,4,3) &amp; LEFT($A782,3) &amp; RIGHT($A782,4)) + TIMEVALUE($B782), "")</f>
        <v/>
      </c>
      <c r="P782" s="36" t="str">
        <f>IF(Account!$F782&lt;&gt;"", DATEVALUE(MID($C782,4,3) &amp; LEFT($C782,3) &amp; RIGHT($C782,4)), "")</f>
        <v/>
      </c>
      <c r="Q782" s="37" t="str">
        <f t="array" ref="Q782">IF($R782&lt;&gt;"",IFERROR(INDEX(ISIN!$B:$B,MATCH($R782,ISIN!$C:$C,0))),)</f>
        <v/>
      </c>
      <c r="R782" s="38" t="str">
        <f t="array" ref="R782">IF($E782&lt;&gt;"",IFERROR(INDEX(ISIN!$C:$C,MATCH($E782,ISIN!$A:$A,0)),IFERROR(INDEX($R783:$R1200,MATCH($K782,$K783:$K1200,0)))),IF(AND($Y782="change",$H782="EUR"),IF($O782=$O783,$R783,IF($O782=$O781,$R781)),IFERROR(INDEX($R783:$R1200,MATCH(SUBSTITUTE($I782,"-","",1),$K783:$K1200,0)))))</f>
        <v/>
      </c>
      <c r="S782" s="37" t="str">
        <f t="shared" si="1"/>
        <v/>
      </c>
      <c r="T782" s="39" t="str">
        <f t="shared" si="2"/>
        <v/>
      </c>
      <c r="U782" s="40" t="str">
        <f t="shared" si="3"/>
        <v/>
      </c>
      <c r="V782" s="34" t="str">
        <f t="shared" si="4"/>
        <v/>
      </c>
      <c r="W782" s="41" t="str">
        <f>IFERROR(__xludf.DUMMYFUNCTION(" IF(Account!$F782&lt;&gt;"""", SPLIT(Account!$F782, "" ""), """")"),"")</f>
        <v/>
      </c>
      <c r="X782" s="42"/>
      <c r="Y782" s="42"/>
      <c r="Z782" s="42"/>
      <c r="AA782" s="42"/>
      <c r="AB782" s="42"/>
      <c r="AC782" s="42"/>
      <c r="AD782" s="42"/>
      <c r="AE782" s="42"/>
      <c r="AF782" s="42"/>
      <c r="AG782" s="42"/>
      <c r="AH782" s="42"/>
      <c r="AI782" s="42"/>
      <c r="AJ782" s="42"/>
      <c r="AK782" s="42"/>
    </row>
    <row r="783">
      <c r="A783" s="20"/>
      <c r="B783" s="20"/>
      <c r="C783" s="20"/>
      <c r="D783" s="20"/>
      <c r="E783" s="20"/>
      <c r="F783" s="21"/>
      <c r="G783" s="45"/>
      <c r="H783" s="20"/>
      <c r="I783" s="20"/>
      <c r="J783" s="20"/>
      <c r="K783" s="20"/>
      <c r="L783" s="21"/>
      <c r="M783" s="33" t="str">
        <f>IFERROR(__xludf.DUMMYFUNCTION("IFS(W783=""Achat"",IFERROR(VALUE(X783),VALUE(REGEXREPLACE(T(X783),""[^0-9]"",""""))),W783=""Vente"",-IFERROR(VALUE(X783),VALUE(REGEXREPLACE(T(X783),""[^0-9]"",""""))),Y783=""Change"",0,Y783&lt;&gt;""Change"","""")"),"")</f>
        <v/>
      </c>
      <c r="N783" s="34" t="str">
        <f>IFERROR(__xludf.DUMMYFUNCTION("IF(Account!$F783&lt;&gt;"""", VALUE(REGEXREPLACE($I783, ""\,"", ""."")), """")"),"")</f>
        <v/>
      </c>
      <c r="O783" s="35" t="str">
        <f>IF(Account!$F783&lt;&gt;"", DATEVALUE(MID($A783,4,3) &amp; LEFT($A783,3) &amp; RIGHT($A783,4)) + TIMEVALUE($B783), "")</f>
        <v/>
      </c>
      <c r="P783" s="36" t="str">
        <f>IF(Account!$F783&lt;&gt;"", DATEVALUE(MID($C783,4,3) &amp; LEFT($C783,3) &amp; RIGHT($C783,4)), "")</f>
        <v/>
      </c>
      <c r="Q783" s="37" t="str">
        <f t="array" ref="Q783">IF($R783&lt;&gt;"",IFERROR(INDEX(ISIN!$B:$B,MATCH($R783,ISIN!$C:$C,0))),)</f>
        <v/>
      </c>
      <c r="R783" s="38" t="str">
        <f t="array" ref="R783">IF($E783&lt;&gt;"",IFERROR(INDEX(ISIN!$C:$C,MATCH($E783,ISIN!$A:$A,0)),IFERROR(INDEX($R784:$R1200,MATCH($K783,$K784:$K1200,0)))),IF(AND($Y783="change",$H783="EUR"),IF($O783=$O784,$R784,IF($O783=$O782,$R782)),IFERROR(INDEX($R784:$R1200,MATCH(SUBSTITUTE($I783,"-","",1),$K784:$K1200,0)))))</f>
        <v/>
      </c>
      <c r="S783" s="37" t="str">
        <f t="shared" si="1"/>
        <v/>
      </c>
      <c r="T783" s="39" t="str">
        <f t="shared" si="2"/>
        <v/>
      </c>
      <c r="U783" s="40" t="str">
        <f t="shared" si="3"/>
        <v/>
      </c>
      <c r="V783" s="34" t="str">
        <f t="shared" si="4"/>
        <v/>
      </c>
      <c r="W783" s="41" t="str">
        <f>IFERROR(__xludf.DUMMYFUNCTION(" IF(Account!$F783&lt;&gt;"""", SPLIT(Account!$F783, "" ""), """")"),"")</f>
        <v/>
      </c>
      <c r="X783" s="42"/>
      <c r="Y783" s="42"/>
      <c r="Z783" s="42"/>
      <c r="AA783" s="42"/>
      <c r="AB783" s="42"/>
      <c r="AC783" s="42"/>
      <c r="AD783" s="42"/>
      <c r="AE783" s="42"/>
      <c r="AF783" s="42"/>
      <c r="AG783" s="42"/>
      <c r="AH783" s="42"/>
      <c r="AI783" s="42"/>
      <c r="AJ783" s="42"/>
      <c r="AK783" s="42"/>
    </row>
    <row r="784">
      <c r="A784" s="20"/>
      <c r="B784" s="20"/>
      <c r="C784" s="20"/>
      <c r="D784" s="20"/>
      <c r="E784" s="20"/>
      <c r="F784" s="21"/>
      <c r="G784" s="20"/>
      <c r="H784" s="20"/>
      <c r="I784" s="20"/>
      <c r="J784" s="20"/>
      <c r="K784" s="20"/>
      <c r="L784" s="21"/>
      <c r="M784" s="33" t="str">
        <f>IFERROR(__xludf.DUMMYFUNCTION("IFS(W784=""Achat"",IFERROR(VALUE(X784),VALUE(REGEXREPLACE(T(X784),""[^0-9]"",""""))),W784=""Vente"",-IFERROR(VALUE(X784),VALUE(REGEXREPLACE(T(X784),""[^0-9]"",""""))),Y784=""Change"",0,Y784&lt;&gt;""Change"","""")"),"")</f>
        <v/>
      </c>
      <c r="N784" s="34" t="str">
        <f>IFERROR(__xludf.DUMMYFUNCTION("IF(Account!$F784&lt;&gt;"""", VALUE(REGEXREPLACE($I784, ""\,"", ""."")), """")"),"")</f>
        <v/>
      </c>
      <c r="O784" s="35" t="str">
        <f>IF(Account!$F784&lt;&gt;"", DATEVALUE(MID($A784,4,3) &amp; LEFT($A784,3) &amp; RIGHT($A784,4)) + TIMEVALUE($B784), "")</f>
        <v/>
      </c>
      <c r="P784" s="36" t="str">
        <f>IF(Account!$F784&lt;&gt;"", DATEVALUE(MID($C784,4,3) &amp; LEFT($C784,3) &amp; RIGHT($C784,4)), "")</f>
        <v/>
      </c>
      <c r="Q784" s="37" t="str">
        <f t="array" ref="Q784">IF($R784&lt;&gt;"",IFERROR(INDEX(ISIN!$B:$B,MATCH($R784,ISIN!$C:$C,0))),)</f>
        <v/>
      </c>
      <c r="R784" s="38" t="str">
        <f t="array" ref="R784">IF($E784&lt;&gt;"",IFERROR(INDEX(ISIN!$C:$C,MATCH($E784,ISIN!$A:$A,0)),IFERROR(INDEX($R785:$R1200,MATCH($K784,$K785:$K1200,0)))),IF(AND($Y784="change",$H784="EUR"),IF($O784=$O785,$R785,IF($O784=$O783,$R783)),IFERROR(INDEX($R785:$R1200,MATCH(SUBSTITUTE($I784,"-","",1),$K785:$K1200,0)))))</f>
        <v/>
      </c>
      <c r="S784" s="37" t="str">
        <f t="shared" si="1"/>
        <v/>
      </c>
      <c r="T784" s="39" t="str">
        <f t="shared" si="2"/>
        <v/>
      </c>
      <c r="U784" s="40" t="str">
        <f t="shared" si="3"/>
        <v/>
      </c>
      <c r="V784" s="34" t="str">
        <f t="shared" si="4"/>
        <v/>
      </c>
      <c r="W784" s="41" t="str">
        <f>IFERROR(__xludf.DUMMYFUNCTION(" IF(Account!$F784&lt;&gt;"""", SPLIT(Account!$F784, "" ""), """")"),"")</f>
        <v/>
      </c>
      <c r="X784" s="42"/>
      <c r="Y784" s="42"/>
      <c r="Z784" s="42"/>
      <c r="AA784" s="42"/>
      <c r="AB784" s="42"/>
      <c r="AC784" s="42"/>
      <c r="AD784" s="42"/>
      <c r="AE784" s="42"/>
      <c r="AF784" s="42"/>
      <c r="AG784" s="42"/>
      <c r="AH784" s="42"/>
      <c r="AI784" s="42"/>
      <c r="AJ784" s="42"/>
      <c r="AK784" s="42"/>
    </row>
    <row r="785">
      <c r="A785" s="20"/>
      <c r="B785" s="20"/>
      <c r="C785" s="20"/>
      <c r="D785" s="20"/>
      <c r="E785" s="20"/>
      <c r="F785" s="21"/>
      <c r="G785" s="45"/>
      <c r="H785" s="20"/>
      <c r="I785" s="20"/>
      <c r="J785" s="20"/>
      <c r="K785" s="20"/>
      <c r="L785" s="21"/>
      <c r="M785" s="33" t="str">
        <f>IFERROR(__xludf.DUMMYFUNCTION("IFS(W785=""Achat"",IFERROR(VALUE(X785),VALUE(REGEXREPLACE(T(X785),""[^0-9]"",""""))),W785=""Vente"",-IFERROR(VALUE(X785),VALUE(REGEXREPLACE(T(X785),""[^0-9]"",""""))),Y785=""Change"",0,Y785&lt;&gt;""Change"","""")"),"")</f>
        <v/>
      </c>
      <c r="N785" s="34" t="str">
        <f>IFERROR(__xludf.DUMMYFUNCTION("IF(Account!$F785&lt;&gt;"""", VALUE(REGEXREPLACE($I785, ""\,"", ""."")), """")"),"")</f>
        <v/>
      </c>
      <c r="O785" s="35" t="str">
        <f>IF(Account!$F785&lt;&gt;"", DATEVALUE(MID($A785,4,3) &amp; LEFT($A785,3) &amp; RIGHT($A785,4)) + TIMEVALUE($B785), "")</f>
        <v/>
      </c>
      <c r="P785" s="36" t="str">
        <f>IF(Account!$F785&lt;&gt;"", DATEVALUE(MID($C785,4,3) &amp; LEFT($C785,3) &amp; RIGHT($C785,4)), "")</f>
        <v/>
      </c>
      <c r="Q785" s="37" t="str">
        <f t="array" ref="Q785">IF($R785&lt;&gt;"",IFERROR(INDEX(ISIN!$B:$B,MATCH($R785,ISIN!$C:$C,0))),)</f>
        <v/>
      </c>
      <c r="R785" s="38" t="str">
        <f t="array" ref="R785">IF($E785&lt;&gt;"",IFERROR(INDEX(ISIN!$C:$C,MATCH($E785,ISIN!$A:$A,0)),IFERROR(INDEX($R786:$R1200,MATCH($K785,$K786:$K1200,0)))),IF(AND($Y785="change",$H785="EUR"),IF($O785=$O786,$R786,IF($O785=$O784,$R784)),IFERROR(INDEX($R786:$R1200,MATCH(SUBSTITUTE($I785,"-","",1),$K786:$K1200,0)))))</f>
        <v/>
      </c>
      <c r="S785" s="37" t="str">
        <f t="shared" si="1"/>
        <v/>
      </c>
      <c r="T785" s="39" t="str">
        <f t="shared" si="2"/>
        <v/>
      </c>
      <c r="U785" s="40" t="str">
        <f t="shared" si="3"/>
        <v/>
      </c>
      <c r="V785" s="34" t="str">
        <f t="shared" si="4"/>
        <v/>
      </c>
      <c r="W785" s="41" t="str">
        <f>IFERROR(__xludf.DUMMYFUNCTION(" IF(Account!$F785&lt;&gt;"""", SPLIT(Account!$F785, "" ""), """")"),"")</f>
        <v/>
      </c>
      <c r="X785" s="42"/>
      <c r="Y785" s="42"/>
      <c r="Z785" s="42"/>
      <c r="AA785" s="42"/>
      <c r="AB785" s="42"/>
      <c r="AC785" s="42"/>
      <c r="AD785" s="42"/>
      <c r="AE785" s="42"/>
      <c r="AF785" s="42"/>
      <c r="AG785" s="42"/>
      <c r="AH785" s="42"/>
      <c r="AI785" s="42"/>
      <c r="AJ785" s="42"/>
      <c r="AK785" s="42"/>
    </row>
    <row r="786">
      <c r="A786" s="20"/>
      <c r="B786" s="20"/>
      <c r="C786" s="20"/>
      <c r="D786" s="20"/>
      <c r="E786" s="20"/>
      <c r="F786" s="21"/>
      <c r="G786" s="20"/>
      <c r="H786" s="20"/>
      <c r="I786" s="20"/>
      <c r="J786" s="20"/>
      <c r="K786" s="20"/>
      <c r="L786" s="21"/>
      <c r="M786" s="33" t="str">
        <f>IFERROR(__xludf.DUMMYFUNCTION("IFS(W786=""Achat"",IFERROR(VALUE(X786),VALUE(REGEXREPLACE(T(X786),""[^0-9]"",""""))),W786=""Vente"",-IFERROR(VALUE(X786),VALUE(REGEXREPLACE(T(X786),""[^0-9]"",""""))),Y786=""Change"",0,Y786&lt;&gt;""Change"","""")"),"")</f>
        <v/>
      </c>
      <c r="N786" s="34" t="str">
        <f>IFERROR(__xludf.DUMMYFUNCTION("IF(Account!$F786&lt;&gt;"""", VALUE(REGEXREPLACE($I786, ""\,"", ""."")), """")"),"")</f>
        <v/>
      </c>
      <c r="O786" s="35" t="str">
        <f>IF(Account!$F786&lt;&gt;"", DATEVALUE(MID($A786,4,3) &amp; LEFT($A786,3) &amp; RIGHT($A786,4)) + TIMEVALUE($B786), "")</f>
        <v/>
      </c>
      <c r="P786" s="36" t="str">
        <f>IF(Account!$F786&lt;&gt;"", DATEVALUE(MID($C786,4,3) &amp; LEFT($C786,3) &amp; RIGHT($C786,4)), "")</f>
        <v/>
      </c>
      <c r="Q786" s="37" t="str">
        <f t="array" ref="Q786">IF($R786&lt;&gt;"",IFERROR(INDEX(ISIN!$B:$B,MATCH($R786,ISIN!$C:$C,0))),)</f>
        <v/>
      </c>
      <c r="R786" s="38" t="str">
        <f t="array" ref="R786">IF($E786&lt;&gt;"",IFERROR(INDEX(ISIN!$C:$C,MATCH($E786,ISIN!$A:$A,0)),IFERROR(INDEX($R787:$R1200,MATCH($K786,$K787:$K1200,0)))),IF(AND($Y786="change",$H786="EUR"),IF($O786=$O787,$R787,IF($O786=$O785,$R785)),IFERROR(INDEX($R787:$R1200,MATCH(SUBSTITUTE($I786,"-","",1),$K787:$K1200,0)))))</f>
        <v/>
      </c>
      <c r="S786" s="37" t="str">
        <f t="shared" si="1"/>
        <v/>
      </c>
      <c r="T786" s="39" t="str">
        <f t="shared" si="2"/>
        <v/>
      </c>
      <c r="U786" s="40" t="str">
        <f t="shared" si="3"/>
        <v/>
      </c>
      <c r="V786" s="34" t="str">
        <f t="shared" si="4"/>
        <v/>
      </c>
      <c r="W786" s="41" t="str">
        <f>IFERROR(__xludf.DUMMYFUNCTION(" IF(Account!$F786&lt;&gt;"""", SPLIT(Account!$F786, "" ""), """")"),"")</f>
        <v/>
      </c>
      <c r="X786" s="42"/>
      <c r="Y786" s="42"/>
      <c r="Z786" s="42"/>
      <c r="AA786" s="42"/>
      <c r="AB786" s="42"/>
      <c r="AC786" s="42"/>
      <c r="AD786" s="42"/>
      <c r="AE786" s="42"/>
      <c r="AF786" s="42"/>
      <c r="AG786" s="42"/>
      <c r="AH786" s="42"/>
      <c r="AI786" s="42"/>
      <c r="AJ786" s="42"/>
      <c r="AK786" s="42"/>
    </row>
    <row r="787">
      <c r="A787" s="20"/>
      <c r="B787" s="20"/>
      <c r="C787" s="20"/>
      <c r="D787" s="20"/>
      <c r="E787" s="20"/>
      <c r="F787" s="21"/>
      <c r="G787" s="45"/>
      <c r="H787" s="20"/>
      <c r="I787" s="20"/>
      <c r="J787" s="20"/>
      <c r="K787" s="20"/>
      <c r="L787" s="21"/>
      <c r="M787" s="33" t="str">
        <f>IFERROR(__xludf.DUMMYFUNCTION("IFS(W787=""Achat"",IFERROR(VALUE(X787),VALUE(REGEXREPLACE(T(X787),""[^0-9]"",""""))),W787=""Vente"",-IFERROR(VALUE(X787),VALUE(REGEXREPLACE(T(X787),""[^0-9]"",""""))),Y787=""Change"",0,Y787&lt;&gt;""Change"","""")"),"")</f>
        <v/>
      </c>
      <c r="N787" s="34" t="str">
        <f>IFERROR(__xludf.DUMMYFUNCTION("IF(Account!$F787&lt;&gt;"""", VALUE(REGEXREPLACE($I787, ""\,"", ""."")), """")"),"")</f>
        <v/>
      </c>
      <c r="O787" s="35" t="str">
        <f>IF(Account!$F787&lt;&gt;"", DATEVALUE(MID($A787,4,3) &amp; LEFT($A787,3) &amp; RIGHT($A787,4)) + TIMEVALUE($B787), "")</f>
        <v/>
      </c>
      <c r="P787" s="36" t="str">
        <f>IF(Account!$F787&lt;&gt;"", DATEVALUE(MID($C787,4,3) &amp; LEFT($C787,3) &amp; RIGHT($C787,4)), "")</f>
        <v/>
      </c>
      <c r="Q787" s="37" t="str">
        <f t="array" ref="Q787">IF($R787&lt;&gt;"",IFERROR(INDEX(ISIN!$B:$B,MATCH($R787,ISIN!$C:$C,0))),)</f>
        <v/>
      </c>
      <c r="R787" s="38" t="str">
        <f t="array" ref="R787">IF($E787&lt;&gt;"",IFERROR(INDEX(ISIN!$C:$C,MATCH($E787,ISIN!$A:$A,0)),IFERROR(INDEX($R788:$R1200,MATCH($K787,$K788:$K1200,0)))),IF(AND($Y787="change",$H787="EUR"),IF($O787=$O788,$R788,IF($O787=$O786,$R786)),IFERROR(INDEX($R788:$R1200,MATCH(SUBSTITUTE($I787,"-","",1),$K788:$K1200,0)))))</f>
        <v/>
      </c>
      <c r="S787" s="37" t="str">
        <f t="shared" si="1"/>
        <v/>
      </c>
      <c r="T787" s="39" t="str">
        <f t="shared" si="2"/>
        <v/>
      </c>
      <c r="U787" s="40" t="str">
        <f t="shared" si="3"/>
        <v/>
      </c>
      <c r="V787" s="34" t="str">
        <f t="shared" si="4"/>
        <v/>
      </c>
      <c r="W787" s="41" t="str">
        <f>IFERROR(__xludf.DUMMYFUNCTION(" IF(Account!$F787&lt;&gt;"""", SPLIT(Account!$F787, "" ""), """")"),"")</f>
        <v/>
      </c>
      <c r="X787" s="42"/>
      <c r="Y787" s="42"/>
      <c r="Z787" s="42"/>
      <c r="AA787" s="42"/>
      <c r="AB787" s="42"/>
      <c r="AC787" s="42"/>
      <c r="AD787" s="42"/>
      <c r="AE787" s="42"/>
      <c r="AF787" s="42"/>
      <c r="AG787" s="42"/>
      <c r="AH787" s="42"/>
      <c r="AI787" s="42"/>
      <c r="AJ787" s="42"/>
      <c r="AK787" s="42"/>
    </row>
    <row r="788">
      <c r="A788" s="20"/>
      <c r="B788" s="20"/>
      <c r="C788" s="20"/>
      <c r="D788" s="20"/>
      <c r="E788" s="20"/>
      <c r="F788" s="21"/>
      <c r="G788" s="20"/>
      <c r="H788" s="20"/>
      <c r="I788" s="20"/>
      <c r="J788" s="20"/>
      <c r="K788" s="20"/>
      <c r="L788" s="21"/>
      <c r="M788" s="33" t="str">
        <f>IFERROR(__xludf.DUMMYFUNCTION("IFS(W788=""Achat"",IFERROR(VALUE(X788),VALUE(REGEXREPLACE(T(X788),""[^0-9]"",""""))),W788=""Vente"",-IFERROR(VALUE(X788),VALUE(REGEXREPLACE(T(X788),""[^0-9]"",""""))),Y788=""Change"",0,Y788&lt;&gt;""Change"","""")"),"")</f>
        <v/>
      </c>
      <c r="N788" s="34" t="str">
        <f>IFERROR(__xludf.DUMMYFUNCTION("IF(Account!$F788&lt;&gt;"""", VALUE(REGEXREPLACE($I788, ""\,"", ""."")), """")"),"")</f>
        <v/>
      </c>
      <c r="O788" s="35" t="str">
        <f>IF(Account!$F788&lt;&gt;"", DATEVALUE(MID($A788,4,3) &amp; LEFT($A788,3) &amp; RIGHT($A788,4)) + TIMEVALUE($B788), "")</f>
        <v/>
      </c>
      <c r="P788" s="36" t="str">
        <f>IF(Account!$F788&lt;&gt;"", DATEVALUE(MID($C788,4,3) &amp; LEFT($C788,3) &amp; RIGHT($C788,4)), "")</f>
        <v/>
      </c>
      <c r="Q788" s="37" t="str">
        <f t="array" ref="Q788">IF($R788&lt;&gt;"",IFERROR(INDEX(ISIN!$B:$B,MATCH($R788,ISIN!$C:$C,0))),)</f>
        <v/>
      </c>
      <c r="R788" s="38" t="str">
        <f t="array" ref="R788">IF($E788&lt;&gt;"",IFERROR(INDEX(ISIN!$C:$C,MATCH($E788,ISIN!$A:$A,0)),IFERROR(INDEX($R789:$R1200,MATCH($K788,$K789:$K1200,0)))),IF(AND($Y788="change",$H788="EUR"),IF($O788=$O789,$R789,IF($O788=$O787,$R787)),IFERROR(INDEX($R789:$R1200,MATCH(SUBSTITUTE($I788,"-","",1),$K789:$K1200,0)))))</f>
        <v/>
      </c>
      <c r="S788" s="37" t="str">
        <f t="shared" si="1"/>
        <v/>
      </c>
      <c r="T788" s="39" t="str">
        <f t="shared" si="2"/>
        <v/>
      </c>
      <c r="U788" s="40" t="str">
        <f t="shared" si="3"/>
        <v/>
      </c>
      <c r="V788" s="34" t="str">
        <f t="shared" si="4"/>
        <v/>
      </c>
      <c r="W788" s="41" t="str">
        <f>IFERROR(__xludf.DUMMYFUNCTION(" IF(Account!$F788&lt;&gt;"""", SPLIT(Account!$F788, "" ""), """")"),"")</f>
        <v/>
      </c>
      <c r="X788" s="42"/>
      <c r="Y788" s="42"/>
      <c r="Z788" s="42"/>
      <c r="AA788" s="42"/>
      <c r="AB788" s="42"/>
      <c r="AC788" s="42"/>
      <c r="AD788" s="42"/>
      <c r="AE788" s="42"/>
      <c r="AF788" s="42"/>
      <c r="AG788" s="42"/>
      <c r="AH788" s="42"/>
      <c r="AI788" s="42"/>
      <c r="AJ788" s="42"/>
      <c r="AK788" s="42"/>
    </row>
    <row r="789">
      <c r="A789" s="20"/>
      <c r="B789" s="20"/>
      <c r="C789" s="20"/>
      <c r="D789" s="20"/>
      <c r="E789" s="20"/>
      <c r="F789" s="21"/>
      <c r="G789" s="45"/>
      <c r="H789" s="20"/>
      <c r="I789" s="20"/>
      <c r="J789" s="20"/>
      <c r="K789" s="20"/>
      <c r="L789" s="21"/>
      <c r="M789" s="33" t="str">
        <f>IFERROR(__xludf.DUMMYFUNCTION("IFS(W789=""Achat"",IFERROR(VALUE(X789),VALUE(REGEXREPLACE(T(X789),""[^0-9]"",""""))),W789=""Vente"",-IFERROR(VALUE(X789),VALUE(REGEXREPLACE(T(X789),""[^0-9]"",""""))),Y789=""Change"",0,Y789&lt;&gt;""Change"","""")"),"")</f>
        <v/>
      </c>
      <c r="N789" s="34" t="str">
        <f>IFERROR(__xludf.DUMMYFUNCTION("IF(Account!$F789&lt;&gt;"""", VALUE(REGEXREPLACE($I789, ""\,"", ""."")), """")"),"")</f>
        <v/>
      </c>
      <c r="O789" s="35" t="str">
        <f>IF(Account!$F789&lt;&gt;"", DATEVALUE(MID($A789,4,3) &amp; LEFT($A789,3) &amp; RIGHT($A789,4)) + TIMEVALUE($B789), "")</f>
        <v/>
      </c>
      <c r="P789" s="36" t="str">
        <f>IF(Account!$F789&lt;&gt;"", DATEVALUE(MID($C789,4,3) &amp; LEFT($C789,3) &amp; RIGHT($C789,4)), "")</f>
        <v/>
      </c>
      <c r="Q789" s="37" t="str">
        <f t="array" ref="Q789">IF($R789&lt;&gt;"",IFERROR(INDEX(ISIN!$B:$B,MATCH($R789,ISIN!$C:$C,0))),)</f>
        <v/>
      </c>
      <c r="R789" s="38" t="str">
        <f t="array" ref="R789">IF($E789&lt;&gt;"",IFERROR(INDEX(ISIN!$C:$C,MATCH($E789,ISIN!$A:$A,0)),IFERROR(INDEX($R790:$R1200,MATCH($K789,$K790:$K1200,0)))),IF(AND($Y789="change",$H789="EUR"),IF($O789=$O790,$R790,IF($O789=$O788,$R788)),IFERROR(INDEX($R790:$R1200,MATCH(SUBSTITUTE($I789,"-","",1),$K790:$K1200,0)))))</f>
        <v/>
      </c>
      <c r="S789" s="37" t="str">
        <f t="shared" si="1"/>
        <v/>
      </c>
      <c r="T789" s="39" t="str">
        <f t="shared" si="2"/>
        <v/>
      </c>
      <c r="U789" s="40" t="str">
        <f t="shared" si="3"/>
        <v/>
      </c>
      <c r="V789" s="34" t="str">
        <f t="shared" si="4"/>
        <v/>
      </c>
      <c r="W789" s="41" t="str">
        <f>IFERROR(__xludf.DUMMYFUNCTION(" IF(Account!$F789&lt;&gt;"""", SPLIT(Account!$F789, "" ""), """")"),"")</f>
        <v/>
      </c>
      <c r="X789" s="42"/>
      <c r="Y789" s="42"/>
      <c r="Z789" s="42"/>
      <c r="AA789" s="42"/>
      <c r="AB789" s="42"/>
      <c r="AC789" s="42"/>
      <c r="AD789" s="42"/>
      <c r="AE789" s="42"/>
      <c r="AF789" s="42"/>
      <c r="AG789" s="42"/>
      <c r="AH789" s="42"/>
      <c r="AI789" s="42"/>
      <c r="AJ789" s="42"/>
      <c r="AK789" s="42"/>
    </row>
    <row r="790">
      <c r="A790" s="20"/>
      <c r="B790" s="20"/>
      <c r="C790" s="20"/>
      <c r="D790" s="20"/>
      <c r="E790" s="20"/>
      <c r="F790" s="21"/>
      <c r="G790" s="20"/>
      <c r="H790" s="20"/>
      <c r="I790" s="20"/>
      <c r="J790" s="20"/>
      <c r="K790" s="20"/>
      <c r="L790" s="21"/>
      <c r="M790" s="33" t="str">
        <f>IFERROR(__xludf.DUMMYFUNCTION("IFS(W790=""Achat"",IFERROR(VALUE(X790),VALUE(REGEXREPLACE(T(X790),""[^0-9]"",""""))),W790=""Vente"",-IFERROR(VALUE(X790),VALUE(REGEXREPLACE(T(X790),""[^0-9]"",""""))),Y790=""Change"",0,Y790&lt;&gt;""Change"","""")"),"")</f>
        <v/>
      </c>
      <c r="N790" s="34" t="str">
        <f>IFERROR(__xludf.DUMMYFUNCTION("IF(Account!$F790&lt;&gt;"""", VALUE(REGEXREPLACE($I790, ""\,"", ""."")), """")"),"")</f>
        <v/>
      </c>
      <c r="O790" s="35" t="str">
        <f>IF(Account!$F790&lt;&gt;"", DATEVALUE(MID($A790,4,3) &amp; LEFT($A790,3) &amp; RIGHT($A790,4)) + TIMEVALUE($B790), "")</f>
        <v/>
      </c>
      <c r="P790" s="36" t="str">
        <f>IF(Account!$F790&lt;&gt;"", DATEVALUE(MID($C790,4,3) &amp; LEFT($C790,3) &amp; RIGHT($C790,4)), "")</f>
        <v/>
      </c>
      <c r="Q790" s="37" t="str">
        <f t="array" ref="Q790">IF($R790&lt;&gt;"",IFERROR(INDEX(ISIN!$B:$B,MATCH($R790,ISIN!$C:$C,0))),)</f>
        <v/>
      </c>
      <c r="R790" s="38" t="str">
        <f t="array" ref="R790">IF($E790&lt;&gt;"",IFERROR(INDEX(ISIN!$C:$C,MATCH($E790,ISIN!$A:$A,0)),IFERROR(INDEX($R791:$R1200,MATCH($K790,$K791:$K1200,0)))),IF(AND($Y790="change",$H790="EUR"),IF($O790=$O791,$R791,IF($O790=$O789,$R789)),IFERROR(INDEX($R791:$R1200,MATCH(SUBSTITUTE($I790,"-","",1),$K791:$K1200,0)))))</f>
        <v/>
      </c>
      <c r="S790" s="37" t="str">
        <f t="shared" si="1"/>
        <v/>
      </c>
      <c r="T790" s="39" t="str">
        <f t="shared" si="2"/>
        <v/>
      </c>
      <c r="U790" s="40" t="str">
        <f t="shared" si="3"/>
        <v/>
      </c>
      <c r="V790" s="34" t="str">
        <f t="shared" si="4"/>
        <v/>
      </c>
      <c r="W790" s="41" t="str">
        <f>IFERROR(__xludf.DUMMYFUNCTION(" IF(Account!$F790&lt;&gt;"""", SPLIT(Account!$F790, "" ""), """")"),"")</f>
        <v/>
      </c>
      <c r="X790" s="42"/>
      <c r="Y790" s="42"/>
      <c r="Z790" s="42"/>
      <c r="AA790" s="42"/>
      <c r="AB790" s="42"/>
      <c r="AC790" s="42"/>
      <c r="AD790" s="42"/>
      <c r="AE790" s="42"/>
      <c r="AF790" s="42"/>
      <c r="AG790" s="42"/>
      <c r="AH790" s="42"/>
      <c r="AI790" s="42"/>
      <c r="AJ790" s="42"/>
      <c r="AK790" s="42"/>
    </row>
    <row r="791">
      <c r="A791" s="20"/>
      <c r="B791" s="20"/>
      <c r="C791" s="20"/>
      <c r="D791" s="20"/>
      <c r="E791" s="20"/>
      <c r="F791" s="21"/>
      <c r="G791" s="45"/>
      <c r="H791" s="20"/>
      <c r="I791" s="20"/>
      <c r="J791" s="20"/>
      <c r="K791" s="20"/>
      <c r="L791" s="21"/>
      <c r="M791" s="33" t="str">
        <f>IFERROR(__xludf.DUMMYFUNCTION("IFS(W791=""Achat"",IFERROR(VALUE(X791),VALUE(REGEXREPLACE(T(X791),""[^0-9]"",""""))),W791=""Vente"",-IFERROR(VALUE(X791),VALUE(REGEXREPLACE(T(X791),""[^0-9]"",""""))),Y791=""Change"",0,Y791&lt;&gt;""Change"","""")"),"")</f>
        <v/>
      </c>
      <c r="N791" s="34" t="str">
        <f>IFERROR(__xludf.DUMMYFUNCTION("IF(Account!$F791&lt;&gt;"""", VALUE(REGEXREPLACE($I791, ""\,"", ""."")), """")"),"")</f>
        <v/>
      </c>
      <c r="O791" s="35" t="str">
        <f>IF(Account!$F791&lt;&gt;"", DATEVALUE(MID($A791,4,3) &amp; LEFT($A791,3) &amp; RIGHT($A791,4)) + TIMEVALUE($B791), "")</f>
        <v/>
      </c>
      <c r="P791" s="36" t="str">
        <f>IF(Account!$F791&lt;&gt;"", DATEVALUE(MID($C791,4,3) &amp; LEFT($C791,3) &amp; RIGHT($C791,4)), "")</f>
        <v/>
      </c>
      <c r="Q791" s="37" t="str">
        <f t="array" ref="Q791">IF($R791&lt;&gt;"",IFERROR(INDEX(ISIN!$B:$B,MATCH($R791,ISIN!$C:$C,0))),)</f>
        <v/>
      </c>
      <c r="R791" s="38" t="str">
        <f t="array" ref="R791">IF($E791&lt;&gt;"",IFERROR(INDEX(ISIN!$C:$C,MATCH($E791,ISIN!$A:$A,0)),IFERROR(INDEX($R792:$R1200,MATCH($K791,$K792:$K1200,0)))),IF(AND($Y791="change",$H791="EUR"),IF($O791=$O792,$R792,IF($O791=$O790,$R790)),IFERROR(INDEX($R792:$R1200,MATCH(SUBSTITUTE($I791,"-","",1),$K792:$K1200,0)))))</f>
        <v/>
      </c>
      <c r="S791" s="37" t="str">
        <f t="shared" si="1"/>
        <v/>
      </c>
      <c r="T791" s="39" t="str">
        <f t="shared" si="2"/>
        <v/>
      </c>
      <c r="U791" s="40" t="str">
        <f t="shared" si="3"/>
        <v/>
      </c>
      <c r="V791" s="34" t="str">
        <f t="shared" si="4"/>
        <v/>
      </c>
      <c r="W791" s="41" t="str">
        <f>IFERROR(__xludf.DUMMYFUNCTION(" IF(Account!$F791&lt;&gt;"""", SPLIT(Account!$F791, "" ""), """")"),"")</f>
        <v/>
      </c>
      <c r="X791" s="42"/>
      <c r="Y791" s="42"/>
      <c r="Z791" s="42"/>
      <c r="AA791" s="42"/>
      <c r="AB791" s="42"/>
      <c r="AC791" s="42"/>
      <c r="AD791" s="42"/>
      <c r="AE791" s="42"/>
      <c r="AF791" s="42"/>
      <c r="AG791" s="42"/>
      <c r="AH791" s="42"/>
      <c r="AI791" s="42"/>
      <c r="AJ791" s="42"/>
      <c r="AK791" s="42"/>
    </row>
    <row r="792">
      <c r="A792" s="20"/>
      <c r="B792" s="20"/>
      <c r="C792" s="20"/>
      <c r="D792" s="20"/>
      <c r="E792" s="20"/>
      <c r="F792" s="21"/>
      <c r="G792" s="45"/>
      <c r="H792" s="20"/>
      <c r="I792" s="20"/>
      <c r="J792" s="20"/>
      <c r="K792" s="20"/>
      <c r="L792" s="21"/>
      <c r="M792" s="33" t="str">
        <f>IFERROR(__xludf.DUMMYFUNCTION("IFS(W792=""Achat"",IFERROR(VALUE(X792),VALUE(REGEXREPLACE(T(X792),""[^0-9]"",""""))),W792=""Vente"",-IFERROR(VALUE(X792),VALUE(REGEXREPLACE(T(X792),""[^0-9]"",""""))),Y792=""Change"",0,Y792&lt;&gt;""Change"","""")"),"")</f>
        <v/>
      </c>
      <c r="N792" s="34" t="str">
        <f>IFERROR(__xludf.DUMMYFUNCTION("IF(Account!$F792&lt;&gt;"""", VALUE(REGEXREPLACE($I792, ""\,"", ""."")), """")"),"")</f>
        <v/>
      </c>
      <c r="O792" s="35" t="str">
        <f>IF(Account!$F792&lt;&gt;"", DATEVALUE(MID($A792,4,3) &amp; LEFT($A792,3) &amp; RIGHT($A792,4)) + TIMEVALUE($B792), "")</f>
        <v/>
      </c>
      <c r="P792" s="36" t="str">
        <f>IF(Account!$F792&lt;&gt;"", DATEVALUE(MID($C792,4,3) &amp; LEFT($C792,3) &amp; RIGHT($C792,4)), "")</f>
        <v/>
      </c>
      <c r="Q792" s="37" t="str">
        <f t="array" ref="Q792">IF($R792&lt;&gt;"",IFERROR(INDEX(ISIN!$B:$B,MATCH($R792,ISIN!$C:$C,0))),)</f>
        <v/>
      </c>
      <c r="R792" s="38" t="str">
        <f t="array" ref="R792">IF($E792&lt;&gt;"",IFERROR(INDEX(ISIN!$C:$C,MATCH($E792,ISIN!$A:$A,0)),IFERROR(INDEX($R793:$R1200,MATCH($K792,$K793:$K1200,0)))),IF(AND($Y792="change",$H792="EUR"),IF($O792=$O793,$R793,IF($O792=$O791,$R791)),IFERROR(INDEX($R793:$R1200,MATCH(SUBSTITUTE($I792,"-","",1),$K793:$K1200,0)))))</f>
        <v/>
      </c>
      <c r="S792" s="37" t="str">
        <f t="shared" si="1"/>
        <v/>
      </c>
      <c r="T792" s="39" t="str">
        <f t="shared" si="2"/>
        <v/>
      </c>
      <c r="U792" s="40" t="str">
        <f t="shared" si="3"/>
        <v/>
      </c>
      <c r="V792" s="34" t="str">
        <f t="shared" si="4"/>
        <v/>
      </c>
      <c r="W792" s="41" t="str">
        <f>IFERROR(__xludf.DUMMYFUNCTION(" IF(Account!$F792&lt;&gt;"""", SPLIT(Account!$F792, "" ""), """")"),"")</f>
        <v/>
      </c>
      <c r="X792" s="42"/>
      <c r="Y792" s="42"/>
      <c r="Z792" s="42"/>
      <c r="AA792" s="42"/>
      <c r="AB792" s="42"/>
      <c r="AC792" s="42"/>
      <c r="AD792" s="42"/>
      <c r="AE792" s="42"/>
      <c r="AF792" s="42"/>
      <c r="AG792" s="42"/>
      <c r="AH792" s="42"/>
      <c r="AI792" s="42"/>
      <c r="AJ792" s="42"/>
      <c r="AK792" s="42"/>
    </row>
    <row r="793">
      <c r="A793" s="20"/>
      <c r="B793" s="20"/>
      <c r="C793" s="20"/>
      <c r="D793" s="20"/>
      <c r="E793" s="20"/>
      <c r="F793" s="21"/>
      <c r="G793" s="45"/>
      <c r="H793" s="20"/>
      <c r="I793" s="20"/>
      <c r="J793" s="20"/>
      <c r="K793" s="20"/>
      <c r="L793" s="21"/>
      <c r="M793" s="33" t="str">
        <f>IFERROR(__xludf.DUMMYFUNCTION("IFS(W793=""Achat"",IFERROR(VALUE(X793),VALUE(REGEXREPLACE(T(X793),""[^0-9]"",""""))),W793=""Vente"",-IFERROR(VALUE(X793),VALUE(REGEXREPLACE(T(X793),""[^0-9]"",""""))),Y793=""Change"",0,Y793&lt;&gt;""Change"","""")"),"")</f>
        <v/>
      </c>
      <c r="N793" s="34" t="str">
        <f>IFERROR(__xludf.DUMMYFUNCTION("IF(Account!$F793&lt;&gt;"""", VALUE(REGEXREPLACE($I793, ""\,"", ""."")), """")"),"")</f>
        <v/>
      </c>
      <c r="O793" s="35" t="str">
        <f>IF(Account!$F793&lt;&gt;"", DATEVALUE(MID($A793,4,3) &amp; LEFT($A793,3) &amp; RIGHT($A793,4)) + TIMEVALUE($B793), "")</f>
        <v/>
      </c>
      <c r="P793" s="36" t="str">
        <f>IF(Account!$F793&lt;&gt;"", DATEVALUE(MID($C793,4,3) &amp; LEFT($C793,3) &amp; RIGHT($C793,4)), "")</f>
        <v/>
      </c>
      <c r="Q793" s="37" t="str">
        <f t="array" ref="Q793">IF($R793&lt;&gt;"",IFERROR(INDEX(ISIN!$B:$B,MATCH($R793,ISIN!$C:$C,0))),)</f>
        <v/>
      </c>
      <c r="R793" s="38" t="str">
        <f t="array" ref="R793">IF($E793&lt;&gt;"",IFERROR(INDEX(ISIN!$C:$C,MATCH($E793,ISIN!$A:$A,0)),IFERROR(INDEX($R794:$R1200,MATCH($K793,$K794:$K1200,0)))),IF(AND($Y793="change",$H793="EUR"),IF($O793=$O794,$R794,IF($O793=$O792,$R792)),IFERROR(INDEX($R794:$R1200,MATCH(SUBSTITUTE($I793,"-","",1),$K794:$K1200,0)))))</f>
        <v/>
      </c>
      <c r="S793" s="37" t="str">
        <f t="shared" si="1"/>
        <v/>
      </c>
      <c r="T793" s="39" t="str">
        <f t="shared" si="2"/>
        <v/>
      </c>
      <c r="U793" s="40" t="str">
        <f t="shared" si="3"/>
        <v/>
      </c>
      <c r="V793" s="34" t="str">
        <f t="shared" si="4"/>
        <v/>
      </c>
      <c r="W793" s="41" t="str">
        <f>IFERROR(__xludf.DUMMYFUNCTION(" IF(Account!$F793&lt;&gt;"""", SPLIT(Account!$F793, "" ""), """")"),"")</f>
        <v/>
      </c>
      <c r="X793" s="42"/>
      <c r="Y793" s="42"/>
      <c r="Z793" s="42"/>
      <c r="AA793" s="42"/>
      <c r="AB793" s="42"/>
      <c r="AC793" s="42"/>
      <c r="AD793" s="42"/>
      <c r="AE793" s="42"/>
      <c r="AF793" s="42"/>
      <c r="AG793" s="42"/>
      <c r="AH793" s="42"/>
      <c r="AI793" s="42"/>
      <c r="AJ793" s="42"/>
      <c r="AK793" s="42"/>
    </row>
    <row r="794">
      <c r="A794" s="20"/>
      <c r="B794" s="20"/>
      <c r="C794" s="20"/>
      <c r="D794" s="20"/>
      <c r="E794" s="20"/>
      <c r="F794" s="21"/>
      <c r="G794" s="45"/>
      <c r="H794" s="20"/>
      <c r="I794" s="20"/>
      <c r="J794" s="20"/>
      <c r="K794" s="20"/>
      <c r="L794" s="21"/>
      <c r="M794" s="33" t="str">
        <f>IFERROR(__xludf.DUMMYFUNCTION("IFS(W794=""Achat"",IFERROR(VALUE(X794),VALUE(REGEXREPLACE(T(X794),""[^0-9]"",""""))),W794=""Vente"",-IFERROR(VALUE(X794),VALUE(REGEXREPLACE(T(X794),""[^0-9]"",""""))),Y794=""Change"",0,Y794&lt;&gt;""Change"","""")"),"")</f>
        <v/>
      </c>
      <c r="N794" s="34" t="str">
        <f>IFERROR(__xludf.DUMMYFUNCTION("IF(Account!$F794&lt;&gt;"""", VALUE(REGEXREPLACE($I794, ""\,"", ""."")), """")"),"")</f>
        <v/>
      </c>
      <c r="O794" s="35" t="str">
        <f>IF(Account!$F794&lt;&gt;"", DATEVALUE(MID($A794,4,3) &amp; LEFT($A794,3) &amp; RIGHT($A794,4)) + TIMEVALUE($B794), "")</f>
        <v/>
      </c>
      <c r="P794" s="36" t="str">
        <f>IF(Account!$F794&lt;&gt;"", DATEVALUE(MID($C794,4,3) &amp; LEFT($C794,3) &amp; RIGHT($C794,4)), "")</f>
        <v/>
      </c>
      <c r="Q794" s="37" t="str">
        <f t="array" ref="Q794">IF($R794&lt;&gt;"",IFERROR(INDEX(ISIN!$B:$B,MATCH($R794,ISIN!$C:$C,0))),)</f>
        <v/>
      </c>
      <c r="R794" s="38" t="str">
        <f t="array" ref="R794">IF($E794&lt;&gt;"",IFERROR(INDEX(ISIN!$C:$C,MATCH($E794,ISIN!$A:$A,0)),IFERROR(INDEX($R795:$R1200,MATCH($K794,$K795:$K1200,0)))),IF(AND($Y794="change",$H794="EUR"),IF($O794=$O795,$R795,IF($O794=$O793,$R793)),IFERROR(INDEX($R795:$R1200,MATCH(SUBSTITUTE($I794,"-","",1),$K795:$K1200,0)))))</f>
        <v/>
      </c>
      <c r="S794" s="37" t="str">
        <f t="shared" si="1"/>
        <v/>
      </c>
      <c r="T794" s="39" t="str">
        <f t="shared" si="2"/>
        <v/>
      </c>
      <c r="U794" s="40" t="str">
        <f t="shared" si="3"/>
        <v/>
      </c>
      <c r="V794" s="34" t="str">
        <f t="shared" si="4"/>
        <v/>
      </c>
      <c r="W794" s="41" t="str">
        <f>IFERROR(__xludf.DUMMYFUNCTION(" IF(Account!$F794&lt;&gt;"""", SPLIT(Account!$F794, "" ""), """")"),"")</f>
        <v/>
      </c>
      <c r="X794" s="42"/>
      <c r="Y794" s="42"/>
      <c r="Z794" s="42"/>
      <c r="AA794" s="42"/>
      <c r="AB794" s="42"/>
      <c r="AC794" s="42"/>
      <c r="AD794" s="42"/>
      <c r="AE794" s="42"/>
      <c r="AF794" s="42"/>
      <c r="AG794" s="42"/>
      <c r="AH794" s="42"/>
      <c r="AI794" s="42"/>
      <c r="AJ794" s="42"/>
      <c r="AK794" s="42"/>
    </row>
    <row r="795">
      <c r="A795" s="20"/>
      <c r="B795" s="20"/>
      <c r="C795" s="20"/>
      <c r="D795" s="20"/>
      <c r="E795" s="20"/>
      <c r="F795" s="21"/>
      <c r="G795" s="45"/>
      <c r="H795" s="20"/>
      <c r="I795" s="20"/>
      <c r="J795" s="20"/>
      <c r="K795" s="20"/>
      <c r="L795" s="21"/>
      <c r="M795" s="33" t="str">
        <f>IFERROR(__xludf.DUMMYFUNCTION("IFS(W795=""Achat"",IFERROR(VALUE(X795),VALUE(REGEXREPLACE(T(X795),""[^0-9]"",""""))),W795=""Vente"",-IFERROR(VALUE(X795),VALUE(REGEXREPLACE(T(X795),""[^0-9]"",""""))),Y795=""Change"",0,Y795&lt;&gt;""Change"","""")"),"")</f>
        <v/>
      </c>
      <c r="N795" s="34" t="str">
        <f>IFERROR(__xludf.DUMMYFUNCTION("IF(Account!$F795&lt;&gt;"""", VALUE(REGEXREPLACE($I795, ""\,"", ""."")), """")"),"")</f>
        <v/>
      </c>
      <c r="O795" s="35" t="str">
        <f>IF(Account!$F795&lt;&gt;"", DATEVALUE(MID($A795,4,3) &amp; LEFT($A795,3) &amp; RIGHT($A795,4)) + TIMEVALUE($B795), "")</f>
        <v/>
      </c>
      <c r="P795" s="36" t="str">
        <f>IF(Account!$F795&lt;&gt;"", DATEVALUE(MID($C795,4,3) &amp; LEFT($C795,3) &amp; RIGHT($C795,4)), "")</f>
        <v/>
      </c>
      <c r="Q795" s="37" t="str">
        <f t="array" ref="Q795">IF($R795&lt;&gt;"",IFERROR(INDEX(ISIN!$B:$B,MATCH($R795,ISIN!$C:$C,0))),)</f>
        <v/>
      </c>
      <c r="R795" s="38" t="str">
        <f t="array" ref="R795">IF($E795&lt;&gt;"",IFERROR(INDEX(ISIN!$C:$C,MATCH($E795,ISIN!$A:$A,0)),IFERROR(INDEX($R796:$R1200,MATCH($K795,$K796:$K1200,0)))),IF(AND($Y795="change",$H795="EUR"),IF($O795=$O796,$R796,IF($O795=$O794,$R794)),IFERROR(INDEX($R796:$R1200,MATCH(SUBSTITUTE($I795,"-","",1),$K796:$K1200,0)))))</f>
        <v/>
      </c>
      <c r="S795" s="37" t="str">
        <f t="shared" si="1"/>
        <v/>
      </c>
      <c r="T795" s="39" t="str">
        <f t="shared" si="2"/>
        <v/>
      </c>
      <c r="U795" s="40" t="str">
        <f t="shared" si="3"/>
        <v/>
      </c>
      <c r="V795" s="34" t="str">
        <f t="shared" si="4"/>
        <v/>
      </c>
      <c r="W795" s="41" t="str">
        <f>IFERROR(__xludf.DUMMYFUNCTION(" IF(Account!$F795&lt;&gt;"""", SPLIT(Account!$F795, "" ""), """")"),"")</f>
        <v/>
      </c>
      <c r="X795" s="42"/>
      <c r="Y795" s="42"/>
      <c r="Z795" s="42"/>
      <c r="AA795" s="42"/>
      <c r="AB795" s="42"/>
      <c r="AC795" s="42"/>
      <c r="AD795" s="42"/>
      <c r="AE795" s="42"/>
      <c r="AF795" s="42"/>
      <c r="AG795" s="42"/>
      <c r="AH795" s="42"/>
      <c r="AI795" s="42"/>
      <c r="AJ795" s="42"/>
      <c r="AK795" s="42"/>
    </row>
    <row r="796">
      <c r="A796" s="20"/>
      <c r="B796" s="20"/>
      <c r="C796" s="20"/>
      <c r="D796" s="20"/>
      <c r="E796" s="20"/>
      <c r="F796" s="21"/>
      <c r="G796" s="20"/>
      <c r="H796" s="20"/>
      <c r="I796" s="20"/>
      <c r="J796" s="20"/>
      <c r="K796" s="20"/>
      <c r="L796" s="21"/>
      <c r="M796" s="33" t="str">
        <f>IFERROR(__xludf.DUMMYFUNCTION("IFS(W796=""Achat"",IFERROR(VALUE(X796),VALUE(REGEXREPLACE(T(X796),""[^0-9]"",""""))),W796=""Vente"",-IFERROR(VALUE(X796),VALUE(REGEXREPLACE(T(X796),""[^0-9]"",""""))),Y796=""Change"",0,Y796&lt;&gt;""Change"","""")"),"")</f>
        <v/>
      </c>
      <c r="N796" s="34" t="str">
        <f>IFERROR(__xludf.DUMMYFUNCTION("IF(Account!$F796&lt;&gt;"""", VALUE(REGEXREPLACE($I796, ""\,"", ""."")), """")"),"")</f>
        <v/>
      </c>
      <c r="O796" s="35" t="str">
        <f>IF(Account!$F796&lt;&gt;"", DATEVALUE(MID($A796,4,3) &amp; LEFT($A796,3) &amp; RIGHT($A796,4)) + TIMEVALUE($B796), "")</f>
        <v/>
      </c>
      <c r="P796" s="36" t="str">
        <f>IF(Account!$F796&lt;&gt;"", DATEVALUE(MID($C796,4,3) &amp; LEFT($C796,3) &amp; RIGHT($C796,4)), "")</f>
        <v/>
      </c>
      <c r="Q796" s="37" t="str">
        <f t="array" ref="Q796">IF($R796&lt;&gt;"",IFERROR(INDEX(ISIN!$B:$B,MATCH($R796,ISIN!$C:$C,0))),)</f>
        <v/>
      </c>
      <c r="R796" s="38" t="str">
        <f t="array" ref="R796">IF($E796&lt;&gt;"",IFERROR(INDEX(ISIN!$C:$C,MATCH($E796,ISIN!$A:$A,0)),IFERROR(INDEX($R797:$R1200,MATCH($K796,$K797:$K1200,0)))),IF(AND($Y796="change",$H796="EUR"),IF($O796=$O797,$R797,IF($O796=$O795,$R795)),IFERROR(INDEX($R797:$R1200,MATCH(SUBSTITUTE($I796,"-","",1),$K797:$K1200,0)))))</f>
        <v/>
      </c>
      <c r="S796" s="37" t="str">
        <f t="shared" si="1"/>
        <v/>
      </c>
      <c r="T796" s="39" t="str">
        <f t="shared" si="2"/>
        <v/>
      </c>
      <c r="U796" s="40" t="str">
        <f t="shared" si="3"/>
        <v/>
      </c>
      <c r="V796" s="34" t="str">
        <f t="shared" si="4"/>
        <v/>
      </c>
      <c r="W796" s="41" t="str">
        <f>IFERROR(__xludf.DUMMYFUNCTION(" IF(Account!$F796&lt;&gt;"""", SPLIT(Account!$F796, "" ""), """")"),"")</f>
        <v/>
      </c>
      <c r="X796" s="42"/>
      <c r="Y796" s="42"/>
      <c r="Z796" s="42"/>
      <c r="AA796" s="42"/>
      <c r="AB796" s="42"/>
      <c r="AC796" s="42"/>
      <c r="AD796" s="42"/>
      <c r="AE796" s="42"/>
      <c r="AF796" s="42"/>
      <c r="AG796" s="42"/>
      <c r="AH796" s="42"/>
      <c r="AI796" s="42"/>
      <c r="AJ796" s="42"/>
      <c r="AK796" s="42"/>
    </row>
    <row r="797">
      <c r="A797" s="20"/>
      <c r="B797" s="20"/>
      <c r="C797" s="20"/>
      <c r="D797" s="20"/>
      <c r="E797" s="20"/>
      <c r="F797" s="21"/>
      <c r="G797" s="45"/>
      <c r="H797" s="20"/>
      <c r="I797" s="20"/>
      <c r="J797" s="20"/>
      <c r="K797" s="20"/>
      <c r="L797" s="21"/>
      <c r="M797" s="33" t="str">
        <f>IFERROR(__xludf.DUMMYFUNCTION("IFS(W797=""Achat"",IFERROR(VALUE(X797),VALUE(REGEXREPLACE(T(X797),""[^0-9]"",""""))),W797=""Vente"",-IFERROR(VALUE(X797),VALUE(REGEXREPLACE(T(X797),""[^0-9]"",""""))),Y797=""Change"",0,Y797&lt;&gt;""Change"","""")"),"")</f>
        <v/>
      </c>
      <c r="N797" s="34" t="str">
        <f>IFERROR(__xludf.DUMMYFUNCTION("IF(Account!$F797&lt;&gt;"""", VALUE(REGEXREPLACE($I797, ""\,"", ""."")), """")"),"")</f>
        <v/>
      </c>
      <c r="O797" s="35" t="str">
        <f>IF(Account!$F797&lt;&gt;"", DATEVALUE(MID($A797,4,3) &amp; LEFT($A797,3) &amp; RIGHT($A797,4)) + TIMEVALUE($B797), "")</f>
        <v/>
      </c>
      <c r="P797" s="36" t="str">
        <f>IF(Account!$F797&lt;&gt;"", DATEVALUE(MID($C797,4,3) &amp; LEFT($C797,3) &amp; RIGHT($C797,4)), "")</f>
        <v/>
      </c>
      <c r="Q797" s="37" t="str">
        <f t="array" ref="Q797">IF($R797&lt;&gt;"",IFERROR(INDEX(ISIN!$B:$B,MATCH($R797,ISIN!$C:$C,0))),)</f>
        <v/>
      </c>
      <c r="R797" s="38" t="str">
        <f t="array" ref="R797">IF($E797&lt;&gt;"",IFERROR(INDEX(ISIN!$C:$C,MATCH($E797,ISIN!$A:$A,0)),IFERROR(INDEX($R798:$R1200,MATCH($K797,$K798:$K1200,0)))),IF(AND($Y797="change",$H797="EUR"),IF($O797=$O798,$R798,IF($O797=$O796,$R796)),IFERROR(INDEX($R798:$R1200,MATCH(SUBSTITUTE($I797,"-","",1),$K798:$K1200,0)))))</f>
        <v/>
      </c>
      <c r="S797" s="37" t="str">
        <f t="shared" si="1"/>
        <v/>
      </c>
      <c r="T797" s="39" t="str">
        <f t="shared" si="2"/>
        <v/>
      </c>
      <c r="U797" s="40" t="str">
        <f t="shared" si="3"/>
        <v/>
      </c>
      <c r="V797" s="34" t="str">
        <f t="shared" si="4"/>
        <v/>
      </c>
      <c r="W797" s="41" t="str">
        <f>IFERROR(__xludf.DUMMYFUNCTION(" IF(Account!$F797&lt;&gt;"""", SPLIT(Account!$F797, "" ""), """")"),"")</f>
        <v/>
      </c>
      <c r="X797" s="42"/>
      <c r="Y797" s="42"/>
      <c r="Z797" s="42"/>
      <c r="AA797" s="42"/>
      <c r="AB797" s="42"/>
      <c r="AC797" s="42"/>
      <c r="AD797" s="42"/>
      <c r="AE797" s="42"/>
      <c r="AF797" s="42"/>
      <c r="AG797" s="42"/>
      <c r="AH797" s="42"/>
      <c r="AI797" s="42"/>
      <c r="AJ797" s="42"/>
      <c r="AK797" s="42"/>
    </row>
    <row r="798">
      <c r="A798" s="20"/>
      <c r="B798" s="20"/>
      <c r="C798" s="20"/>
      <c r="D798" s="20"/>
      <c r="E798" s="20"/>
      <c r="F798" s="21"/>
      <c r="G798" s="20"/>
      <c r="H798" s="20"/>
      <c r="I798" s="20"/>
      <c r="J798" s="20"/>
      <c r="K798" s="20"/>
      <c r="L798" s="21"/>
      <c r="M798" s="33" t="str">
        <f>IFERROR(__xludf.DUMMYFUNCTION("IFS(W798=""Achat"",IFERROR(VALUE(X798),VALUE(REGEXREPLACE(T(X798),""[^0-9]"",""""))),W798=""Vente"",-IFERROR(VALUE(X798),VALUE(REGEXREPLACE(T(X798),""[^0-9]"",""""))),Y798=""Change"",0,Y798&lt;&gt;""Change"","""")"),"")</f>
        <v/>
      </c>
      <c r="N798" s="34" t="str">
        <f>IFERROR(__xludf.DUMMYFUNCTION("IF(Account!$F798&lt;&gt;"""", VALUE(REGEXREPLACE($I798, ""\,"", ""."")), """")"),"")</f>
        <v/>
      </c>
      <c r="O798" s="35" t="str">
        <f>IF(Account!$F798&lt;&gt;"", DATEVALUE(MID($A798,4,3) &amp; LEFT($A798,3) &amp; RIGHT($A798,4)) + TIMEVALUE($B798), "")</f>
        <v/>
      </c>
      <c r="P798" s="36" t="str">
        <f>IF(Account!$F798&lt;&gt;"", DATEVALUE(MID($C798,4,3) &amp; LEFT($C798,3) &amp; RIGHT($C798,4)), "")</f>
        <v/>
      </c>
      <c r="Q798" s="37" t="str">
        <f t="array" ref="Q798">IF($R798&lt;&gt;"",IFERROR(INDEX(ISIN!$B:$B,MATCH($R798,ISIN!$C:$C,0))),)</f>
        <v/>
      </c>
      <c r="R798" s="38" t="str">
        <f t="array" ref="R798">IF($E798&lt;&gt;"",IFERROR(INDEX(ISIN!$C:$C,MATCH($E798,ISIN!$A:$A,0)),IFERROR(INDEX($R799:$R1200,MATCH($K798,$K799:$K1200,0)))),IF(AND($Y798="change",$H798="EUR"),IF($O798=$O799,$R799,IF($O798=$O797,$R797)),IFERROR(INDEX($R799:$R1200,MATCH(SUBSTITUTE($I798,"-","",1),$K799:$K1200,0)))))</f>
        <v/>
      </c>
      <c r="S798" s="37" t="str">
        <f t="shared" si="1"/>
        <v/>
      </c>
      <c r="T798" s="39" t="str">
        <f t="shared" si="2"/>
        <v/>
      </c>
      <c r="U798" s="40" t="str">
        <f t="shared" si="3"/>
        <v/>
      </c>
      <c r="V798" s="34" t="str">
        <f t="shared" si="4"/>
        <v/>
      </c>
      <c r="W798" s="41" t="str">
        <f>IFERROR(__xludf.DUMMYFUNCTION(" IF(Account!$F798&lt;&gt;"""", SPLIT(Account!$F798, "" ""), """")"),"")</f>
        <v/>
      </c>
      <c r="X798" s="42"/>
      <c r="Y798" s="42"/>
      <c r="Z798" s="42"/>
      <c r="AA798" s="42"/>
      <c r="AB798" s="42"/>
      <c r="AC798" s="42"/>
      <c r="AD798" s="42"/>
      <c r="AE798" s="42"/>
      <c r="AF798" s="42"/>
      <c r="AG798" s="42"/>
      <c r="AH798" s="42"/>
      <c r="AI798" s="42"/>
      <c r="AJ798" s="42"/>
      <c r="AK798" s="42"/>
    </row>
    <row r="799">
      <c r="A799" s="20"/>
      <c r="B799" s="20"/>
      <c r="C799" s="20"/>
      <c r="D799" s="20"/>
      <c r="E799" s="20"/>
      <c r="F799" s="21"/>
      <c r="G799" s="45"/>
      <c r="H799" s="20"/>
      <c r="I799" s="20"/>
      <c r="J799" s="20"/>
      <c r="K799" s="20"/>
      <c r="L799" s="21"/>
      <c r="M799" s="33" t="str">
        <f>IFERROR(__xludf.DUMMYFUNCTION("IFS(W799=""Achat"",IFERROR(VALUE(X799),VALUE(REGEXREPLACE(T(X799),""[^0-9]"",""""))),W799=""Vente"",-IFERROR(VALUE(X799),VALUE(REGEXREPLACE(T(X799),""[^0-9]"",""""))),Y799=""Change"",0,Y799&lt;&gt;""Change"","""")"),"")</f>
        <v/>
      </c>
      <c r="N799" s="34" t="str">
        <f>IFERROR(__xludf.DUMMYFUNCTION("IF(Account!$F799&lt;&gt;"""", VALUE(REGEXREPLACE($I799, ""\,"", ""."")), """")"),"")</f>
        <v/>
      </c>
      <c r="O799" s="35" t="str">
        <f>IF(Account!$F799&lt;&gt;"", DATEVALUE(MID($A799,4,3) &amp; LEFT($A799,3) &amp; RIGHT($A799,4)) + TIMEVALUE($B799), "")</f>
        <v/>
      </c>
      <c r="P799" s="36" t="str">
        <f>IF(Account!$F799&lt;&gt;"", DATEVALUE(MID($C799,4,3) &amp; LEFT($C799,3) &amp; RIGHT($C799,4)), "")</f>
        <v/>
      </c>
      <c r="Q799" s="37" t="str">
        <f t="array" ref="Q799">IF($R799&lt;&gt;"",IFERROR(INDEX(ISIN!$B:$B,MATCH($R799,ISIN!$C:$C,0))),)</f>
        <v/>
      </c>
      <c r="R799" s="38" t="str">
        <f t="array" ref="R799">IF($E799&lt;&gt;"",IFERROR(INDEX(ISIN!$C:$C,MATCH($E799,ISIN!$A:$A,0)),IFERROR(INDEX($R800:$R1200,MATCH($K799,$K800:$K1200,0)))),IF(AND($Y799="change",$H799="EUR"),IF($O799=$O800,$R800,IF($O799=$O798,$R798)),IFERROR(INDEX($R800:$R1200,MATCH(SUBSTITUTE($I799,"-","",1),$K800:$K1200,0)))))</f>
        <v/>
      </c>
      <c r="S799" s="37" t="str">
        <f t="shared" si="1"/>
        <v/>
      </c>
      <c r="T799" s="39" t="str">
        <f t="shared" si="2"/>
        <v/>
      </c>
      <c r="U799" s="40" t="str">
        <f t="shared" si="3"/>
        <v/>
      </c>
      <c r="V799" s="34" t="str">
        <f t="shared" si="4"/>
        <v/>
      </c>
      <c r="W799" s="41" t="str">
        <f>IFERROR(__xludf.DUMMYFUNCTION(" IF(Account!$F799&lt;&gt;"""", SPLIT(Account!$F799, "" ""), """")"),"")</f>
        <v/>
      </c>
      <c r="X799" s="42"/>
      <c r="Y799" s="42"/>
      <c r="Z799" s="42"/>
      <c r="AA799" s="42"/>
      <c r="AB799" s="42"/>
      <c r="AC799" s="42"/>
      <c r="AD799" s="42"/>
      <c r="AE799" s="42"/>
      <c r="AF799" s="42"/>
      <c r="AG799" s="42"/>
      <c r="AH799" s="42"/>
      <c r="AI799" s="42"/>
      <c r="AJ799" s="42"/>
      <c r="AK799" s="42"/>
    </row>
    <row r="800">
      <c r="A800" s="20"/>
      <c r="B800" s="20"/>
      <c r="C800" s="20"/>
      <c r="D800" s="20"/>
      <c r="E800" s="20"/>
      <c r="F800" s="21"/>
      <c r="G800" s="45"/>
      <c r="H800" s="20"/>
      <c r="I800" s="20"/>
      <c r="J800" s="20"/>
      <c r="K800" s="20"/>
      <c r="L800" s="21"/>
      <c r="M800" s="33" t="str">
        <f>IFERROR(__xludf.DUMMYFUNCTION("IFS(W800=""Achat"",IFERROR(VALUE(X800),VALUE(REGEXREPLACE(T(X800),""[^0-9]"",""""))),W800=""Vente"",-IFERROR(VALUE(X800),VALUE(REGEXREPLACE(T(X800),""[^0-9]"",""""))),Y800=""Change"",0,Y800&lt;&gt;""Change"","""")"),"")</f>
        <v/>
      </c>
      <c r="N800" s="34" t="str">
        <f>IFERROR(__xludf.DUMMYFUNCTION("IF(Account!$F800&lt;&gt;"""", VALUE(REGEXREPLACE($I800, ""\,"", ""."")), """")"),"")</f>
        <v/>
      </c>
      <c r="O800" s="35" t="str">
        <f>IF(Account!$F800&lt;&gt;"", DATEVALUE(MID($A800,4,3) &amp; LEFT($A800,3) &amp; RIGHT($A800,4)) + TIMEVALUE($B800), "")</f>
        <v/>
      </c>
      <c r="P800" s="36" t="str">
        <f>IF(Account!$F800&lt;&gt;"", DATEVALUE(MID($C800,4,3) &amp; LEFT($C800,3) &amp; RIGHT($C800,4)), "")</f>
        <v/>
      </c>
      <c r="Q800" s="37" t="str">
        <f t="array" ref="Q800">IF($R800&lt;&gt;"",IFERROR(INDEX(ISIN!$B:$B,MATCH($R800,ISIN!$C:$C,0))),)</f>
        <v/>
      </c>
      <c r="R800" s="38" t="str">
        <f t="array" ref="R800">IF($E800&lt;&gt;"",IFERROR(INDEX(ISIN!$C:$C,MATCH($E800,ISIN!$A:$A,0)),IFERROR(INDEX($R801:$R1200,MATCH($K800,$K801:$K1200,0)))),IF(AND($Y800="change",$H800="EUR"),IF($O800=$O801,$R801,IF($O800=$O799,$R799)),IFERROR(INDEX($R801:$R1200,MATCH(SUBSTITUTE($I800,"-","",1),$K801:$K1200,0)))))</f>
        <v/>
      </c>
      <c r="S800" s="37" t="str">
        <f t="shared" si="1"/>
        <v/>
      </c>
      <c r="T800" s="39" t="str">
        <f t="shared" si="2"/>
        <v/>
      </c>
      <c r="U800" s="40" t="str">
        <f t="shared" si="3"/>
        <v/>
      </c>
      <c r="V800" s="34" t="str">
        <f t="shared" si="4"/>
        <v/>
      </c>
      <c r="W800" s="41" t="str">
        <f>IFERROR(__xludf.DUMMYFUNCTION(" IF(Account!$F800&lt;&gt;"""", SPLIT(Account!$F800, "" ""), """")"),"")</f>
        <v/>
      </c>
      <c r="X800" s="42"/>
      <c r="Y800" s="42"/>
      <c r="Z800" s="42"/>
      <c r="AA800" s="42"/>
      <c r="AB800" s="42"/>
      <c r="AC800" s="42"/>
      <c r="AD800" s="42"/>
      <c r="AE800" s="42"/>
      <c r="AF800" s="42"/>
      <c r="AG800" s="42"/>
      <c r="AH800" s="42"/>
      <c r="AI800" s="42"/>
      <c r="AJ800" s="42"/>
      <c r="AK800" s="42"/>
    </row>
    <row r="801">
      <c r="A801" s="20"/>
      <c r="B801" s="20"/>
      <c r="C801" s="20"/>
      <c r="D801" s="20"/>
      <c r="E801" s="20"/>
      <c r="F801" s="21"/>
      <c r="G801" s="45"/>
      <c r="H801" s="20"/>
      <c r="I801" s="20"/>
      <c r="J801" s="20"/>
      <c r="K801" s="20"/>
      <c r="L801" s="21"/>
      <c r="M801" s="33" t="str">
        <f>IFERROR(__xludf.DUMMYFUNCTION("IFS(W801=""Achat"",IFERROR(VALUE(X801),VALUE(REGEXREPLACE(T(X801),""[^0-9]"",""""))),W801=""Vente"",-IFERROR(VALUE(X801),VALUE(REGEXREPLACE(T(X801),""[^0-9]"",""""))),Y801=""Change"",0,Y801&lt;&gt;""Change"","""")"),"")</f>
        <v/>
      </c>
      <c r="N801" s="34" t="str">
        <f>IFERROR(__xludf.DUMMYFUNCTION("IF(Account!$F801&lt;&gt;"""", VALUE(REGEXREPLACE($I801, ""\,"", ""."")), """")"),"")</f>
        <v/>
      </c>
      <c r="O801" s="35" t="str">
        <f>IF(Account!$F801&lt;&gt;"", DATEVALUE(MID($A801,4,3) &amp; LEFT($A801,3) &amp; RIGHT($A801,4)) + TIMEVALUE($B801), "")</f>
        <v/>
      </c>
      <c r="P801" s="36" t="str">
        <f>IF(Account!$F801&lt;&gt;"", DATEVALUE(MID($C801,4,3) &amp; LEFT($C801,3) &amp; RIGHT($C801,4)), "")</f>
        <v/>
      </c>
      <c r="Q801" s="37" t="str">
        <f t="array" ref="Q801">IF($R801&lt;&gt;"",IFERROR(INDEX(ISIN!$B:$B,MATCH($R801,ISIN!$C:$C,0))),)</f>
        <v/>
      </c>
      <c r="R801" s="38" t="str">
        <f t="array" ref="R801">IF($E801&lt;&gt;"",IFERROR(INDEX(ISIN!$C:$C,MATCH($E801,ISIN!$A:$A,0)),IFERROR(INDEX($R802:$R1200,MATCH($K801,$K802:$K1200,0)))),IF(AND($Y801="change",$H801="EUR"),IF($O801=$O802,$R802,IF($O801=$O800,$R800)),IFERROR(INDEX($R802:$R1200,MATCH(SUBSTITUTE($I801,"-","",1),$K802:$K1200,0)))))</f>
        <v/>
      </c>
      <c r="S801" s="37" t="str">
        <f t="shared" si="1"/>
        <v/>
      </c>
      <c r="T801" s="39" t="str">
        <f t="shared" si="2"/>
        <v/>
      </c>
      <c r="U801" s="40" t="str">
        <f t="shared" si="3"/>
        <v/>
      </c>
      <c r="V801" s="34" t="str">
        <f t="shared" si="4"/>
        <v/>
      </c>
      <c r="W801" s="41" t="str">
        <f>IFERROR(__xludf.DUMMYFUNCTION(" IF(Account!$F801&lt;&gt;"""", SPLIT(Account!$F801, "" ""), """")"),"")</f>
        <v/>
      </c>
      <c r="X801" s="42"/>
      <c r="Y801" s="42"/>
      <c r="Z801" s="42"/>
      <c r="AA801" s="42"/>
      <c r="AB801" s="42"/>
      <c r="AC801" s="42"/>
      <c r="AD801" s="42"/>
      <c r="AE801" s="42"/>
      <c r="AF801" s="42"/>
      <c r="AG801" s="42"/>
      <c r="AH801" s="42"/>
      <c r="AI801" s="42"/>
      <c r="AJ801" s="42"/>
      <c r="AK801" s="42"/>
    </row>
    <row r="802">
      <c r="A802" s="20"/>
      <c r="B802" s="20"/>
      <c r="C802" s="20"/>
      <c r="D802" s="20"/>
      <c r="E802" s="20"/>
      <c r="F802" s="21"/>
      <c r="G802" s="45"/>
      <c r="H802" s="45"/>
      <c r="I802" s="45"/>
      <c r="J802" s="20"/>
      <c r="K802" s="20"/>
      <c r="L802" s="46"/>
      <c r="M802" s="33" t="str">
        <f>IFERROR(__xludf.DUMMYFUNCTION("IFS(W802=""Achat"",IFERROR(VALUE(X802),VALUE(REGEXREPLACE(T(X802),""[^0-9]"",""""))),W802=""Vente"",-IFERROR(VALUE(X802),VALUE(REGEXREPLACE(T(X802),""[^0-9]"",""""))),Y802=""Change"",0,Y802&lt;&gt;""Change"","""")"),"")</f>
        <v/>
      </c>
      <c r="N802" s="34" t="str">
        <f>IFERROR(__xludf.DUMMYFUNCTION("IF(Account!$F802&lt;&gt;"""", VALUE(REGEXREPLACE($I802, ""\,"", ""."")), """")"),"")</f>
        <v/>
      </c>
      <c r="O802" s="35" t="str">
        <f>IF(Account!$F802&lt;&gt;"", DATEVALUE(MID($A802,4,3) &amp; LEFT($A802,3) &amp; RIGHT($A802,4)) + TIMEVALUE($B802), "")</f>
        <v/>
      </c>
      <c r="P802" s="36" t="str">
        <f>IF(Account!$F802&lt;&gt;"", DATEVALUE(MID($C802,4,3) &amp; LEFT($C802,3) &amp; RIGHT($C802,4)), "")</f>
        <v/>
      </c>
      <c r="Q802" s="37" t="str">
        <f t="array" ref="Q802">IF($R802&lt;&gt;"",IFERROR(INDEX(ISIN!$B:$B,MATCH($R802,ISIN!$C:$C,0))),)</f>
        <v/>
      </c>
      <c r="R802" s="38" t="str">
        <f t="array" ref="R802">IF($E802&lt;&gt;"",IFERROR(INDEX(ISIN!$C:$C,MATCH($E802,ISIN!$A:$A,0)),IFERROR(INDEX($R803:$R1200,MATCH($K802,$K803:$K1200,0)))),IF(AND($Y802="change",$H802="EUR"),IF($O802=$O803,$R803,IF($O802=$O801,$R801)),IFERROR(INDEX($R803:$R1200,MATCH(SUBSTITUTE($I802,"-","",1),$K803:$K1200,0)))))</f>
        <v/>
      </c>
      <c r="S802" s="37" t="str">
        <f t="shared" si="1"/>
        <v/>
      </c>
      <c r="T802" s="39" t="str">
        <f t="shared" si="2"/>
        <v/>
      </c>
      <c r="U802" s="40" t="str">
        <f t="shared" si="3"/>
        <v/>
      </c>
      <c r="V802" s="34" t="str">
        <f t="shared" si="4"/>
        <v/>
      </c>
      <c r="W802" s="41" t="str">
        <f>IFERROR(__xludf.DUMMYFUNCTION(" IF(Account!$F802&lt;&gt;"""", SPLIT(Account!$F802, "" ""), """")"),"")</f>
        <v/>
      </c>
      <c r="X802" s="42"/>
      <c r="Y802" s="42"/>
      <c r="Z802" s="42"/>
      <c r="AA802" s="42"/>
      <c r="AB802" s="42"/>
      <c r="AC802" s="42"/>
      <c r="AD802" s="42"/>
      <c r="AE802" s="42"/>
      <c r="AF802" s="42"/>
      <c r="AG802" s="42"/>
      <c r="AH802" s="42"/>
      <c r="AI802" s="42"/>
      <c r="AJ802" s="42"/>
      <c r="AK802" s="42"/>
    </row>
    <row r="803">
      <c r="A803" s="20"/>
      <c r="B803" s="20"/>
      <c r="C803" s="20"/>
      <c r="D803" s="20"/>
      <c r="E803" s="20"/>
      <c r="F803" s="21"/>
      <c r="G803" s="45"/>
      <c r="H803" s="20"/>
      <c r="I803" s="20"/>
      <c r="J803" s="20"/>
      <c r="K803" s="20"/>
      <c r="L803" s="21"/>
      <c r="M803" s="33" t="str">
        <f>IFERROR(__xludf.DUMMYFUNCTION("IFS(W803=""Achat"",IFERROR(VALUE(X803),VALUE(REGEXREPLACE(T(X803),""[^0-9]"",""""))),W803=""Vente"",-IFERROR(VALUE(X803),VALUE(REGEXREPLACE(T(X803),""[^0-9]"",""""))),Y803=""Change"",0,Y803&lt;&gt;""Change"","""")"),"")</f>
        <v/>
      </c>
      <c r="N803" s="34" t="str">
        <f>IFERROR(__xludf.DUMMYFUNCTION("IF(Account!$F803&lt;&gt;"""", VALUE(REGEXREPLACE($I803, ""\,"", ""."")), """")"),"")</f>
        <v/>
      </c>
      <c r="O803" s="35" t="str">
        <f>IF(Account!$F803&lt;&gt;"", DATEVALUE(MID($A803,4,3) &amp; LEFT($A803,3) &amp; RIGHT($A803,4)) + TIMEVALUE($B803), "")</f>
        <v/>
      </c>
      <c r="P803" s="36" t="str">
        <f>IF(Account!$F803&lt;&gt;"", DATEVALUE(MID($C803,4,3) &amp; LEFT($C803,3) &amp; RIGHT($C803,4)), "")</f>
        <v/>
      </c>
      <c r="Q803" s="37" t="str">
        <f t="array" ref="Q803">IF($R803&lt;&gt;"",IFERROR(INDEX(ISIN!$B:$B,MATCH($R803,ISIN!$C:$C,0))),)</f>
        <v/>
      </c>
      <c r="R803" s="38" t="str">
        <f t="array" ref="R803">IF($E803&lt;&gt;"",IFERROR(INDEX(ISIN!$C:$C,MATCH($E803,ISIN!$A:$A,0)),IFERROR(INDEX($R804:$R1200,MATCH($K803,$K804:$K1200,0)))),IF(AND($Y803="change",$H803="EUR"),IF($O803=$O804,$R804,IF($O803=$O802,$R802)),IFERROR(INDEX($R804:$R1200,MATCH(SUBSTITUTE($I803,"-","",1),$K804:$K1200,0)))))</f>
        <v/>
      </c>
      <c r="S803" s="37" t="str">
        <f t="shared" si="1"/>
        <v/>
      </c>
      <c r="T803" s="39" t="str">
        <f t="shared" si="2"/>
        <v/>
      </c>
      <c r="U803" s="40" t="str">
        <f t="shared" si="3"/>
        <v/>
      </c>
      <c r="V803" s="34" t="str">
        <f t="shared" si="4"/>
        <v/>
      </c>
      <c r="W803" s="41" t="str">
        <f>IFERROR(__xludf.DUMMYFUNCTION(" IF(Account!$F803&lt;&gt;"""", SPLIT(Account!$F803, "" ""), """")"),"")</f>
        <v/>
      </c>
      <c r="X803" s="42"/>
      <c r="Y803" s="42"/>
      <c r="Z803" s="42"/>
      <c r="AA803" s="42"/>
      <c r="AB803" s="42"/>
      <c r="AC803" s="42"/>
      <c r="AD803" s="42"/>
      <c r="AE803" s="42"/>
      <c r="AF803" s="42"/>
      <c r="AG803" s="42"/>
      <c r="AH803" s="42"/>
      <c r="AI803" s="42"/>
      <c r="AJ803" s="42"/>
      <c r="AK803" s="42"/>
    </row>
    <row r="804">
      <c r="A804" s="20"/>
      <c r="B804" s="20"/>
      <c r="C804" s="20"/>
      <c r="D804" s="20"/>
      <c r="E804" s="20"/>
      <c r="F804" s="21"/>
      <c r="G804" s="45"/>
      <c r="H804" s="20"/>
      <c r="I804" s="20"/>
      <c r="J804" s="20"/>
      <c r="K804" s="20"/>
      <c r="L804" s="21"/>
      <c r="M804" s="33" t="str">
        <f>IFERROR(__xludf.DUMMYFUNCTION("IFS(W804=""Achat"",IFERROR(VALUE(X804),VALUE(REGEXREPLACE(T(X804),""[^0-9]"",""""))),W804=""Vente"",-IFERROR(VALUE(X804),VALUE(REGEXREPLACE(T(X804),""[^0-9]"",""""))),Y804=""Change"",0,Y804&lt;&gt;""Change"","""")"),"")</f>
        <v/>
      </c>
      <c r="N804" s="34" t="str">
        <f>IFERROR(__xludf.DUMMYFUNCTION("IF(Account!$F804&lt;&gt;"""", VALUE(REGEXREPLACE($I804, ""\,"", ""."")), """")"),"")</f>
        <v/>
      </c>
      <c r="O804" s="35" t="str">
        <f>IF(Account!$F804&lt;&gt;"", DATEVALUE(MID($A804,4,3) &amp; LEFT($A804,3) &amp; RIGHT($A804,4)) + TIMEVALUE($B804), "")</f>
        <v/>
      </c>
      <c r="P804" s="36" t="str">
        <f>IF(Account!$F804&lt;&gt;"", DATEVALUE(MID($C804,4,3) &amp; LEFT($C804,3) &amp; RIGHT($C804,4)), "")</f>
        <v/>
      </c>
      <c r="Q804" s="37" t="str">
        <f t="array" ref="Q804">IF($R804&lt;&gt;"",IFERROR(INDEX(ISIN!$B:$B,MATCH($R804,ISIN!$C:$C,0))),)</f>
        <v/>
      </c>
      <c r="R804" s="38" t="str">
        <f t="array" ref="R804">IF($E804&lt;&gt;"",IFERROR(INDEX(ISIN!$C:$C,MATCH($E804,ISIN!$A:$A,0)),IFERROR(INDEX($R805:$R1200,MATCH($K804,$K805:$K1200,0)))),IF(AND($Y804="change",$H804="EUR"),IF($O804=$O805,$R805,IF($O804=$O803,$R803)),IFERROR(INDEX($R805:$R1200,MATCH(SUBSTITUTE($I804,"-","",1),$K805:$K1200,0)))))</f>
        <v/>
      </c>
      <c r="S804" s="37" t="str">
        <f t="shared" si="1"/>
        <v/>
      </c>
      <c r="T804" s="39" t="str">
        <f t="shared" si="2"/>
        <v/>
      </c>
      <c r="U804" s="40" t="str">
        <f t="shared" si="3"/>
        <v/>
      </c>
      <c r="V804" s="34" t="str">
        <f t="shared" si="4"/>
        <v/>
      </c>
      <c r="W804" s="41" t="str">
        <f>IFERROR(__xludf.DUMMYFUNCTION(" IF(Account!$F804&lt;&gt;"""", SPLIT(Account!$F804, "" ""), """")"),"")</f>
        <v/>
      </c>
      <c r="X804" s="42"/>
      <c r="Y804" s="42"/>
      <c r="Z804" s="42"/>
      <c r="AA804" s="42"/>
      <c r="AB804" s="42"/>
      <c r="AC804" s="42"/>
      <c r="AD804" s="42"/>
      <c r="AE804" s="42"/>
      <c r="AF804" s="42"/>
      <c r="AG804" s="42"/>
      <c r="AH804" s="42"/>
      <c r="AI804" s="42"/>
      <c r="AJ804" s="42"/>
      <c r="AK804" s="42"/>
    </row>
    <row r="805">
      <c r="A805" s="20"/>
      <c r="B805" s="20"/>
      <c r="C805" s="20"/>
      <c r="D805" s="20"/>
      <c r="E805" s="20"/>
      <c r="F805" s="21"/>
      <c r="G805" s="45"/>
      <c r="H805" s="20"/>
      <c r="I805" s="20"/>
      <c r="J805" s="20"/>
      <c r="K805" s="20"/>
      <c r="L805" s="21"/>
      <c r="M805" s="33" t="str">
        <f>IFERROR(__xludf.DUMMYFUNCTION("IFS(W805=""Achat"",IFERROR(VALUE(X805),VALUE(REGEXREPLACE(T(X805),""[^0-9]"",""""))),W805=""Vente"",-IFERROR(VALUE(X805),VALUE(REGEXREPLACE(T(X805),""[^0-9]"",""""))),Y805=""Change"",0,Y805&lt;&gt;""Change"","""")"),"")</f>
        <v/>
      </c>
      <c r="N805" s="34" t="str">
        <f>IFERROR(__xludf.DUMMYFUNCTION("IF(Account!$F805&lt;&gt;"""", VALUE(REGEXREPLACE($I805, ""\,"", ""."")), """")"),"")</f>
        <v/>
      </c>
      <c r="O805" s="35" t="str">
        <f>IF(Account!$F805&lt;&gt;"", DATEVALUE(MID($A805,4,3) &amp; LEFT($A805,3) &amp; RIGHT($A805,4)) + TIMEVALUE($B805), "")</f>
        <v/>
      </c>
      <c r="P805" s="36" t="str">
        <f>IF(Account!$F805&lt;&gt;"", DATEVALUE(MID($C805,4,3) &amp; LEFT($C805,3) &amp; RIGHT($C805,4)), "")</f>
        <v/>
      </c>
      <c r="Q805" s="37" t="str">
        <f t="array" ref="Q805">IF($R805&lt;&gt;"",IFERROR(INDEX(ISIN!$B:$B,MATCH($R805,ISIN!$C:$C,0))),)</f>
        <v/>
      </c>
      <c r="R805" s="38" t="str">
        <f t="array" ref="R805">IF($E805&lt;&gt;"",IFERROR(INDEX(ISIN!$C:$C,MATCH($E805,ISIN!$A:$A,0)),IFERROR(INDEX($R806:$R1200,MATCH($K805,$K806:$K1200,0)))),IF(AND($Y805="change",$H805="EUR"),IF($O805=$O806,$R806,IF($O805=$O804,$R804)),IFERROR(INDEX($R806:$R1200,MATCH(SUBSTITUTE($I805,"-","",1),$K806:$K1200,0)))))</f>
        <v/>
      </c>
      <c r="S805" s="37" t="str">
        <f t="shared" si="1"/>
        <v/>
      </c>
      <c r="T805" s="39" t="str">
        <f t="shared" si="2"/>
        <v/>
      </c>
      <c r="U805" s="40" t="str">
        <f t="shared" si="3"/>
        <v/>
      </c>
      <c r="V805" s="34" t="str">
        <f t="shared" si="4"/>
        <v/>
      </c>
      <c r="W805" s="41" t="str">
        <f>IFERROR(__xludf.DUMMYFUNCTION(" IF(Account!$F805&lt;&gt;"""", SPLIT(Account!$F805, "" ""), """")"),"")</f>
        <v/>
      </c>
      <c r="X805" s="42"/>
      <c r="Y805" s="42"/>
      <c r="Z805" s="42"/>
      <c r="AA805" s="42"/>
      <c r="AB805" s="42"/>
      <c r="AC805" s="42"/>
      <c r="AD805" s="42"/>
      <c r="AE805" s="42"/>
      <c r="AF805" s="42"/>
      <c r="AG805" s="42"/>
      <c r="AH805" s="42"/>
      <c r="AI805" s="42"/>
      <c r="AJ805" s="42"/>
      <c r="AK805" s="42"/>
    </row>
    <row r="806">
      <c r="A806" s="45"/>
      <c r="B806" s="45"/>
      <c r="C806" s="45"/>
      <c r="D806" s="45"/>
      <c r="E806" s="45"/>
      <c r="F806" s="21"/>
      <c r="G806" s="45"/>
      <c r="H806" s="45"/>
      <c r="I806" s="45"/>
      <c r="J806" s="45"/>
      <c r="K806" s="45"/>
      <c r="L806" s="21"/>
      <c r="M806" s="33" t="str">
        <f>IFERROR(__xludf.DUMMYFUNCTION("IFS(W806=""Achat"",IFERROR(VALUE(X806),VALUE(REGEXREPLACE(T(X806),""[^0-9]"",""""))),W806=""Vente"",-IFERROR(VALUE(X806),VALUE(REGEXREPLACE(T(X806),""[^0-9]"",""""))),Y806=""Change"",0,Y806&lt;&gt;""Change"","""")"),"")</f>
        <v/>
      </c>
      <c r="N806" s="34" t="str">
        <f>IFERROR(__xludf.DUMMYFUNCTION("IF(Account!$F806&lt;&gt;"""", VALUE(REGEXREPLACE($I806, ""\,"", ""."")), """")"),"")</f>
        <v/>
      </c>
      <c r="O806" s="35" t="str">
        <f>IF(Account!$F806&lt;&gt;"", DATEVALUE(MID($A806,4,3) &amp; LEFT($A806,3) &amp; RIGHT($A806,4)) + TIMEVALUE($B806), "")</f>
        <v/>
      </c>
      <c r="P806" s="36" t="str">
        <f>IF(Account!$F806&lt;&gt;"", DATEVALUE(MID($C806,4,3) &amp; LEFT($C806,3) &amp; RIGHT($C806,4)), "")</f>
        <v/>
      </c>
      <c r="Q806" s="37" t="str">
        <f t="array" ref="Q806">IF($R806&lt;&gt;"",IFERROR(INDEX(ISIN!$B:$B,MATCH($R806,ISIN!$C:$C,0))),)</f>
        <v/>
      </c>
      <c r="R806" s="38" t="str">
        <f t="array" ref="R806">IF($E806&lt;&gt;"",IFERROR(INDEX(ISIN!$C:$C,MATCH($E806,ISIN!$A:$A,0)),IFERROR(INDEX($R807:$R1200,MATCH($K806,$K807:$K1200,0)))),IF(AND($Y806="change",$H806="EUR"),IF($O806=$O807,$R807,IF($O806=$O805,$R805)),IFERROR(INDEX($R807:$R1200,MATCH(SUBSTITUTE($I806,"-","",1),$K807:$K1200,0)))))</f>
        <v/>
      </c>
      <c r="S806" s="37" t="str">
        <f t="shared" si="1"/>
        <v/>
      </c>
      <c r="T806" s="39" t="str">
        <f t="shared" si="2"/>
        <v/>
      </c>
      <c r="U806" s="40" t="str">
        <f t="shared" si="3"/>
        <v/>
      </c>
      <c r="V806" s="34" t="str">
        <f t="shared" si="4"/>
        <v/>
      </c>
      <c r="W806" s="41" t="str">
        <f>IFERROR(__xludf.DUMMYFUNCTION(" IF(Account!$F806&lt;&gt;"""", SPLIT(Account!$F806, "" ""), """")"),"")</f>
        <v/>
      </c>
      <c r="X806" s="42"/>
      <c r="Y806" s="42"/>
      <c r="Z806" s="42"/>
      <c r="AA806" s="42"/>
      <c r="AB806" s="42"/>
      <c r="AC806" s="42"/>
      <c r="AD806" s="42"/>
      <c r="AE806" s="42"/>
      <c r="AF806" s="42"/>
      <c r="AG806" s="42"/>
      <c r="AH806" s="42"/>
      <c r="AI806" s="42"/>
      <c r="AJ806" s="42"/>
      <c r="AK806" s="42"/>
    </row>
    <row r="807">
      <c r="A807" s="20"/>
      <c r="B807" s="20"/>
      <c r="C807" s="20"/>
      <c r="D807" s="20"/>
      <c r="E807" s="20"/>
      <c r="F807" s="21"/>
      <c r="G807" s="45"/>
      <c r="H807" s="20"/>
      <c r="I807" s="20"/>
      <c r="J807" s="20"/>
      <c r="K807" s="20"/>
      <c r="L807" s="21"/>
      <c r="M807" s="33" t="str">
        <f>IFERROR(__xludf.DUMMYFUNCTION("IFS(W807=""Achat"",IFERROR(VALUE(X807),VALUE(REGEXREPLACE(T(X807),""[^0-9]"",""""))),W807=""Vente"",-IFERROR(VALUE(X807),VALUE(REGEXREPLACE(T(X807),""[^0-9]"",""""))),Y807=""Change"",0,Y807&lt;&gt;""Change"","""")"),"")</f>
        <v/>
      </c>
      <c r="N807" s="34" t="str">
        <f>IFERROR(__xludf.DUMMYFUNCTION("IF(Account!$F807&lt;&gt;"""", VALUE(REGEXREPLACE($I807, ""\,"", ""."")), """")"),"")</f>
        <v/>
      </c>
      <c r="O807" s="35" t="str">
        <f>IF(Account!$F807&lt;&gt;"", DATEVALUE(MID($A807,4,3) &amp; LEFT($A807,3) &amp; RIGHT($A807,4)) + TIMEVALUE($B807), "")</f>
        <v/>
      </c>
      <c r="P807" s="36" t="str">
        <f>IF(Account!$F807&lt;&gt;"", DATEVALUE(MID($C807,4,3) &amp; LEFT($C807,3) &amp; RIGHT($C807,4)), "")</f>
        <v/>
      </c>
      <c r="Q807" s="37" t="str">
        <f t="array" ref="Q807">IF($R807&lt;&gt;"",IFERROR(INDEX(ISIN!$B:$B,MATCH($R807,ISIN!$C:$C,0))),)</f>
        <v/>
      </c>
      <c r="R807" s="38" t="str">
        <f t="array" ref="R807">IF($E807&lt;&gt;"",IFERROR(INDEX(ISIN!$C:$C,MATCH($E807,ISIN!$A:$A,0)),IFERROR(INDEX($R808:$R1200,MATCH($K807,$K808:$K1200,0)))),IF(AND($Y807="change",$H807="EUR"),IF($O807=$O808,$R808,IF($O807=$O806,$R806)),IFERROR(INDEX($R808:$R1200,MATCH(SUBSTITUTE($I807,"-","",1),$K808:$K1200,0)))))</f>
        <v/>
      </c>
      <c r="S807" s="37" t="str">
        <f t="shared" si="1"/>
        <v/>
      </c>
      <c r="T807" s="39" t="str">
        <f t="shared" si="2"/>
        <v/>
      </c>
      <c r="U807" s="40" t="str">
        <f t="shared" si="3"/>
        <v/>
      </c>
      <c r="V807" s="34" t="str">
        <f t="shared" si="4"/>
        <v/>
      </c>
      <c r="W807" s="41" t="str">
        <f>IFERROR(__xludf.DUMMYFUNCTION(" IF(Account!$F807&lt;&gt;"""", SPLIT(Account!$F807, "" ""), """")"),"")</f>
        <v/>
      </c>
      <c r="X807" s="42"/>
      <c r="Y807" s="42"/>
      <c r="Z807" s="42"/>
      <c r="AA807" s="42"/>
      <c r="AB807" s="42"/>
      <c r="AC807" s="42"/>
      <c r="AD807" s="42"/>
      <c r="AE807" s="42"/>
      <c r="AF807" s="42"/>
      <c r="AG807" s="42"/>
      <c r="AH807" s="42"/>
      <c r="AI807" s="42"/>
      <c r="AJ807" s="42"/>
      <c r="AK807" s="42"/>
    </row>
    <row r="808">
      <c r="A808" s="20"/>
      <c r="B808" s="20"/>
      <c r="C808" s="20"/>
      <c r="D808" s="20"/>
      <c r="E808" s="20"/>
      <c r="F808" s="21"/>
      <c r="G808" s="45"/>
      <c r="H808" s="20"/>
      <c r="I808" s="20"/>
      <c r="J808" s="20"/>
      <c r="K808" s="20"/>
      <c r="L808" s="21"/>
      <c r="M808" s="33" t="str">
        <f>IFERROR(__xludf.DUMMYFUNCTION("IFS(W808=""Achat"",IFERROR(VALUE(X808),VALUE(REGEXREPLACE(T(X808),""[^0-9]"",""""))),W808=""Vente"",-IFERROR(VALUE(X808),VALUE(REGEXREPLACE(T(X808),""[^0-9]"",""""))),Y808=""Change"",0,Y808&lt;&gt;""Change"","""")"),"")</f>
        <v/>
      </c>
      <c r="N808" s="34" t="str">
        <f>IFERROR(__xludf.DUMMYFUNCTION("IF(Account!$F808&lt;&gt;"""", VALUE(REGEXREPLACE($I808, ""\,"", ""."")), """")"),"")</f>
        <v/>
      </c>
      <c r="O808" s="35" t="str">
        <f>IF(Account!$F808&lt;&gt;"", DATEVALUE(MID($A808,4,3) &amp; LEFT($A808,3) &amp; RIGHT($A808,4)) + TIMEVALUE($B808), "")</f>
        <v/>
      </c>
      <c r="P808" s="36" t="str">
        <f>IF(Account!$F808&lt;&gt;"", DATEVALUE(MID($C808,4,3) &amp; LEFT($C808,3) &amp; RIGHT($C808,4)), "")</f>
        <v/>
      </c>
      <c r="Q808" s="37" t="str">
        <f t="array" ref="Q808">IF($R808&lt;&gt;"",IFERROR(INDEX(ISIN!$B:$B,MATCH($R808,ISIN!$C:$C,0))),)</f>
        <v/>
      </c>
      <c r="R808" s="38" t="str">
        <f t="array" ref="R808">IF($E808&lt;&gt;"",IFERROR(INDEX(ISIN!$C:$C,MATCH($E808,ISIN!$A:$A,0)),IFERROR(INDEX($R809:$R1200,MATCH($K808,$K809:$K1200,0)))),IF(AND($Y808="change",$H808="EUR"),IF($O808=$O809,$R809,IF($O808=$O807,$R807)),IFERROR(INDEX($R809:$R1200,MATCH(SUBSTITUTE($I808,"-","",1),$K809:$K1200,0)))))</f>
        <v/>
      </c>
      <c r="S808" s="37" t="str">
        <f t="shared" si="1"/>
        <v/>
      </c>
      <c r="T808" s="39" t="str">
        <f t="shared" si="2"/>
        <v/>
      </c>
      <c r="U808" s="40" t="str">
        <f t="shared" si="3"/>
        <v/>
      </c>
      <c r="V808" s="34" t="str">
        <f t="shared" si="4"/>
        <v/>
      </c>
      <c r="W808" s="41" t="str">
        <f>IFERROR(__xludf.DUMMYFUNCTION(" IF(Account!$F808&lt;&gt;"""", SPLIT(Account!$F808, "" ""), """")"),"")</f>
        <v/>
      </c>
      <c r="X808" s="42"/>
      <c r="Y808" s="42"/>
      <c r="Z808" s="42"/>
      <c r="AA808" s="42"/>
      <c r="AB808" s="42"/>
      <c r="AC808" s="42"/>
      <c r="AD808" s="42"/>
      <c r="AE808" s="42"/>
      <c r="AF808" s="42"/>
      <c r="AG808" s="42"/>
      <c r="AH808" s="42"/>
      <c r="AI808" s="42"/>
      <c r="AJ808" s="42"/>
      <c r="AK808" s="42"/>
    </row>
    <row r="809">
      <c r="A809" s="20"/>
      <c r="B809" s="20"/>
      <c r="C809" s="20"/>
      <c r="D809" s="20"/>
      <c r="E809" s="20"/>
      <c r="F809" s="21"/>
      <c r="G809" s="45"/>
      <c r="H809" s="20"/>
      <c r="I809" s="20"/>
      <c r="J809" s="20"/>
      <c r="K809" s="20"/>
      <c r="L809" s="21"/>
      <c r="M809" s="33" t="str">
        <f>IFERROR(__xludf.DUMMYFUNCTION("IFS(W809=""Achat"",IFERROR(VALUE(X809),VALUE(REGEXREPLACE(T(X809),""[^0-9]"",""""))),W809=""Vente"",-IFERROR(VALUE(X809),VALUE(REGEXREPLACE(T(X809),""[^0-9]"",""""))),Y809=""Change"",0,Y809&lt;&gt;""Change"","""")"),"")</f>
        <v/>
      </c>
      <c r="N809" s="34" t="str">
        <f>IFERROR(__xludf.DUMMYFUNCTION("IF(Account!$F809&lt;&gt;"""", VALUE(REGEXREPLACE($I809, ""\,"", ""."")), """")"),"")</f>
        <v/>
      </c>
      <c r="O809" s="35" t="str">
        <f>IF(Account!$F809&lt;&gt;"", DATEVALUE(MID($A809,4,3) &amp; LEFT($A809,3) &amp; RIGHT($A809,4)) + TIMEVALUE($B809), "")</f>
        <v/>
      </c>
      <c r="P809" s="36" t="str">
        <f>IF(Account!$F809&lt;&gt;"", DATEVALUE(MID($C809,4,3) &amp; LEFT($C809,3) &amp; RIGHT($C809,4)), "")</f>
        <v/>
      </c>
      <c r="Q809" s="37" t="str">
        <f t="array" ref="Q809">IF($R809&lt;&gt;"",IFERROR(INDEX(ISIN!$B:$B,MATCH($R809,ISIN!$C:$C,0))),)</f>
        <v/>
      </c>
      <c r="R809" s="38" t="str">
        <f t="array" ref="R809">IF($E809&lt;&gt;"",IFERROR(INDEX(ISIN!$C:$C,MATCH($E809,ISIN!$A:$A,0)),IFERROR(INDEX($R810:$R1200,MATCH($K809,$K810:$K1200,0)))),IF(AND($Y809="change",$H809="EUR"),IF($O809=$O810,$R810,IF($O809=$O808,$R808)),IFERROR(INDEX($R810:$R1200,MATCH(SUBSTITUTE($I809,"-","",1),$K810:$K1200,0)))))</f>
        <v/>
      </c>
      <c r="S809" s="37" t="str">
        <f t="shared" si="1"/>
        <v/>
      </c>
      <c r="T809" s="39" t="str">
        <f t="shared" si="2"/>
        <v/>
      </c>
      <c r="U809" s="40" t="str">
        <f t="shared" si="3"/>
        <v/>
      </c>
      <c r="V809" s="34" t="str">
        <f t="shared" si="4"/>
        <v/>
      </c>
      <c r="W809" s="41" t="str">
        <f>IFERROR(__xludf.DUMMYFUNCTION(" IF(Account!$F809&lt;&gt;"""", SPLIT(Account!$F809, "" ""), """")"),"")</f>
        <v/>
      </c>
      <c r="X809" s="42"/>
      <c r="Y809" s="42"/>
      <c r="Z809" s="42"/>
      <c r="AA809" s="42"/>
      <c r="AB809" s="42"/>
      <c r="AC809" s="42"/>
      <c r="AD809" s="42"/>
      <c r="AE809" s="42"/>
      <c r="AF809" s="42"/>
      <c r="AG809" s="42"/>
      <c r="AH809" s="42"/>
      <c r="AI809" s="42"/>
      <c r="AJ809" s="42"/>
      <c r="AK809" s="42"/>
    </row>
    <row r="810">
      <c r="A810" s="20"/>
      <c r="B810" s="20"/>
      <c r="C810" s="20"/>
      <c r="D810" s="45"/>
      <c r="E810" s="45"/>
      <c r="F810" s="21"/>
      <c r="G810" s="45"/>
      <c r="H810" s="20"/>
      <c r="I810" s="20"/>
      <c r="J810" s="20"/>
      <c r="K810" s="20"/>
      <c r="L810" s="46"/>
      <c r="M810" s="33" t="str">
        <f>IFERROR(__xludf.DUMMYFUNCTION("IFS(W810=""Achat"",IFERROR(VALUE(X810),VALUE(REGEXREPLACE(T(X810),""[^0-9]"",""""))),W810=""Vente"",-IFERROR(VALUE(X810),VALUE(REGEXREPLACE(T(X810),""[^0-9]"",""""))),Y810=""Change"",0,Y810&lt;&gt;""Change"","""")"),"")</f>
        <v/>
      </c>
      <c r="N810" s="34" t="str">
        <f>IFERROR(__xludf.DUMMYFUNCTION("IF(Account!$F810&lt;&gt;"""", VALUE(REGEXREPLACE($I810, ""\,"", ""."")), """")"),"")</f>
        <v/>
      </c>
      <c r="O810" s="35" t="str">
        <f>IF(Account!$F810&lt;&gt;"", DATEVALUE(MID($A810,4,3) &amp; LEFT($A810,3) &amp; RIGHT($A810,4)) + TIMEVALUE($B810), "")</f>
        <v/>
      </c>
      <c r="P810" s="36" t="str">
        <f>IF(Account!$F810&lt;&gt;"", DATEVALUE(MID($C810,4,3) &amp; LEFT($C810,3) &amp; RIGHT($C810,4)), "")</f>
        <v/>
      </c>
      <c r="Q810" s="37" t="str">
        <f t="array" ref="Q810">IF($R810&lt;&gt;"",IFERROR(INDEX(ISIN!$B:$B,MATCH($R810,ISIN!$C:$C,0))),)</f>
        <v/>
      </c>
      <c r="R810" s="38" t="str">
        <f t="array" ref="R810">IF($E810&lt;&gt;"",IFERROR(INDEX(ISIN!$C:$C,MATCH($E810,ISIN!$A:$A,0)),IFERROR(INDEX($R811:$R1200,MATCH($K810,$K811:$K1200,0)))),IF(AND($Y810="change",$H810="EUR"),IF($O810=$O811,$R811,IF($O810=$O809,$R809)),IFERROR(INDEX($R811:$R1200,MATCH(SUBSTITUTE($I810,"-","",1),$K811:$K1200,0)))))</f>
        <v/>
      </c>
      <c r="S810" s="37" t="str">
        <f t="shared" si="1"/>
        <v/>
      </c>
      <c r="T810" s="39" t="str">
        <f t="shared" si="2"/>
        <v/>
      </c>
      <c r="U810" s="40" t="str">
        <f t="shared" si="3"/>
        <v/>
      </c>
      <c r="V810" s="34" t="str">
        <f t="shared" si="4"/>
        <v/>
      </c>
      <c r="W810" s="41" t="str">
        <f>IFERROR(__xludf.DUMMYFUNCTION(" IF(Account!$F810&lt;&gt;"""", SPLIT(Account!$F810, "" ""), """")"),"")</f>
        <v/>
      </c>
      <c r="X810" s="42"/>
      <c r="Y810" s="42"/>
      <c r="Z810" s="42"/>
      <c r="AA810" s="42"/>
      <c r="AB810" s="42"/>
      <c r="AC810" s="42"/>
      <c r="AD810" s="42"/>
      <c r="AE810" s="42"/>
      <c r="AF810" s="42"/>
      <c r="AG810" s="42"/>
      <c r="AH810" s="42"/>
      <c r="AI810" s="42"/>
      <c r="AJ810" s="42"/>
      <c r="AK810" s="42"/>
    </row>
    <row r="811">
      <c r="A811" s="20"/>
      <c r="B811" s="20"/>
      <c r="C811" s="20"/>
      <c r="D811" s="45"/>
      <c r="E811" s="45"/>
      <c r="F811" s="21"/>
      <c r="G811" s="20"/>
      <c r="H811" s="20"/>
      <c r="I811" s="20"/>
      <c r="J811" s="20"/>
      <c r="K811" s="20"/>
      <c r="L811" s="46"/>
      <c r="M811" s="33" t="str">
        <f>IFERROR(__xludf.DUMMYFUNCTION("IFS(W811=""Achat"",IFERROR(VALUE(X811),VALUE(REGEXREPLACE(T(X811),""[^0-9]"",""""))),W811=""Vente"",-IFERROR(VALUE(X811),VALUE(REGEXREPLACE(T(X811),""[^0-9]"",""""))),Y811=""Change"",0,Y811&lt;&gt;""Change"","""")"),"")</f>
        <v/>
      </c>
      <c r="N811" s="34" t="str">
        <f>IFERROR(__xludf.DUMMYFUNCTION("IF(Account!$F811&lt;&gt;"""", VALUE(REGEXREPLACE($I811, ""\,"", ""."")), """")"),"")</f>
        <v/>
      </c>
      <c r="O811" s="35" t="str">
        <f>IF(Account!$F811&lt;&gt;"", DATEVALUE(MID($A811,4,3) &amp; LEFT($A811,3) &amp; RIGHT($A811,4)) + TIMEVALUE($B811), "")</f>
        <v/>
      </c>
      <c r="P811" s="36" t="str">
        <f>IF(Account!$F811&lt;&gt;"", DATEVALUE(MID($C811,4,3) &amp; LEFT($C811,3) &amp; RIGHT($C811,4)), "")</f>
        <v/>
      </c>
      <c r="Q811" s="37" t="str">
        <f t="array" ref="Q811">IF($R811&lt;&gt;"",IFERROR(INDEX(ISIN!$B:$B,MATCH($R811,ISIN!$C:$C,0))),)</f>
        <v/>
      </c>
      <c r="R811" s="38" t="str">
        <f t="array" ref="R811">IF($E811&lt;&gt;"",IFERROR(INDEX(ISIN!$C:$C,MATCH($E811,ISIN!$A:$A,0)),IFERROR(INDEX($R812:$R1200,MATCH($K811,$K812:$K1200,0)))),IF(AND($Y811="change",$H811="EUR"),IF($O811=$O812,$R812,IF($O811=$O810,$R810)),IFERROR(INDEX($R812:$R1200,MATCH(SUBSTITUTE($I811,"-","",1),$K812:$K1200,0)))))</f>
        <v/>
      </c>
      <c r="S811" s="37" t="str">
        <f t="shared" si="1"/>
        <v/>
      </c>
      <c r="T811" s="39" t="str">
        <f t="shared" si="2"/>
        <v/>
      </c>
      <c r="U811" s="40" t="str">
        <f t="shared" si="3"/>
        <v/>
      </c>
      <c r="V811" s="34" t="str">
        <f t="shared" si="4"/>
        <v/>
      </c>
      <c r="W811" s="41" t="str">
        <f>IFERROR(__xludf.DUMMYFUNCTION(" IF(Account!$F811&lt;&gt;"""", SPLIT(Account!$F811, "" ""), """")"),"")</f>
        <v/>
      </c>
      <c r="X811" s="42"/>
      <c r="Y811" s="42"/>
      <c r="Z811" s="42"/>
      <c r="AA811" s="42"/>
      <c r="AB811" s="42"/>
      <c r="AC811" s="42"/>
      <c r="AD811" s="42"/>
      <c r="AE811" s="42"/>
      <c r="AF811" s="42"/>
      <c r="AG811" s="42"/>
      <c r="AH811" s="42"/>
      <c r="AI811" s="42"/>
      <c r="AJ811" s="42"/>
      <c r="AK811" s="42"/>
    </row>
    <row r="812">
      <c r="A812" s="20"/>
      <c r="B812" s="20"/>
      <c r="C812" s="20"/>
      <c r="D812" s="20"/>
      <c r="E812" s="20"/>
      <c r="F812" s="21"/>
      <c r="G812" s="45"/>
      <c r="H812" s="45"/>
      <c r="I812" s="45"/>
      <c r="J812" s="20"/>
      <c r="K812" s="20"/>
      <c r="L812" s="46"/>
      <c r="M812" s="33" t="str">
        <f>IFERROR(__xludf.DUMMYFUNCTION("IFS(W812=""Achat"",IFERROR(VALUE(X812),VALUE(REGEXREPLACE(T(X812),""[^0-9]"",""""))),W812=""Vente"",-IFERROR(VALUE(X812),VALUE(REGEXREPLACE(T(X812),""[^0-9]"",""""))),Y812=""Change"",0,Y812&lt;&gt;""Change"","""")"),"")</f>
        <v/>
      </c>
      <c r="N812" s="34" t="str">
        <f>IFERROR(__xludf.DUMMYFUNCTION("IF(Account!$F812&lt;&gt;"""", VALUE(REGEXREPLACE($I812, ""\,"", ""."")), """")"),"")</f>
        <v/>
      </c>
      <c r="O812" s="35" t="str">
        <f>IF(Account!$F812&lt;&gt;"", DATEVALUE(MID($A812,4,3) &amp; LEFT($A812,3) &amp; RIGHT($A812,4)) + TIMEVALUE($B812), "")</f>
        <v/>
      </c>
      <c r="P812" s="36" t="str">
        <f>IF(Account!$F812&lt;&gt;"", DATEVALUE(MID($C812,4,3) &amp; LEFT($C812,3) &amp; RIGHT($C812,4)), "")</f>
        <v/>
      </c>
      <c r="Q812" s="37" t="str">
        <f t="array" ref="Q812">IF($R812&lt;&gt;"",IFERROR(INDEX(ISIN!$B:$B,MATCH($R812,ISIN!$C:$C,0))),)</f>
        <v/>
      </c>
      <c r="R812" s="38" t="str">
        <f t="array" ref="R812">IF($E812&lt;&gt;"",IFERROR(INDEX(ISIN!$C:$C,MATCH($E812,ISIN!$A:$A,0)),IFERROR(INDEX($R813:$R1200,MATCH($K812,$K813:$K1200,0)))),IF(AND($Y812="change",$H812="EUR"),IF($O812=$O813,$R813,IF($O812=$O811,$R811)),IFERROR(INDEX($R813:$R1200,MATCH(SUBSTITUTE($I812,"-","",1),$K813:$K1200,0)))))</f>
        <v/>
      </c>
      <c r="S812" s="37" t="str">
        <f t="shared" si="1"/>
        <v/>
      </c>
      <c r="T812" s="39" t="str">
        <f t="shared" si="2"/>
        <v/>
      </c>
      <c r="U812" s="40" t="str">
        <f t="shared" si="3"/>
        <v/>
      </c>
      <c r="V812" s="34" t="str">
        <f t="shared" si="4"/>
        <v/>
      </c>
      <c r="W812" s="41" t="str">
        <f>IFERROR(__xludf.DUMMYFUNCTION(" IF(Account!$F812&lt;&gt;"""", SPLIT(Account!$F812, "" ""), """")"),"")</f>
        <v/>
      </c>
      <c r="X812" s="42"/>
      <c r="Y812" s="42"/>
      <c r="Z812" s="42"/>
      <c r="AA812" s="42"/>
      <c r="AB812" s="42"/>
      <c r="AC812" s="42"/>
      <c r="AD812" s="42"/>
      <c r="AE812" s="42"/>
      <c r="AF812" s="42"/>
      <c r="AG812" s="42"/>
      <c r="AH812" s="42"/>
      <c r="AI812" s="42"/>
      <c r="AJ812" s="42"/>
      <c r="AK812" s="42"/>
    </row>
    <row r="813">
      <c r="A813" s="20"/>
      <c r="B813" s="20"/>
      <c r="C813" s="20"/>
      <c r="D813" s="20"/>
      <c r="E813" s="20"/>
      <c r="F813" s="21"/>
      <c r="G813" s="45"/>
      <c r="H813" s="20"/>
      <c r="I813" s="20"/>
      <c r="J813" s="20"/>
      <c r="K813" s="20"/>
      <c r="L813" s="46"/>
      <c r="M813" s="33" t="str">
        <f>IFERROR(__xludf.DUMMYFUNCTION("IFS(W813=""Achat"",IFERROR(VALUE(X813),VALUE(REGEXREPLACE(T(X813),""[^0-9]"",""""))),W813=""Vente"",-IFERROR(VALUE(X813),VALUE(REGEXREPLACE(T(X813),""[^0-9]"",""""))),Y813=""Change"",0,Y813&lt;&gt;""Change"","""")"),"")</f>
        <v/>
      </c>
      <c r="N813" s="34" t="str">
        <f>IFERROR(__xludf.DUMMYFUNCTION("IF(Account!$F813&lt;&gt;"""", VALUE(REGEXREPLACE($I813, ""\,"", ""."")), """")"),"")</f>
        <v/>
      </c>
      <c r="O813" s="35" t="str">
        <f>IF(Account!$F813&lt;&gt;"", DATEVALUE(MID($A813,4,3) &amp; LEFT($A813,3) &amp; RIGHT($A813,4)) + TIMEVALUE($B813), "")</f>
        <v/>
      </c>
      <c r="P813" s="36" t="str">
        <f>IF(Account!$F813&lt;&gt;"", DATEVALUE(MID($C813,4,3) &amp; LEFT($C813,3) &amp; RIGHT($C813,4)), "")</f>
        <v/>
      </c>
      <c r="Q813" s="37" t="str">
        <f t="array" ref="Q813">IF($R813&lt;&gt;"",IFERROR(INDEX(ISIN!$B:$B,MATCH($R813,ISIN!$C:$C,0))),)</f>
        <v/>
      </c>
      <c r="R813" s="38" t="str">
        <f t="array" ref="R813">IF($E813&lt;&gt;"",IFERROR(INDEX(ISIN!$C:$C,MATCH($E813,ISIN!$A:$A,0)),IFERROR(INDEX($R814:$R1200,MATCH($K813,$K814:$K1200,0)))),IF(AND($Y813="change",$H813="EUR"),IF($O813=$O814,$R814,IF($O813=$O812,$R812)),IFERROR(INDEX($R814:$R1200,MATCH(SUBSTITUTE($I813,"-","",1),$K814:$K1200,0)))))</f>
        <v/>
      </c>
      <c r="S813" s="37" t="str">
        <f t="shared" si="1"/>
        <v/>
      </c>
      <c r="T813" s="39" t="str">
        <f t="shared" si="2"/>
        <v/>
      </c>
      <c r="U813" s="40" t="str">
        <f t="shared" si="3"/>
        <v/>
      </c>
      <c r="V813" s="34" t="str">
        <f t="shared" si="4"/>
        <v/>
      </c>
      <c r="W813" s="41" t="str">
        <f>IFERROR(__xludf.DUMMYFUNCTION(" IF(Account!$F813&lt;&gt;"""", SPLIT(Account!$F813, "" ""), """")"),"")</f>
        <v/>
      </c>
      <c r="X813" s="42"/>
      <c r="Y813" s="42"/>
      <c r="Z813" s="42"/>
      <c r="AA813" s="42"/>
      <c r="AB813" s="42"/>
      <c r="AC813" s="42"/>
      <c r="AD813" s="42"/>
      <c r="AE813" s="42"/>
      <c r="AF813" s="42"/>
      <c r="AG813" s="42"/>
      <c r="AH813" s="42"/>
      <c r="AI813" s="42"/>
      <c r="AJ813" s="42"/>
      <c r="AK813" s="42"/>
    </row>
    <row r="814">
      <c r="A814" s="20"/>
      <c r="B814" s="20"/>
      <c r="C814" s="20"/>
      <c r="D814" s="20"/>
      <c r="E814" s="20"/>
      <c r="F814" s="21"/>
      <c r="G814" s="45"/>
      <c r="H814" s="20"/>
      <c r="I814" s="20"/>
      <c r="J814" s="20"/>
      <c r="K814" s="20"/>
      <c r="L814" s="46"/>
      <c r="M814" s="33" t="str">
        <f>IFERROR(__xludf.DUMMYFUNCTION("IFS(W814=""Achat"",IFERROR(VALUE(X814),VALUE(REGEXREPLACE(T(X814),""[^0-9]"",""""))),W814=""Vente"",-IFERROR(VALUE(X814),VALUE(REGEXREPLACE(T(X814),""[^0-9]"",""""))),Y814=""Change"",0,Y814&lt;&gt;""Change"","""")"),"")</f>
        <v/>
      </c>
      <c r="N814" s="34" t="str">
        <f>IFERROR(__xludf.DUMMYFUNCTION("IF(Account!$F814&lt;&gt;"""", VALUE(REGEXREPLACE($I814, ""\,"", ""."")), """")"),"")</f>
        <v/>
      </c>
      <c r="O814" s="35" t="str">
        <f>IF(Account!$F814&lt;&gt;"", DATEVALUE(MID($A814,4,3) &amp; LEFT($A814,3) &amp; RIGHT($A814,4)) + TIMEVALUE($B814), "")</f>
        <v/>
      </c>
      <c r="P814" s="36" t="str">
        <f>IF(Account!$F814&lt;&gt;"", DATEVALUE(MID($C814,4,3) &amp; LEFT($C814,3) &amp; RIGHT($C814,4)), "")</f>
        <v/>
      </c>
      <c r="Q814" s="37" t="str">
        <f t="array" ref="Q814">IF($R814&lt;&gt;"",IFERROR(INDEX(ISIN!$B:$B,MATCH($R814,ISIN!$C:$C,0))),)</f>
        <v/>
      </c>
      <c r="R814" s="38" t="str">
        <f t="array" ref="R814">IF($E814&lt;&gt;"",IFERROR(INDEX(ISIN!$C:$C,MATCH($E814,ISIN!$A:$A,0)),IFERROR(INDEX($R815:$R1200,MATCH($K814,$K815:$K1200,0)))),IF(AND($Y814="change",$H814="EUR"),IF($O814=$O815,$R815,IF($O814=$O813,$R813)),IFERROR(INDEX($R815:$R1200,MATCH(SUBSTITUTE($I814,"-","",1),$K815:$K1200,0)))))</f>
        <v/>
      </c>
      <c r="S814" s="37" t="str">
        <f t="shared" si="1"/>
        <v/>
      </c>
      <c r="T814" s="39" t="str">
        <f t="shared" si="2"/>
        <v/>
      </c>
      <c r="U814" s="40" t="str">
        <f t="shared" si="3"/>
        <v/>
      </c>
      <c r="V814" s="34" t="str">
        <f t="shared" si="4"/>
        <v/>
      </c>
      <c r="W814" s="41" t="str">
        <f>IFERROR(__xludf.DUMMYFUNCTION(" IF(Account!$F814&lt;&gt;"""", SPLIT(Account!$F814, "" ""), """")"),"")</f>
        <v/>
      </c>
      <c r="X814" s="42"/>
      <c r="Y814" s="42"/>
      <c r="Z814" s="42"/>
      <c r="AA814" s="42"/>
      <c r="AB814" s="42"/>
      <c r="AC814" s="42"/>
      <c r="AD814" s="42"/>
      <c r="AE814" s="42"/>
      <c r="AF814" s="42"/>
      <c r="AG814" s="42"/>
      <c r="AH814" s="42"/>
      <c r="AI814" s="42"/>
      <c r="AJ814" s="42"/>
      <c r="AK814" s="42"/>
    </row>
    <row r="815">
      <c r="A815" s="20"/>
      <c r="B815" s="20"/>
      <c r="C815" s="20"/>
      <c r="D815" s="45"/>
      <c r="E815" s="45"/>
      <c r="F815" s="21"/>
      <c r="G815" s="45"/>
      <c r="H815" s="20"/>
      <c r="I815" s="20"/>
      <c r="J815" s="20"/>
      <c r="K815" s="20"/>
      <c r="L815" s="46"/>
      <c r="M815" s="33" t="str">
        <f>IFERROR(__xludf.DUMMYFUNCTION("IFS(W815=""Achat"",IFERROR(VALUE(X815),VALUE(REGEXREPLACE(T(X815),""[^0-9]"",""""))),W815=""Vente"",-IFERROR(VALUE(X815),VALUE(REGEXREPLACE(T(X815),""[^0-9]"",""""))),Y815=""Change"",0,Y815&lt;&gt;""Change"","""")"),"")</f>
        <v/>
      </c>
      <c r="N815" s="34" t="str">
        <f>IFERROR(__xludf.DUMMYFUNCTION("IF(Account!$F815&lt;&gt;"""", VALUE(REGEXREPLACE($I815, ""\,"", ""."")), """")"),"")</f>
        <v/>
      </c>
      <c r="O815" s="35" t="str">
        <f>IF(Account!$F815&lt;&gt;"", DATEVALUE(MID($A815,4,3) &amp; LEFT($A815,3) &amp; RIGHT($A815,4)) + TIMEVALUE($B815), "")</f>
        <v/>
      </c>
      <c r="P815" s="36" t="str">
        <f>IF(Account!$F815&lt;&gt;"", DATEVALUE(MID($C815,4,3) &amp; LEFT($C815,3) &amp; RIGHT($C815,4)), "")</f>
        <v/>
      </c>
      <c r="Q815" s="37" t="str">
        <f t="array" ref="Q815">IF($R815&lt;&gt;"",IFERROR(INDEX(ISIN!$B:$B,MATCH($R815,ISIN!$C:$C,0))),)</f>
        <v/>
      </c>
      <c r="R815" s="38" t="str">
        <f t="array" ref="R815">IF($E815&lt;&gt;"",IFERROR(INDEX(ISIN!$C:$C,MATCH($E815,ISIN!$A:$A,0)),IFERROR(INDEX($R816:$R1200,MATCH($K815,$K816:$K1200,0)))),IF(AND($Y815="change",$H815="EUR"),IF($O815=$O816,$R816,IF($O815=$O814,$R814)),IFERROR(INDEX($R816:$R1200,MATCH(SUBSTITUTE($I815,"-","",1),$K816:$K1200,0)))))</f>
        <v/>
      </c>
      <c r="S815" s="37" t="str">
        <f t="shared" si="1"/>
        <v/>
      </c>
      <c r="T815" s="39" t="str">
        <f t="shared" si="2"/>
        <v/>
      </c>
      <c r="U815" s="40" t="str">
        <f t="shared" si="3"/>
        <v/>
      </c>
      <c r="V815" s="34" t="str">
        <f t="shared" si="4"/>
        <v/>
      </c>
      <c r="W815" s="41" t="str">
        <f>IFERROR(__xludf.DUMMYFUNCTION(" IF(Account!$F815&lt;&gt;"""", SPLIT(Account!$F815, "" ""), """")"),"")</f>
        <v/>
      </c>
      <c r="X815" s="42"/>
      <c r="Y815" s="42"/>
      <c r="Z815" s="42"/>
      <c r="AA815" s="42"/>
      <c r="AB815" s="42"/>
      <c r="AC815" s="42"/>
      <c r="AD815" s="42"/>
      <c r="AE815" s="42"/>
      <c r="AF815" s="42"/>
      <c r="AG815" s="42"/>
      <c r="AH815" s="42"/>
      <c r="AI815" s="42"/>
      <c r="AJ815" s="42"/>
      <c r="AK815" s="42"/>
    </row>
    <row r="816">
      <c r="A816" s="20"/>
      <c r="B816" s="20"/>
      <c r="C816" s="20"/>
      <c r="D816" s="45"/>
      <c r="E816" s="45"/>
      <c r="F816" s="21"/>
      <c r="G816" s="45"/>
      <c r="H816" s="20"/>
      <c r="I816" s="20"/>
      <c r="J816" s="20"/>
      <c r="K816" s="20"/>
      <c r="L816" s="46"/>
      <c r="M816" s="33" t="str">
        <f>IFERROR(__xludf.DUMMYFUNCTION("IFS(W816=""Achat"",IFERROR(VALUE(X816),VALUE(REGEXREPLACE(T(X816),""[^0-9]"",""""))),W816=""Vente"",-IFERROR(VALUE(X816),VALUE(REGEXREPLACE(T(X816),""[^0-9]"",""""))),Y816=""Change"",0,Y816&lt;&gt;""Change"","""")"),"")</f>
        <v/>
      </c>
      <c r="N816" s="34" t="str">
        <f>IFERROR(__xludf.DUMMYFUNCTION("IF(Account!$F816&lt;&gt;"""", VALUE(REGEXREPLACE($I816, ""\,"", ""."")), """")"),"")</f>
        <v/>
      </c>
      <c r="O816" s="35" t="str">
        <f>IF(Account!$F816&lt;&gt;"", DATEVALUE(MID($A816,4,3) &amp; LEFT($A816,3) &amp; RIGHT($A816,4)) + TIMEVALUE($B816), "")</f>
        <v/>
      </c>
      <c r="P816" s="36" t="str">
        <f>IF(Account!$F816&lt;&gt;"", DATEVALUE(MID($C816,4,3) &amp; LEFT($C816,3) &amp; RIGHT($C816,4)), "")</f>
        <v/>
      </c>
      <c r="Q816" s="37" t="str">
        <f t="array" ref="Q816">IF($R816&lt;&gt;"",IFERROR(INDEX(ISIN!$B:$B,MATCH($R816,ISIN!$C:$C,0))),)</f>
        <v/>
      </c>
      <c r="R816" s="38" t="str">
        <f t="array" ref="R816">IF($E816&lt;&gt;"",IFERROR(INDEX(ISIN!$C:$C,MATCH($E816,ISIN!$A:$A,0)),IFERROR(INDEX($R817:$R1200,MATCH($K816,$K817:$K1200,0)))),IF(AND($Y816="change",$H816="EUR"),IF($O816=$O817,$R817,IF($O816=$O815,$R815)),IFERROR(INDEX($R817:$R1200,MATCH(SUBSTITUTE($I816,"-","",1),$K817:$K1200,0)))))</f>
        <v/>
      </c>
      <c r="S816" s="37" t="str">
        <f t="shared" si="1"/>
        <v/>
      </c>
      <c r="T816" s="39" t="str">
        <f t="shared" si="2"/>
        <v/>
      </c>
      <c r="U816" s="40" t="str">
        <f t="shared" si="3"/>
        <v/>
      </c>
      <c r="V816" s="34" t="str">
        <f t="shared" si="4"/>
        <v/>
      </c>
      <c r="W816" s="41" t="str">
        <f>IFERROR(__xludf.DUMMYFUNCTION(" IF(Account!$F816&lt;&gt;"""", SPLIT(Account!$F816, "" ""), """")"),"")</f>
        <v/>
      </c>
      <c r="X816" s="42"/>
      <c r="Y816" s="42"/>
      <c r="Z816" s="42"/>
      <c r="AA816" s="42"/>
      <c r="AB816" s="42"/>
      <c r="AC816" s="42"/>
      <c r="AD816" s="42"/>
      <c r="AE816" s="42"/>
      <c r="AF816" s="42"/>
      <c r="AG816" s="42"/>
      <c r="AH816" s="42"/>
      <c r="AI816" s="42"/>
      <c r="AJ816" s="42"/>
      <c r="AK816" s="42"/>
    </row>
    <row r="817">
      <c r="A817" s="20"/>
      <c r="B817" s="20"/>
      <c r="C817" s="20"/>
      <c r="D817" s="20"/>
      <c r="E817" s="20"/>
      <c r="F817" s="21"/>
      <c r="G817" s="20"/>
      <c r="H817" s="20"/>
      <c r="I817" s="20"/>
      <c r="J817" s="20"/>
      <c r="K817" s="20"/>
      <c r="L817" s="21"/>
      <c r="M817" s="33" t="str">
        <f>IFERROR(__xludf.DUMMYFUNCTION("IFS(W817=""Achat"",IFERROR(VALUE(X817),VALUE(REGEXREPLACE(T(X817),""[^0-9]"",""""))),W817=""Vente"",-IFERROR(VALUE(X817),VALUE(REGEXREPLACE(T(X817),""[^0-9]"",""""))),Y817=""Change"",0,Y817&lt;&gt;""Change"","""")"),"")</f>
        <v/>
      </c>
      <c r="N817" s="34" t="str">
        <f>IFERROR(__xludf.DUMMYFUNCTION("IF(Account!$F817&lt;&gt;"""", VALUE(REGEXREPLACE($I817, ""\,"", ""."")), """")"),"")</f>
        <v/>
      </c>
      <c r="O817" s="35" t="str">
        <f>IF(Account!$F817&lt;&gt;"", DATEVALUE(MID($A817,4,3) &amp; LEFT($A817,3) &amp; RIGHT($A817,4)) + TIMEVALUE($B817), "")</f>
        <v/>
      </c>
      <c r="P817" s="36" t="str">
        <f>IF(Account!$F817&lt;&gt;"", DATEVALUE(MID($C817,4,3) &amp; LEFT($C817,3) &amp; RIGHT($C817,4)), "")</f>
        <v/>
      </c>
      <c r="Q817" s="37" t="str">
        <f t="array" ref="Q817">IF($R817&lt;&gt;"",IFERROR(INDEX(ISIN!$B:$B,MATCH($R817,ISIN!$C:$C,0))),)</f>
        <v/>
      </c>
      <c r="R817" s="38" t="str">
        <f t="array" ref="R817">IF($E817&lt;&gt;"",IFERROR(INDEX(ISIN!$C:$C,MATCH($E817,ISIN!$A:$A,0)),IFERROR(INDEX($R818:$R1200,MATCH($K817,$K818:$K1200,0)))),IF(AND($Y817="change",$H817="EUR"),IF($O817=$O818,$R818,IF($O817=$O816,$R816)),IFERROR(INDEX($R818:$R1200,MATCH(SUBSTITUTE($I817,"-","",1),$K818:$K1200,0)))))</f>
        <v/>
      </c>
      <c r="S817" s="37" t="str">
        <f t="shared" si="1"/>
        <v/>
      </c>
      <c r="T817" s="39" t="str">
        <f t="shared" si="2"/>
        <v/>
      </c>
      <c r="U817" s="40" t="str">
        <f t="shared" si="3"/>
        <v/>
      </c>
      <c r="V817" s="34" t="str">
        <f t="shared" si="4"/>
        <v/>
      </c>
      <c r="W817" s="41" t="str">
        <f>IFERROR(__xludf.DUMMYFUNCTION(" IF(Account!$F817&lt;&gt;"""", SPLIT(Account!$F817, "" ""), """")"),"")</f>
        <v/>
      </c>
      <c r="X817" s="42"/>
      <c r="Y817" s="42"/>
      <c r="Z817" s="42"/>
      <c r="AA817" s="42"/>
      <c r="AB817" s="42"/>
      <c r="AC817" s="42"/>
      <c r="AD817" s="42"/>
      <c r="AE817" s="42"/>
      <c r="AF817" s="42"/>
      <c r="AG817" s="42"/>
      <c r="AH817" s="42"/>
      <c r="AI817" s="42"/>
      <c r="AJ817" s="42"/>
      <c r="AK817" s="42"/>
    </row>
    <row r="818">
      <c r="A818" s="20"/>
      <c r="B818" s="20"/>
      <c r="C818" s="20"/>
      <c r="D818" s="20"/>
      <c r="E818" s="20"/>
      <c r="F818" s="21"/>
      <c r="G818" s="45"/>
      <c r="H818" s="20"/>
      <c r="I818" s="20"/>
      <c r="J818" s="20"/>
      <c r="K818" s="20"/>
      <c r="L818" s="21"/>
      <c r="M818" s="33" t="str">
        <f>IFERROR(__xludf.DUMMYFUNCTION("IFS(W818=""Achat"",IFERROR(VALUE(X818),VALUE(REGEXREPLACE(T(X818),""[^0-9]"",""""))),W818=""Vente"",-IFERROR(VALUE(X818),VALUE(REGEXREPLACE(T(X818),""[^0-9]"",""""))),Y818=""Change"",0,Y818&lt;&gt;""Change"","""")"),"")</f>
        <v/>
      </c>
      <c r="N818" s="34" t="str">
        <f>IFERROR(__xludf.DUMMYFUNCTION("IF(Account!$F818&lt;&gt;"""", VALUE(REGEXREPLACE($I818, ""\,"", ""."")), """")"),"")</f>
        <v/>
      </c>
      <c r="O818" s="35" t="str">
        <f>IF(Account!$F818&lt;&gt;"", DATEVALUE(MID($A818,4,3) &amp; LEFT($A818,3) &amp; RIGHT($A818,4)) + TIMEVALUE($B818), "")</f>
        <v/>
      </c>
      <c r="P818" s="36" t="str">
        <f>IF(Account!$F818&lt;&gt;"", DATEVALUE(MID($C818,4,3) &amp; LEFT($C818,3) &amp; RIGHT($C818,4)), "")</f>
        <v/>
      </c>
      <c r="Q818" s="37" t="str">
        <f t="array" ref="Q818">IF($R818&lt;&gt;"",IFERROR(INDEX(ISIN!$B:$B,MATCH($R818,ISIN!$C:$C,0))),)</f>
        <v/>
      </c>
      <c r="R818" s="38" t="str">
        <f t="array" ref="R818">IF($E818&lt;&gt;"",IFERROR(INDEX(ISIN!$C:$C,MATCH($E818,ISIN!$A:$A,0)),IFERROR(INDEX($R819:$R1200,MATCH($K818,$K819:$K1200,0)))),IF(AND($Y818="change",$H818="EUR"),IF($O818=$O819,$R819,IF($O818=$O817,$R817)),IFERROR(INDEX($R819:$R1200,MATCH(SUBSTITUTE($I818,"-","",1),$K819:$K1200,0)))))</f>
        <v/>
      </c>
      <c r="S818" s="37" t="str">
        <f t="shared" si="1"/>
        <v/>
      </c>
      <c r="T818" s="39" t="str">
        <f t="shared" si="2"/>
        <v/>
      </c>
      <c r="U818" s="40" t="str">
        <f t="shared" si="3"/>
        <v/>
      </c>
      <c r="V818" s="34" t="str">
        <f t="shared" si="4"/>
        <v/>
      </c>
      <c r="W818" s="41" t="str">
        <f>IFERROR(__xludf.DUMMYFUNCTION(" IF(Account!$F818&lt;&gt;"""", SPLIT(Account!$F818, "" ""), """")"),"")</f>
        <v/>
      </c>
      <c r="X818" s="42"/>
      <c r="Y818" s="42"/>
      <c r="Z818" s="42"/>
      <c r="AA818" s="42"/>
      <c r="AB818" s="42"/>
      <c r="AC818" s="42"/>
      <c r="AD818" s="42"/>
      <c r="AE818" s="42"/>
      <c r="AF818" s="42"/>
      <c r="AG818" s="42"/>
      <c r="AH818" s="42"/>
      <c r="AI818" s="42"/>
      <c r="AJ818" s="42"/>
      <c r="AK818" s="42"/>
    </row>
    <row r="819">
      <c r="A819" s="20"/>
      <c r="B819" s="20"/>
      <c r="C819" s="20"/>
      <c r="D819" s="20"/>
      <c r="E819" s="20"/>
      <c r="F819" s="21"/>
      <c r="G819" s="45"/>
      <c r="H819" s="20"/>
      <c r="I819" s="20"/>
      <c r="J819" s="20"/>
      <c r="K819" s="20"/>
      <c r="L819" s="21"/>
      <c r="M819" s="33" t="str">
        <f>IFERROR(__xludf.DUMMYFUNCTION("IFS(W819=""Achat"",IFERROR(VALUE(X819),VALUE(REGEXREPLACE(T(X819),""[^0-9]"",""""))),W819=""Vente"",-IFERROR(VALUE(X819),VALUE(REGEXREPLACE(T(X819),""[^0-9]"",""""))),Y819=""Change"",0,Y819&lt;&gt;""Change"","""")"),"")</f>
        <v/>
      </c>
      <c r="N819" s="34" t="str">
        <f>IFERROR(__xludf.DUMMYFUNCTION("IF(Account!$F819&lt;&gt;"""", VALUE(REGEXREPLACE($I819, ""\,"", ""."")), """")"),"")</f>
        <v/>
      </c>
      <c r="O819" s="35" t="str">
        <f>IF(Account!$F819&lt;&gt;"", DATEVALUE(MID($A819,4,3) &amp; LEFT($A819,3) &amp; RIGHT($A819,4)) + TIMEVALUE($B819), "")</f>
        <v/>
      </c>
      <c r="P819" s="36" t="str">
        <f>IF(Account!$F819&lt;&gt;"", DATEVALUE(MID($C819,4,3) &amp; LEFT($C819,3) &amp; RIGHT($C819,4)), "")</f>
        <v/>
      </c>
      <c r="Q819" s="37" t="str">
        <f t="array" ref="Q819">IF($R819&lt;&gt;"",IFERROR(INDEX(ISIN!$B:$B,MATCH($R819,ISIN!$C:$C,0))),)</f>
        <v/>
      </c>
      <c r="R819" s="38" t="str">
        <f t="array" ref="R819">IF($E819&lt;&gt;"",IFERROR(INDEX(ISIN!$C:$C,MATCH($E819,ISIN!$A:$A,0)),IFERROR(INDEX($R820:$R1200,MATCH($K819,$K820:$K1200,0)))),IF(AND($Y819="change",$H819="EUR"),IF($O819=$O820,$R820,IF($O819=$O818,$R818)),IFERROR(INDEX($R820:$R1200,MATCH(SUBSTITUTE($I819,"-","",1),$K820:$K1200,0)))))</f>
        <v/>
      </c>
      <c r="S819" s="37" t="str">
        <f t="shared" si="1"/>
        <v/>
      </c>
      <c r="T819" s="39" t="str">
        <f t="shared" si="2"/>
        <v/>
      </c>
      <c r="U819" s="40" t="str">
        <f t="shared" si="3"/>
        <v/>
      </c>
      <c r="V819" s="34" t="str">
        <f t="shared" si="4"/>
        <v/>
      </c>
      <c r="W819" s="41" t="str">
        <f>IFERROR(__xludf.DUMMYFUNCTION(" IF(Account!$F819&lt;&gt;"""", SPLIT(Account!$F819, "" ""), """")"),"")</f>
        <v/>
      </c>
      <c r="X819" s="42"/>
      <c r="Y819" s="42"/>
      <c r="Z819" s="42"/>
      <c r="AA819" s="42"/>
      <c r="AB819" s="42"/>
      <c r="AC819" s="42"/>
      <c r="AD819" s="42"/>
      <c r="AE819" s="42"/>
      <c r="AF819" s="42"/>
      <c r="AG819" s="42"/>
      <c r="AH819" s="42"/>
      <c r="AI819" s="42"/>
      <c r="AJ819" s="42"/>
      <c r="AK819" s="42"/>
    </row>
    <row r="820">
      <c r="A820" s="20"/>
      <c r="B820" s="20"/>
      <c r="C820" s="20"/>
      <c r="D820" s="45"/>
      <c r="E820" s="45"/>
      <c r="F820" s="21"/>
      <c r="G820" s="45"/>
      <c r="H820" s="20"/>
      <c r="I820" s="20"/>
      <c r="J820" s="20"/>
      <c r="K820" s="20"/>
      <c r="L820" s="46"/>
      <c r="M820" s="33" t="str">
        <f>IFERROR(__xludf.DUMMYFUNCTION("IFS(W820=""Achat"",IFERROR(VALUE(X820),VALUE(REGEXREPLACE(T(X820),""[^0-9]"",""""))),W820=""Vente"",-IFERROR(VALUE(X820),VALUE(REGEXREPLACE(T(X820),""[^0-9]"",""""))),Y820=""Change"",0,Y820&lt;&gt;""Change"","""")"),"")</f>
        <v/>
      </c>
      <c r="N820" s="34" t="str">
        <f>IFERROR(__xludf.DUMMYFUNCTION("IF(Account!$F820&lt;&gt;"""", VALUE(REGEXREPLACE($I820, ""\,"", ""."")), """")"),"")</f>
        <v/>
      </c>
      <c r="O820" s="35" t="str">
        <f>IF(Account!$F820&lt;&gt;"", DATEVALUE(MID($A820,4,3) &amp; LEFT($A820,3) &amp; RIGHT($A820,4)) + TIMEVALUE($B820), "")</f>
        <v/>
      </c>
      <c r="P820" s="36" t="str">
        <f>IF(Account!$F820&lt;&gt;"", DATEVALUE(MID($C820,4,3) &amp; LEFT($C820,3) &amp; RIGHT($C820,4)), "")</f>
        <v/>
      </c>
      <c r="Q820" s="37" t="str">
        <f t="array" ref="Q820">IF($R820&lt;&gt;"",IFERROR(INDEX(ISIN!$B:$B,MATCH($R820,ISIN!$C:$C,0))),)</f>
        <v/>
      </c>
      <c r="R820" s="38" t="str">
        <f t="array" ref="R820">IF($E820&lt;&gt;"",IFERROR(INDEX(ISIN!$C:$C,MATCH($E820,ISIN!$A:$A,0)),IFERROR(INDEX($R821:$R1200,MATCH($K820,$K821:$K1200,0)))),IF(AND($Y820="change",$H820="EUR"),IF($O820=$O821,$R821,IF($O820=$O819,$R819)),IFERROR(INDEX($R821:$R1200,MATCH(SUBSTITUTE($I820,"-","",1),$K821:$K1200,0)))))</f>
        <v/>
      </c>
      <c r="S820" s="37" t="str">
        <f t="shared" si="1"/>
        <v/>
      </c>
      <c r="T820" s="39" t="str">
        <f t="shared" si="2"/>
        <v/>
      </c>
      <c r="U820" s="40" t="str">
        <f t="shared" si="3"/>
        <v/>
      </c>
      <c r="V820" s="34" t="str">
        <f t="shared" si="4"/>
        <v/>
      </c>
      <c r="W820" s="41" t="str">
        <f>IFERROR(__xludf.DUMMYFUNCTION(" IF(Account!$F820&lt;&gt;"""", SPLIT(Account!$F820, "" ""), """")"),"")</f>
        <v/>
      </c>
      <c r="X820" s="42"/>
      <c r="Y820" s="42"/>
      <c r="Z820" s="42"/>
      <c r="AA820" s="42"/>
      <c r="AB820" s="42"/>
      <c r="AC820" s="42"/>
      <c r="AD820" s="42"/>
      <c r="AE820" s="42"/>
      <c r="AF820" s="42"/>
      <c r="AG820" s="42"/>
      <c r="AH820" s="42"/>
      <c r="AI820" s="42"/>
      <c r="AJ820" s="42"/>
      <c r="AK820" s="42"/>
    </row>
    <row r="821">
      <c r="A821" s="20"/>
      <c r="B821" s="20"/>
      <c r="C821" s="20"/>
      <c r="D821" s="20"/>
      <c r="E821" s="20"/>
      <c r="F821" s="21"/>
      <c r="G821" s="45"/>
      <c r="H821" s="45"/>
      <c r="I821" s="45"/>
      <c r="J821" s="20"/>
      <c r="K821" s="20"/>
      <c r="L821" s="46"/>
      <c r="M821" s="33" t="str">
        <f>IFERROR(__xludf.DUMMYFUNCTION("IFS(W821=""Achat"",IFERROR(VALUE(X821),VALUE(REGEXREPLACE(T(X821),""[^0-9]"",""""))),W821=""Vente"",-IFERROR(VALUE(X821),VALUE(REGEXREPLACE(T(X821),""[^0-9]"",""""))),Y821=""Change"",0,Y821&lt;&gt;""Change"","""")"),"")</f>
        <v/>
      </c>
      <c r="N821" s="34" t="str">
        <f>IFERROR(__xludf.DUMMYFUNCTION("IF(Account!$F821&lt;&gt;"""", VALUE(REGEXREPLACE($I821, ""\,"", ""."")), """")"),"")</f>
        <v/>
      </c>
      <c r="O821" s="35" t="str">
        <f>IF(Account!$F821&lt;&gt;"", DATEVALUE(MID($A821,4,3) &amp; LEFT($A821,3) &amp; RIGHT($A821,4)) + TIMEVALUE($B821), "")</f>
        <v/>
      </c>
      <c r="P821" s="36" t="str">
        <f>IF(Account!$F821&lt;&gt;"", DATEVALUE(MID($C821,4,3) &amp; LEFT($C821,3) &amp; RIGHT($C821,4)), "")</f>
        <v/>
      </c>
      <c r="Q821" s="37" t="str">
        <f t="array" ref="Q821">IF($R821&lt;&gt;"",IFERROR(INDEX(ISIN!$B:$B,MATCH($R821,ISIN!$C:$C,0))),)</f>
        <v/>
      </c>
      <c r="R821" s="38" t="str">
        <f t="array" ref="R821">IF($E821&lt;&gt;"",IFERROR(INDEX(ISIN!$C:$C,MATCH($E821,ISIN!$A:$A,0)),IFERROR(INDEX($R822:$R1200,MATCH($K821,$K822:$K1200,0)))),IF(AND($Y821="change",$H821="EUR"),IF($O821=$O822,$R822,IF($O821=$O820,$R820)),IFERROR(INDEX($R822:$R1200,MATCH(SUBSTITUTE($I821,"-","",1),$K822:$K1200,0)))))</f>
        <v/>
      </c>
      <c r="S821" s="37" t="str">
        <f t="shared" si="1"/>
        <v/>
      </c>
      <c r="T821" s="39" t="str">
        <f t="shared" si="2"/>
        <v/>
      </c>
      <c r="U821" s="40" t="str">
        <f t="shared" si="3"/>
        <v/>
      </c>
      <c r="V821" s="34" t="str">
        <f t="shared" si="4"/>
        <v/>
      </c>
      <c r="W821" s="41" t="str">
        <f>IFERROR(__xludf.DUMMYFUNCTION(" IF(Account!$F821&lt;&gt;"""", SPLIT(Account!$F821, "" ""), """")"),"")</f>
        <v/>
      </c>
      <c r="X821" s="42"/>
      <c r="Y821" s="42"/>
      <c r="Z821" s="42"/>
      <c r="AA821" s="42"/>
      <c r="AB821" s="42"/>
      <c r="AC821" s="42"/>
      <c r="AD821" s="42"/>
      <c r="AE821" s="42"/>
      <c r="AF821" s="42"/>
      <c r="AG821" s="42"/>
      <c r="AH821" s="42"/>
      <c r="AI821" s="42"/>
      <c r="AJ821" s="42"/>
      <c r="AK821" s="42"/>
    </row>
    <row r="822">
      <c r="A822" s="20"/>
      <c r="B822" s="20"/>
      <c r="C822" s="20"/>
      <c r="D822" s="45"/>
      <c r="E822" s="45"/>
      <c r="F822" s="21"/>
      <c r="G822" s="45"/>
      <c r="H822" s="20"/>
      <c r="I822" s="20"/>
      <c r="J822" s="20"/>
      <c r="K822" s="20"/>
      <c r="L822" s="46"/>
      <c r="M822" s="33" t="str">
        <f>IFERROR(__xludf.DUMMYFUNCTION("IFS(W822=""Achat"",IFERROR(VALUE(X822),VALUE(REGEXREPLACE(T(X822),""[^0-9]"",""""))),W822=""Vente"",-IFERROR(VALUE(X822),VALUE(REGEXREPLACE(T(X822),""[^0-9]"",""""))),Y822=""Change"",0,Y822&lt;&gt;""Change"","""")"),"")</f>
        <v/>
      </c>
      <c r="N822" s="34" t="str">
        <f>IFERROR(__xludf.DUMMYFUNCTION("IF(Account!$F822&lt;&gt;"""", VALUE(REGEXREPLACE($I822, ""\,"", ""."")), """")"),"")</f>
        <v/>
      </c>
      <c r="O822" s="35" t="str">
        <f>IF(Account!$F822&lt;&gt;"", DATEVALUE(MID($A822,4,3) &amp; LEFT($A822,3) &amp; RIGHT($A822,4)) + TIMEVALUE($B822), "")</f>
        <v/>
      </c>
      <c r="P822" s="36" t="str">
        <f>IF(Account!$F822&lt;&gt;"", DATEVALUE(MID($C822,4,3) &amp; LEFT($C822,3) &amp; RIGHT($C822,4)), "")</f>
        <v/>
      </c>
      <c r="Q822" s="37" t="str">
        <f t="array" ref="Q822">IF($R822&lt;&gt;"",IFERROR(INDEX(ISIN!$B:$B,MATCH($R822,ISIN!$C:$C,0))),)</f>
        <v/>
      </c>
      <c r="R822" s="38" t="str">
        <f t="array" ref="R822">IF($E822&lt;&gt;"",IFERROR(INDEX(ISIN!$C:$C,MATCH($E822,ISIN!$A:$A,0)),IFERROR(INDEX($R823:$R1200,MATCH($K822,$K823:$K1200,0)))),IF(AND($Y822="change",$H822="EUR"),IF($O822=$O823,$R823,IF($O822=$O821,$R821)),IFERROR(INDEX($R823:$R1200,MATCH(SUBSTITUTE($I822,"-","",1),$K823:$K1200,0)))))</f>
        <v/>
      </c>
      <c r="S822" s="37" t="str">
        <f t="shared" si="1"/>
        <v/>
      </c>
      <c r="T822" s="39" t="str">
        <f t="shared" si="2"/>
        <v/>
      </c>
      <c r="U822" s="40" t="str">
        <f t="shared" si="3"/>
        <v/>
      </c>
      <c r="V822" s="34" t="str">
        <f t="shared" si="4"/>
        <v/>
      </c>
      <c r="W822" s="41" t="str">
        <f>IFERROR(__xludf.DUMMYFUNCTION(" IF(Account!$F822&lt;&gt;"""", SPLIT(Account!$F822, "" ""), """")"),"")</f>
        <v/>
      </c>
      <c r="X822" s="42"/>
      <c r="Y822" s="42"/>
      <c r="Z822" s="42"/>
      <c r="AA822" s="42"/>
      <c r="AB822" s="42"/>
      <c r="AC822" s="42"/>
      <c r="AD822" s="42"/>
      <c r="AE822" s="42"/>
      <c r="AF822" s="42"/>
      <c r="AG822" s="42"/>
      <c r="AH822" s="42"/>
      <c r="AI822" s="42"/>
      <c r="AJ822" s="42"/>
      <c r="AK822" s="42"/>
    </row>
    <row r="823">
      <c r="A823" s="20"/>
      <c r="B823" s="20"/>
      <c r="C823" s="20"/>
      <c r="D823" s="45"/>
      <c r="E823" s="45"/>
      <c r="F823" s="21"/>
      <c r="G823" s="20"/>
      <c r="H823" s="20"/>
      <c r="I823" s="20"/>
      <c r="J823" s="20"/>
      <c r="K823" s="20"/>
      <c r="L823" s="46"/>
      <c r="M823" s="33" t="str">
        <f>IFERROR(__xludf.DUMMYFUNCTION("IFS(W823=""Achat"",IFERROR(VALUE(X823),VALUE(REGEXREPLACE(T(X823),""[^0-9]"",""""))),W823=""Vente"",-IFERROR(VALUE(X823),VALUE(REGEXREPLACE(T(X823),""[^0-9]"",""""))),Y823=""Change"",0,Y823&lt;&gt;""Change"","""")"),"")</f>
        <v/>
      </c>
      <c r="N823" s="34" t="str">
        <f>IFERROR(__xludf.DUMMYFUNCTION("IF(Account!$F823&lt;&gt;"""", VALUE(REGEXREPLACE($I823, ""\,"", ""."")), """")"),"")</f>
        <v/>
      </c>
      <c r="O823" s="35" t="str">
        <f>IF(Account!$F823&lt;&gt;"", DATEVALUE(MID($A823,4,3) &amp; LEFT($A823,3) &amp; RIGHT($A823,4)) + TIMEVALUE($B823), "")</f>
        <v/>
      </c>
      <c r="P823" s="36" t="str">
        <f>IF(Account!$F823&lt;&gt;"", DATEVALUE(MID($C823,4,3) &amp; LEFT($C823,3) &amp; RIGHT($C823,4)), "")</f>
        <v/>
      </c>
      <c r="Q823" s="37" t="str">
        <f t="array" ref="Q823">IF($R823&lt;&gt;"",IFERROR(INDEX(ISIN!$B:$B,MATCH($R823,ISIN!$C:$C,0))),)</f>
        <v/>
      </c>
      <c r="R823" s="38" t="str">
        <f t="array" ref="R823">IF($E823&lt;&gt;"",IFERROR(INDEX(ISIN!$C:$C,MATCH($E823,ISIN!$A:$A,0)),IFERROR(INDEX($R824:$R1200,MATCH($K823,$K824:$K1200,0)))),IF(AND($Y823="change",$H823="EUR"),IF($O823=$O824,$R824,IF($O823=$O822,$R822)),IFERROR(INDEX($R824:$R1200,MATCH(SUBSTITUTE($I823,"-","",1),$K824:$K1200,0)))))</f>
        <v/>
      </c>
      <c r="S823" s="37" t="str">
        <f t="shared" si="1"/>
        <v/>
      </c>
      <c r="T823" s="39" t="str">
        <f t="shared" si="2"/>
        <v/>
      </c>
      <c r="U823" s="40" t="str">
        <f t="shared" si="3"/>
        <v/>
      </c>
      <c r="V823" s="34" t="str">
        <f t="shared" si="4"/>
        <v/>
      </c>
      <c r="W823" s="41" t="str">
        <f>IFERROR(__xludf.DUMMYFUNCTION(" IF(Account!$F823&lt;&gt;"""", SPLIT(Account!$F823, "" ""), """")"),"")</f>
        <v/>
      </c>
      <c r="X823" s="42"/>
      <c r="Y823" s="42"/>
      <c r="Z823" s="42"/>
      <c r="AA823" s="42"/>
      <c r="AB823" s="42"/>
      <c r="AC823" s="42"/>
      <c r="AD823" s="42"/>
      <c r="AE823" s="42"/>
      <c r="AF823" s="42"/>
      <c r="AG823" s="42"/>
      <c r="AH823" s="42"/>
      <c r="AI823" s="42"/>
      <c r="AJ823" s="42"/>
      <c r="AK823" s="42"/>
    </row>
    <row r="824">
      <c r="A824" s="20"/>
      <c r="B824" s="20"/>
      <c r="C824" s="20"/>
      <c r="D824" s="20"/>
      <c r="E824" s="20"/>
      <c r="F824" s="21"/>
      <c r="G824" s="20"/>
      <c r="H824" s="20"/>
      <c r="I824" s="20"/>
      <c r="J824" s="20"/>
      <c r="K824" s="20"/>
      <c r="L824" s="21"/>
      <c r="M824" s="33" t="str">
        <f>IFERROR(__xludf.DUMMYFUNCTION("IFS(W824=""Achat"",IFERROR(VALUE(X824),VALUE(REGEXREPLACE(T(X824),""[^0-9]"",""""))),W824=""Vente"",-IFERROR(VALUE(X824),VALUE(REGEXREPLACE(T(X824),""[^0-9]"",""""))),Y824=""Change"",0,Y824&lt;&gt;""Change"","""")"),"")</f>
        <v/>
      </c>
      <c r="N824" s="34" t="str">
        <f>IFERROR(__xludf.DUMMYFUNCTION("IF(Account!$F824&lt;&gt;"""", VALUE(REGEXREPLACE($I824, ""\,"", ""."")), """")"),"")</f>
        <v/>
      </c>
      <c r="O824" s="35" t="str">
        <f>IF(Account!$F824&lt;&gt;"", DATEVALUE(MID($A824,4,3) &amp; LEFT($A824,3) &amp; RIGHT($A824,4)) + TIMEVALUE($B824), "")</f>
        <v/>
      </c>
      <c r="P824" s="36" t="str">
        <f>IF(Account!$F824&lt;&gt;"", DATEVALUE(MID($C824,4,3) &amp; LEFT($C824,3) &amp; RIGHT($C824,4)), "")</f>
        <v/>
      </c>
      <c r="Q824" s="37" t="str">
        <f t="array" ref="Q824">IF($R824&lt;&gt;"",IFERROR(INDEX(ISIN!$B:$B,MATCH($R824,ISIN!$C:$C,0))),)</f>
        <v/>
      </c>
      <c r="R824" s="38" t="str">
        <f t="array" ref="R824">IF($E824&lt;&gt;"",IFERROR(INDEX(ISIN!$C:$C,MATCH($E824,ISIN!$A:$A,0)),IFERROR(INDEX($R825:$R1200,MATCH($K824,$K825:$K1200,0)))),IF(AND($Y824="change",$H824="EUR"),IF($O824=$O825,$R825,IF($O824=$O823,$R823)),IFERROR(INDEX($R825:$R1200,MATCH(SUBSTITUTE($I824,"-","",1),$K825:$K1200,0)))))</f>
        <v/>
      </c>
      <c r="S824" s="37" t="str">
        <f t="shared" si="1"/>
        <v/>
      </c>
      <c r="T824" s="39" t="str">
        <f t="shared" si="2"/>
        <v/>
      </c>
      <c r="U824" s="40" t="str">
        <f t="shared" si="3"/>
        <v/>
      </c>
      <c r="V824" s="34" t="str">
        <f t="shared" si="4"/>
        <v/>
      </c>
      <c r="W824" s="41" t="str">
        <f>IFERROR(__xludf.DUMMYFUNCTION(" IF(Account!$F824&lt;&gt;"""", SPLIT(Account!$F824, "" ""), """")"),"")</f>
        <v/>
      </c>
      <c r="X824" s="42"/>
      <c r="Y824" s="42"/>
      <c r="Z824" s="42"/>
      <c r="AA824" s="42"/>
      <c r="AB824" s="42"/>
      <c r="AC824" s="42"/>
      <c r="AD824" s="42"/>
      <c r="AE824" s="42"/>
      <c r="AF824" s="42"/>
      <c r="AG824" s="42"/>
      <c r="AH824" s="42"/>
      <c r="AI824" s="42"/>
      <c r="AJ824" s="42"/>
      <c r="AK824" s="42"/>
    </row>
    <row r="825">
      <c r="A825" s="20"/>
      <c r="B825" s="20"/>
      <c r="C825" s="20"/>
      <c r="D825" s="20"/>
      <c r="E825" s="20"/>
      <c r="F825" s="21"/>
      <c r="G825" s="45"/>
      <c r="H825" s="20"/>
      <c r="I825" s="20"/>
      <c r="J825" s="20"/>
      <c r="K825" s="20"/>
      <c r="L825" s="21"/>
      <c r="M825" s="33" t="str">
        <f>IFERROR(__xludf.DUMMYFUNCTION("IFS(W825=""Achat"",IFERROR(VALUE(X825),VALUE(REGEXREPLACE(T(X825),""[^0-9]"",""""))),W825=""Vente"",-IFERROR(VALUE(X825),VALUE(REGEXREPLACE(T(X825),""[^0-9]"",""""))),Y825=""Change"",0,Y825&lt;&gt;""Change"","""")"),"")</f>
        <v/>
      </c>
      <c r="N825" s="34" t="str">
        <f>IFERROR(__xludf.DUMMYFUNCTION("IF(Account!$F825&lt;&gt;"""", VALUE(REGEXREPLACE($I825, ""\,"", ""."")), """")"),"")</f>
        <v/>
      </c>
      <c r="O825" s="35" t="str">
        <f>IF(Account!$F825&lt;&gt;"", DATEVALUE(MID($A825,4,3) &amp; LEFT($A825,3) &amp; RIGHT($A825,4)) + TIMEVALUE($B825), "")</f>
        <v/>
      </c>
      <c r="P825" s="36" t="str">
        <f>IF(Account!$F825&lt;&gt;"", DATEVALUE(MID($C825,4,3) &amp; LEFT($C825,3) &amp; RIGHT($C825,4)), "")</f>
        <v/>
      </c>
      <c r="Q825" s="37" t="str">
        <f t="array" ref="Q825">IF($R825&lt;&gt;"",IFERROR(INDEX(ISIN!$B:$B,MATCH($R825,ISIN!$C:$C,0))),)</f>
        <v/>
      </c>
      <c r="R825" s="38" t="str">
        <f t="array" ref="R825">IF($E825&lt;&gt;"",IFERROR(INDEX(ISIN!$C:$C,MATCH($E825,ISIN!$A:$A,0)),IFERROR(INDEX($R826:$R1200,MATCH($K825,$K826:$K1200,0)))),IF(AND($Y825="change",$H825="EUR"),IF($O825=$O826,$R826,IF($O825=$O824,$R824)),IFERROR(INDEX($R826:$R1200,MATCH(SUBSTITUTE($I825,"-","",1),$K826:$K1200,0)))))</f>
        <v/>
      </c>
      <c r="S825" s="37" t="str">
        <f t="shared" si="1"/>
        <v/>
      </c>
      <c r="T825" s="39" t="str">
        <f t="shared" si="2"/>
        <v/>
      </c>
      <c r="U825" s="40" t="str">
        <f t="shared" si="3"/>
        <v/>
      </c>
      <c r="V825" s="34" t="str">
        <f t="shared" si="4"/>
        <v/>
      </c>
      <c r="W825" s="41" t="str">
        <f>IFERROR(__xludf.DUMMYFUNCTION(" IF(Account!$F825&lt;&gt;"""", SPLIT(Account!$F825, "" ""), """")"),"")</f>
        <v/>
      </c>
      <c r="X825" s="42"/>
      <c r="Y825" s="42"/>
      <c r="Z825" s="42"/>
      <c r="AA825" s="42"/>
      <c r="AB825" s="42"/>
      <c r="AC825" s="42"/>
      <c r="AD825" s="42"/>
      <c r="AE825" s="42"/>
      <c r="AF825" s="42"/>
      <c r="AG825" s="42"/>
      <c r="AH825" s="42"/>
      <c r="AI825" s="42"/>
      <c r="AJ825" s="42"/>
      <c r="AK825" s="42"/>
    </row>
    <row r="826">
      <c r="A826" s="20"/>
      <c r="B826" s="20"/>
      <c r="C826" s="20"/>
      <c r="D826" s="20"/>
      <c r="E826" s="20"/>
      <c r="F826" s="21"/>
      <c r="G826" s="45"/>
      <c r="H826" s="20"/>
      <c r="I826" s="20"/>
      <c r="J826" s="20"/>
      <c r="K826" s="20"/>
      <c r="L826" s="21"/>
      <c r="M826" s="33" t="str">
        <f>IFERROR(__xludf.DUMMYFUNCTION("IFS(W826=""Achat"",IFERROR(VALUE(X826),VALUE(REGEXREPLACE(T(X826),""[^0-9]"",""""))),W826=""Vente"",-IFERROR(VALUE(X826),VALUE(REGEXREPLACE(T(X826),""[^0-9]"",""""))),Y826=""Change"",0,Y826&lt;&gt;""Change"","""")"),"")</f>
        <v/>
      </c>
      <c r="N826" s="34" t="str">
        <f>IFERROR(__xludf.DUMMYFUNCTION("IF(Account!$F826&lt;&gt;"""", VALUE(REGEXREPLACE($I826, ""\,"", ""."")), """")"),"")</f>
        <v/>
      </c>
      <c r="O826" s="35" t="str">
        <f>IF(Account!$F826&lt;&gt;"", DATEVALUE(MID($A826,4,3) &amp; LEFT($A826,3) &amp; RIGHT($A826,4)) + TIMEVALUE($B826), "")</f>
        <v/>
      </c>
      <c r="P826" s="36" t="str">
        <f>IF(Account!$F826&lt;&gt;"", DATEVALUE(MID($C826,4,3) &amp; LEFT($C826,3) &amp; RIGHT($C826,4)), "")</f>
        <v/>
      </c>
      <c r="Q826" s="37" t="str">
        <f t="array" ref="Q826">IF($R826&lt;&gt;"",IFERROR(INDEX(ISIN!$B:$B,MATCH($R826,ISIN!$C:$C,0))),)</f>
        <v/>
      </c>
      <c r="R826" s="38" t="str">
        <f t="array" ref="R826">IF($E826&lt;&gt;"",IFERROR(INDEX(ISIN!$C:$C,MATCH($E826,ISIN!$A:$A,0)),IFERROR(INDEX($R827:$R1200,MATCH($K826,$K827:$K1200,0)))),IF(AND($Y826="change",$H826="EUR"),IF($O826=$O827,$R827,IF($O826=$O825,$R825)),IFERROR(INDEX($R827:$R1200,MATCH(SUBSTITUTE($I826,"-","",1),$K827:$K1200,0)))))</f>
        <v/>
      </c>
      <c r="S826" s="37" t="str">
        <f t="shared" si="1"/>
        <v/>
      </c>
      <c r="T826" s="39" t="str">
        <f t="shared" si="2"/>
        <v/>
      </c>
      <c r="U826" s="40" t="str">
        <f t="shared" si="3"/>
        <v/>
      </c>
      <c r="V826" s="34" t="str">
        <f t="shared" si="4"/>
        <v/>
      </c>
      <c r="W826" s="41" t="str">
        <f>IFERROR(__xludf.DUMMYFUNCTION(" IF(Account!$F826&lt;&gt;"""", SPLIT(Account!$F826, "" ""), """")"),"")</f>
        <v/>
      </c>
      <c r="X826" s="42"/>
      <c r="Y826" s="42"/>
      <c r="Z826" s="42"/>
      <c r="AA826" s="42"/>
      <c r="AB826" s="42"/>
      <c r="AC826" s="42"/>
      <c r="AD826" s="42"/>
      <c r="AE826" s="42"/>
      <c r="AF826" s="42"/>
      <c r="AG826" s="42"/>
      <c r="AH826" s="42"/>
      <c r="AI826" s="42"/>
      <c r="AJ826" s="42"/>
      <c r="AK826" s="42"/>
    </row>
    <row r="827">
      <c r="A827" s="20"/>
      <c r="B827" s="20"/>
      <c r="C827" s="20"/>
      <c r="D827" s="20"/>
      <c r="E827" s="20"/>
      <c r="F827" s="21"/>
      <c r="G827" s="45"/>
      <c r="H827" s="20"/>
      <c r="I827" s="20"/>
      <c r="J827" s="20"/>
      <c r="K827" s="20"/>
      <c r="L827" s="21"/>
      <c r="M827" s="33" t="str">
        <f>IFERROR(__xludf.DUMMYFUNCTION("IFS(W827=""Achat"",IFERROR(VALUE(X827),VALUE(REGEXREPLACE(T(X827),""[^0-9]"",""""))),W827=""Vente"",-IFERROR(VALUE(X827),VALUE(REGEXREPLACE(T(X827),""[^0-9]"",""""))),Y827=""Change"",0,Y827&lt;&gt;""Change"","""")"),"")</f>
        <v/>
      </c>
      <c r="N827" s="34" t="str">
        <f>IFERROR(__xludf.DUMMYFUNCTION("IF(Account!$F827&lt;&gt;"""", VALUE(REGEXREPLACE($I827, ""\,"", ""."")), """")"),"")</f>
        <v/>
      </c>
      <c r="O827" s="35" t="str">
        <f>IF(Account!$F827&lt;&gt;"", DATEVALUE(MID($A827,4,3) &amp; LEFT($A827,3) &amp; RIGHT($A827,4)) + TIMEVALUE($B827), "")</f>
        <v/>
      </c>
      <c r="P827" s="36" t="str">
        <f>IF(Account!$F827&lt;&gt;"", DATEVALUE(MID($C827,4,3) &amp; LEFT($C827,3) &amp; RIGHT($C827,4)), "")</f>
        <v/>
      </c>
      <c r="Q827" s="37" t="str">
        <f t="array" ref="Q827">IF($R827&lt;&gt;"",IFERROR(INDEX(ISIN!$B:$B,MATCH($R827,ISIN!$C:$C,0))),)</f>
        <v/>
      </c>
      <c r="R827" s="38" t="str">
        <f t="array" ref="R827">IF($E827&lt;&gt;"",IFERROR(INDEX(ISIN!$C:$C,MATCH($E827,ISIN!$A:$A,0)),IFERROR(INDEX($R828:$R1200,MATCH($K827,$K828:$K1200,0)))),IF(AND($Y827="change",$H827="EUR"),IF($O827=$O828,$R828,IF($O827=$O826,$R826)),IFERROR(INDEX($R828:$R1200,MATCH(SUBSTITUTE($I827,"-","",1),$K828:$K1200,0)))))</f>
        <v/>
      </c>
      <c r="S827" s="37" t="str">
        <f t="shared" si="1"/>
        <v/>
      </c>
      <c r="T827" s="39" t="str">
        <f t="shared" si="2"/>
        <v/>
      </c>
      <c r="U827" s="40" t="str">
        <f t="shared" si="3"/>
        <v/>
      </c>
      <c r="V827" s="34" t="str">
        <f t="shared" si="4"/>
        <v/>
      </c>
      <c r="W827" s="41" t="str">
        <f>IFERROR(__xludf.DUMMYFUNCTION(" IF(Account!$F827&lt;&gt;"""", SPLIT(Account!$F827, "" ""), """")"),"")</f>
        <v/>
      </c>
      <c r="X827" s="42"/>
      <c r="Y827" s="42"/>
      <c r="Z827" s="42"/>
      <c r="AA827" s="42"/>
      <c r="AB827" s="42"/>
      <c r="AC827" s="42"/>
      <c r="AD827" s="42"/>
      <c r="AE827" s="42"/>
      <c r="AF827" s="42"/>
      <c r="AG827" s="42"/>
      <c r="AH827" s="42"/>
      <c r="AI827" s="42"/>
      <c r="AJ827" s="42"/>
      <c r="AK827" s="42"/>
    </row>
    <row r="828">
      <c r="A828" s="20"/>
      <c r="B828" s="20"/>
      <c r="C828" s="20"/>
      <c r="D828" s="20"/>
      <c r="E828" s="20"/>
      <c r="F828" s="21"/>
      <c r="G828" s="45"/>
      <c r="H828" s="20"/>
      <c r="I828" s="20"/>
      <c r="J828" s="20"/>
      <c r="K828" s="20"/>
      <c r="L828" s="21"/>
      <c r="M828" s="33" t="str">
        <f>IFERROR(__xludf.DUMMYFUNCTION("IFS(W828=""Achat"",IFERROR(VALUE(X828),VALUE(REGEXREPLACE(T(X828),""[^0-9]"",""""))),W828=""Vente"",-IFERROR(VALUE(X828),VALUE(REGEXREPLACE(T(X828),""[^0-9]"",""""))),Y828=""Change"",0,Y828&lt;&gt;""Change"","""")"),"")</f>
        <v/>
      </c>
      <c r="N828" s="34" t="str">
        <f>IFERROR(__xludf.DUMMYFUNCTION("IF(Account!$F828&lt;&gt;"""", VALUE(REGEXREPLACE($I828, ""\,"", ""."")), """")"),"")</f>
        <v/>
      </c>
      <c r="O828" s="35" t="str">
        <f>IF(Account!$F828&lt;&gt;"", DATEVALUE(MID($A828,4,3) &amp; LEFT($A828,3) &amp; RIGHT($A828,4)) + TIMEVALUE($B828), "")</f>
        <v/>
      </c>
      <c r="P828" s="36" t="str">
        <f>IF(Account!$F828&lt;&gt;"", DATEVALUE(MID($C828,4,3) &amp; LEFT($C828,3) &amp; RIGHT($C828,4)), "")</f>
        <v/>
      </c>
      <c r="Q828" s="37" t="str">
        <f t="array" ref="Q828">IF($R828&lt;&gt;"",IFERROR(INDEX(ISIN!$B:$B,MATCH($R828,ISIN!$C:$C,0))),)</f>
        <v/>
      </c>
      <c r="R828" s="38" t="str">
        <f t="array" ref="R828">IF($E828&lt;&gt;"",IFERROR(INDEX(ISIN!$C:$C,MATCH($E828,ISIN!$A:$A,0)),IFERROR(INDEX($R829:$R1200,MATCH($K828,$K829:$K1200,0)))),IF(AND($Y828="change",$H828="EUR"),IF($O828=$O829,$R829,IF($O828=$O827,$R827)),IFERROR(INDEX($R829:$R1200,MATCH(SUBSTITUTE($I828,"-","",1),$K829:$K1200,0)))))</f>
        <v/>
      </c>
      <c r="S828" s="37" t="str">
        <f t="shared" si="1"/>
        <v/>
      </c>
      <c r="T828" s="39" t="str">
        <f t="shared" si="2"/>
        <v/>
      </c>
      <c r="U828" s="40" t="str">
        <f t="shared" si="3"/>
        <v/>
      </c>
      <c r="V828" s="34" t="str">
        <f t="shared" si="4"/>
        <v/>
      </c>
      <c r="W828" s="41" t="str">
        <f>IFERROR(__xludf.DUMMYFUNCTION(" IF(Account!$F828&lt;&gt;"""", SPLIT(Account!$F828, "" ""), """")"),"")</f>
        <v/>
      </c>
      <c r="X828" s="42"/>
      <c r="Y828" s="42"/>
      <c r="Z828" s="42"/>
      <c r="AA828" s="42"/>
      <c r="AB828" s="42"/>
      <c r="AC828" s="42"/>
      <c r="AD828" s="42"/>
      <c r="AE828" s="42"/>
      <c r="AF828" s="42"/>
      <c r="AG828" s="42"/>
      <c r="AH828" s="42"/>
      <c r="AI828" s="42"/>
      <c r="AJ828" s="42"/>
      <c r="AK828" s="42"/>
    </row>
    <row r="829">
      <c r="A829" s="20"/>
      <c r="B829" s="20"/>
      <c r="C829" s="20"/>
      <c r="D829" s="20"/>
      <c r="E829" s="20"/>
      <c r="F829" s="21"/>
      <c r="G829" s="20"/>
      <c r="H829" s="20"/>
      <c r="I829" s="20"/>
      <c r="J829" s="20"/>
      <c r="K829" s="20"/>
      <c r="L829" s="21"/>
      <c r="M829" s="33" t="str">
        <f>IFERROR(__xludf.DUMMYFUNCTION("IFS(W829=""Achat"",IFERROR(VALUE(X829),VALUE(REGEXREPLACE(T(X829),""[^0-9]"",""""))),W829=""Vente"",-IFERROR(VALUE(X829),VALUE(REGEXREPLACE(T(X829),""[^0-9]"",""""))),Y829=""Change"",0,Y829&lt;&gt;""Change"","""")"),"")</f>
        <v/>
      </c>
      <c r="N829" s="34" t="str">
        <f>IFERROR(__xludf.DUMMYFUNCTION("IF(Account!$F829&lt;&gt;"""", VALUE(REGEXREPLACE($I829, ""\,"", ""."")), """")"),"")</f>
        <v/>
      </c>
      <c r="O829" s="35" t="str">
        <f>IF(Account!$F829&lt;&gt;"", DATEVALUE(MID($A829,4,3) &amp; LEFT($A829,3) &amp; RIGHT($A829,4)) + TIMEVALUE($B829), "")</f>
        <v/>
      </c>
      <c r="P829" s="36" t="str">
        <f>IF(Account!$F829&lt;&gt;"", DATEVALUE(MID($C829,4,3) &amp; LEFT($C829,3) &amp; RIGHT($C829,4)), "")</f>
        <v/>
      </c>
      <c r="Q829" s="37" t="str">
        <f t="array" ref="Q829">IF($R829&lt;&gt;"",IFERROR(INDEX(ISIN!$B:$B,MATCH($R829,ISIN!$C:$C,0))),)</f>
        <v/>
      </c>
      <c r="R829" s="38" t="str">
        <f t="array" ref="R829">IF($E829&lt;&gt;"",IFERROR(INDEX(ISIN!$C:$C,MATCH($E829,ISIN!$A:$A,0)),IFERROR(INDEX($R830:$R1200,MATCH($K829,$K830:$K1200,0)))),IF(AND($Y829="change",$H829="EUR"),IF($O829=$O830,$R830,IF($O829=$O828,$R828)),IFERROR(INDEX($R830:$R1200,MATCH(SUBSTITUTE($I829,"-","",1),$K830:$K1200,0)))))</f>
        <v/>
      </c>
      <c r="S829" s="37" t="str">
        <f t="shared" si="1"/>
        <v/>
      </c>
      <c r="T829" s="39" t="str">
        <f t="shared" si="2"/>
        <v/>
      </c>
      <c r="U829" s="40" t="str">
        <f t="shared" si="3"/>
        <v/>
      </c>
      <c r="V829" s="34" t="str">
        <f t="shared" si="4"/>
        <v/>
      </c>
      <c r="W829" s="41" t="str">
        <f>IFERROR(__xludf.DUMMYFUNCTION(" IF(Account!$F829&lt;&gt;"""", SPLIT(Account!$F829, "" ""), """")"),"")</f>
        <v/>
      </c>
      <c r="X829" s="42"/>
      <c r="Y829" s="42"/>
      <c r="Z829" s="42"/>
      <c r="AA829" s="42"/>
      <c r="AB829" s="42"/>
      <c r="AC829" s="42"/>
      <c r="AD829" s="42"/>
      <c r="AE829" s="42"/>
      <c r="AF829" s="42"/>
      <c r="AG829" s="42"/>
      <c r="AH829" s="42"/>
      <c r="AI829" s="42"/>
      <c r="AJ829" s="42"/>
      <c r="AK829" s="42"/>
    </row>
    <row r="830">
      <c r="A830" s="20"/>
      <c r="B830" s="20"/>
      <c r="C830" s="20"/>
      <c r="D830" s="20"/>
      <c r="E830" s="20"/>
      <c r="F830" s="21"/>
      <c r="G830" s="45"/>
      <c r="H830" s="20"/>
      <c r="I830" s="20"/>
      <c r="J830" s="20"/>
      <c r="K830" s="20"/>
      <c r="L830" s="21"/>
      <c r="M830" s="33" t="str">
        <f>IFERROR(__xludf.DUMMYFUNCTION("IFS(W830=""Achat"",IFERROR(VALUE(X830),VALUE(REGEXREPLACE(T(X830),""[^0-9]"",""""))),W830=""Vente"",-IFERROR(VALUE(X830),VALUE(REGEXREPLACE(T(X830),""[^0-9]"",""""))),Y830=""Change"",0,Y830&lt;&gt;""Change"","""")"),"")</f>
        <v/>
      </c>
      <c r="N830" s="34" t="str">
        <f>IFERROR(__xludf.DUMMYFUNCTION("IF(Account!$F830&lt;&gt;"""", VALUE(REGEXREPLACE($I830, ""\,"", ""."")), """")"),"")</f>
        <v/>
      </c>
      <c r="O830" s="35" t="str">
        <f>IF(Account!$F830&lt;&gt;"", DATEVALUE(MID($A830,4,3) &amp; LEFT($A830,3) &amp; RIGHT($A830,4)) + TIMEVALUE($B830), "")</f>
        <v/>
      </c>
      <c r="P830" s="36" t="str">
        <f>IF(Account!$F830&lt;&gt;"", DATEVALUE(MID($C830,4,3) &amp; LEFT($C830,3) &amp; RIGHT($C830,4)), "")</f>
        <v/>
      </c>
      <c r="Q830" s="37" t="str">
        <f t="array" ref="Q830">IF($R830&lt;&gt;"",IFERROR(INDEX(ISIN!$B:$B,MATCH($R830,ISIN!$C:$C,0))),)</f>
        <v/>
      </c>
      <c r="R830" s="38" t="str">
        <f t="array" ref="R830">IF($E830&lt;&gt;"",IFERROR(INDEX(ISIN!$C:$C,MATCH($E830,ISIN!$A:$A,0)),IFERROR(INDEX($R831:$R1200,MATCH($K830,$K831:$K1200,0)))),IF(AND($Y830="change",$H830="EUR"),IF($O830=$O831,$R831,IF($O830=$O829,$R829)),IFERROR(INDEX($R831:$R1200,MATCH(SUBSTITUTE($I830,"-","",1),$K831:$K1200,0)))))</f>
        <v/>
      </c>
      <c r="S830" s="37" t="str">
        <f t="shared" si="1"/>
        <v/>
      </c>
      <c r="T830" s="39" t="str">
        <f t="shared" si="2"/>
        <v/>
      </c>
      <c r="U830" s="40" t="str">
        <f t="shared" si="3"/>
        <v/>
      </c>
      <c r="V830" s="34" t="str">
        <f t="shared" si="4"/>
        <v/>
      </c>
      <c r="W830" s="41" t="str">
        <f>IFERROR(__xludf.DUMMYFUNCTION(" IF(Account!$F830&lt;&gt;"""", SPLIT(Account!$F830, "" ""), """")"),"")</f>
        <v/>
      </c>
      <c r="X830" s="42"/>
      <c r="Y830" s="42"/>
      <c r="Z830" s="42"/>
      <c r="AA830" s="42"/>
      <c r="AB830" s="42"/>
      <c r="AC830" s="42"/>
      <c r="AD830" s="42"/>
      <c r="AE830" s="42"/>
      <c r="AF830" s="42"/>
      <c r="AG830" s="42"/>
      <c r="AH830" s="42"/>
      <c r="AI830" s="42"/>
      <c r="AJ830" s="42"/>
      <c r="AK830" s="42"/>
    </row>
    <row r="831">
      <c r="A831" s="20"/>
      <c r="B831" s="20"/>
      <c r="C831" s="20"/>
      <c r="D831" s="20"/>
      <c r="E831" s="20"/>
      <c r="F831" s="21"/>
      <c r="G831" s="45"/>
      <c r="H831" s="20"/>
      <c r="I831" s="20"/>
      <c r="J831" s="20"/>
      <c r="K831" s="20"/>
      <c r="L831" s="21"/>
      <c r="M831" s="33" t="str">
        <f>IFERROR(__xludf.DUMMYFUNCTION("IFS(W831=""Achat"",IFERROR(VALUE(X831),VALUE(REGEXREPLACE(T(X831),""[^0-9]"",""""))),W831=""Vente"",-IFERROR(VALUE(X831),VALUE(REGEXREPLACE(T(X831),""[^0-9]"",""""))),Y831=""Change"",0,Y831&lt;&gt;""Change"","""")"),"")</f>
        <v/>
      </c>
      <c r="N831" s="34" t="str">
        <f>IFERROR(__xludf.DUMMYFUNCTION("IF(Account!$F831&lt;&gt;"""", VALUE(REGEXREPLACE($I831, ""\,"", ""."")), """")"),"")</f>
        <v/>
      </c>
      <c r="O831" s="35" t="str">
        <f>IF(Account!$F831&lt;&gt;"", DATEVALUE(MID($A831,4,3) &amp; LEFT($A831,3) &amp; RIGHT($A831,4)) + TIMEVALUE($B831), "")</f>
        <v/>
      </c>
      <c r="P831" s="36" t="str">
        <f>IF(Account!$F831&lt;&gt;"", DATEVALUE(MID($C831,4,3) &amp; LEFT($C831,3) &amp; RIGHT($C831,4)), "")</f>
        <v/>
      </c>
      <c r="Q831" s="37" t="str">
        <f t="array" ref="Q831">IF($R831&lt;&gt;"",IFERROR(INDEX(ISIN!$B:$B,MATCH($R831,ISIN!$C:$C,0))),)</f>
        <v/>
      </c>
      <c r="R831" s="38" t="str">
        <f t="array" ref="R831">IF($E831&lt;&gt;"",IFERROR(INDEX(ISIN!$C:$C,MATCH($E831,ISIN!$A:$A,0)),IFERROR(INDEX($R832:$R1200,MATCH($K831,$K832:$K1200,0)))),IF(AND($Y831="change",$H831="EUR"),IF($O831=$O832,$R832,IF($O831=$O830,$R830)),IFERROR(INDEX($R832:$R1200,MATCH(SUBSTITUTE($I831,"-","",1),$K832:$K1200,0)))))</f>
        <v/>
      </c>
      <c r="S831" s="37" t="str">
        <f t="shared" si="1"/>
        <v/>
      </c>
      <c r="T831" s="39" t="str">
        <f t="shared" si="2"/>
        <v/>
      </c>
      <c r="U831" s="40" t="str">
        <f t="shared" si="3"/>
        <v/>
      </c>
      <c r="V831" s="34" t="str">
        <f t="shared" si="4"/>
        <v/>
      </c>
      <c r="W831" s="41" t="str">
        <f>IFERROR(__xludf.DUMMYFUNCTION(" IF(Account!$F831&lt;&gt;"""", SPLIT(Account!$F831, "" ""), """")"),"")</f>
        <v/>
      </c>
      <c r="X831" s="42"/>
      <c r="Y831" s="42"/>
      <c r="Z831" s="42"/>
      <c r="AA831" s="42"/>
      <c r="AB831" s="42"/>
      <c r="AC831" s="42"/>
      <c r="AD831" s="42"/>
      <c r="AE831" s="42"/>
      <c r="AF831" s="42"/>
      <c r="AG831" s="42"/>
      <c r="AH831" s="42"/>
      <c r="AI831" s="42"/>
      <c r="AJ831" s="42"/>
      <c r="AK831" s="42"/>
    </row>
    <row r="832">
      <c r="A832" s="20"/>
      <c r="B832" s="20"/>
      <c r="C832" s="20"/>
      <c r="D832" s="20"/>
      <c r="E832" s="20"/>
      <c r="F832" s="21"/>
      <c r="G832" s="20"/>
      <c r="H832" s="20"/>
      <c r="I832" s="20"/>
      <c r="J832" s="20"/>
      <c r="K832" s="20"/>
      <c r="L832" s="21"/>
      <c r="M832" s="33" t="str">
        <f>IFERROR(__xludf.DUMMYFUNCTION("IFS(W832=""Achat"",IFERROR(VALUE(X832),VALUE(REGEXREPLACE(T(X832),""[^0-9]"",""""))),W832=""Vente"",-IFERROR(VALUE(X832),VALUE(REGEXREPLACE(T(X832),""[^0-9]"",""""))),Y832=""Change"",0,Y832&lt;&gt;""Change"","""")"),"")</f>
        <v/>
      </c>
      <c r="N832" s="34" t="str">
        <f>IFERROR(__xludf.DUMMYFUNCTION("IF(Account!$F832&lt;&gt;"""", VALUE(REGEXREPLACE($I832, ""\,"", ""."")), """")"),"")</f>
        <v/>
      </c>
      <c r="O832" s="35" t="str">
        <f>IF(Account!$F832&lt;&gt;"", DATEVALUE(MID($A832,4,3) &amp; LEFT($A832,3) &amp; RIGHT($A832,4)) + TIMEVALUE($B832), "")</f>
        <v/>
      </c>
      <c r="P832" s="36" t="str">
        <f>IF(Account!$F832&lt;&gt;"", DATEVALUE(MID($C832,4,3) &amp; LEFT($C832,3) &amp; RIGHT($C832,4)), "")</f>
        <v/>
      </c>
      <c r="Q832" s="37" t="str">
        <f t="array" ref="Q832">IF($R832&lt;&gt;"",IFERROR(INDEX(ISIN!$B:$B,MATCH($R832,ISIN!$C:$C,0))),)</f>
        <v/>
      </c>
      <c r="R832" s="38" t="str">
        <f t="array" ref="R832">IF($E832&lt;&gt;"",IFERROR(INDEX(ISIN!$C:$C,MATCH($E832,ISIN!$A:$A,0)),IFERROR(INDEX($R833:$R1200,MATCH($K832,$K833:$K1200,0)))),IF(AND($Y832="change",$H832="EUR"),IF($O832=$O833,$R833,IF($O832=$O831,$R831)),IFERROR(INDEX($R833:$R1200,MATCH(SUBSTITUTE($I832,"-","",1),$K833:$K1200,0)))))</f>
        <v/>
      </c>
      <c r="S832" s="37" t="str">
        <f t="shared" si="1"/>
        <v/>
      </c>
      <c r="T832" s="39" t="str">
        <f t="shared" si="2"/>
        <v/>
      </c>
      <c r="U832" s="40" t="str">
        <f t="shared" si="3"/>
        <v/>
      </c>
      <c r="V832" s="34" t="str">
        <f t="shared" si="4"/>
        <v/>
      </c>
      <c r="W832" s="41" t="str">
        <f>IFERROR(__xludf.DUMMYFUNCTION(" IF(Account!$F832&lt;&gt;"""", SPLIT(Account!$F832, "" ""), """")"),"")</f>
        <v/>
      </c>
      <c r="X832" s="42"/>
      <c r="Y832" s="42"/>
      <c r="Z832" s="42"/>
      <c r="AA832" s="42"/>
      <c r="AB832" s="42"/>
      <c r="AC832" s="42"/>
      <c r="AD832" s="42"/>
      <c r="AE832" s="42"/>
      <c r="AF832" s="42"/>
      <c r="AG832" s="42"/>
      <c r="AH832" s="42"/>
      <c r="AI832" s="42"/>
      <c r="AJ832" s="42"/>
      <c r="AK832" s="42"/>
    </row>
    <row r="833">
      <c r="A833" s="20"/>
      <c r="B833" s="20"/>
      <c r="C833" s="20"/>
      <c r="D833" s="20"/>
      <c r="E833" s="20"/>
      <c r="F833" s="21"/>
      <c r="G833" s="45"/>
      <c r="H833" s="20"/>
      <c r="I833" s="20"/>
      <c r="J833" s="20"/>
      <c r="K833" s="20"/>
      <c r="L833" s="21"/>
      <c r="M833" s="33" t="str">
        <f>IFERROR(__xludf.DUMMYFUNCTION("IFS(W833=""Achat"",IFERROR(VALUE(X833),VALUE(REGEXREPLACE(T(X833),""[^0-9]"",""""))),W833=""Vente"",-IFERROR(VALUE(X833),VALUE(REGEXREPLACE(T(X833),""[^0-9]"",""""))),Y833=""Change"",0,Y833&lt;&gt;""Change"","""")"),"")</f>
        <v/>
      </c>
      <c r="N833" s="34" t="str">
        <f>IFERROR(__xludf.DUMMYFUNCTION("IF(Account!$F833&lt;&gt;"""", VALUE(REGEXREPLACE($I833, ""\,"", ""."")), """")"),"")</f>
        <v/>
      </c>
      <c r="O833" s="35" t="str">
        <f>IF(Account!$F833&lt;&gt;"", DATEVALUE(MID($A833,4,3) &amp; LEFT($A833,3) &amp; RIGHT($A833,4)) + TIMEVALUE($B833), "")</f>
        <v/>
      </c>
      <c r="P833" s="36" t="str">
        <f>IF(Account!$F833&lt;&gt;"", DATEVALUE(MID($C833,4,3) &amp; LEFT($C833,3) &amp; RIGHT($C833,4)), "")</f>
        <v/>
      </c>
      <c r="Q833" s="37" t="str">
        <f t="array" ref="Q833">IF($R833&lt;&gt;"",IFERROR(INDEX(ISIN!$B:$B,MATCH($R833,ISIN!$C:$C,0))),)</f>
        <v/>
      </c>
      <c r="R833" s="38" t="str">
        <f t="array" ref="R833">IF($E833&lt;&gt;"",IFERROR(INDEX(ISIN!$C:$C,MATCH($E833,ISIN!$A:$A,0)),IFERROR(INDEX($R834:$R1200,MATCH($K833,$K834:$K1200,0)))),IF(AND($Y833="change",$H833="EUR"),IF($O833=$O834,$R834,IF($O833=$O832,$R832)),IFERROR(INDEX($R834:$R1200,MATCH(SUBSTITUTE($I833,"-","",1),$K834:$K1200,0)))))</f>
        <v/>
      </c>
      <c r="S833" s="37" t="str">
        <f t="shared" si="1"/>
        <v/>
      </c>
      <c r="T833" s="39" t="str">
        <f t="shared" si="2"/>
        <v/>
      </c>
      <c r="U833" s="40" t="str">
        <f t="shared" si="3"/>
        <v/>
      </c>
      <c r="V833" s="34" t="str">
        <f t="shared" si="4"/>
        <v/>
      </c>
      <c r="W833" s="41" t="str">
        <f>IFERROR(__xludf.DUMMYFUNCTION(" IF(Account!$F833&lt;&gt;"""", SPLIT(Account!$F833, "" ""), """")"),"")</f>
        <v/>
      </c>
      <c r="X833" s="42"/>
      <c r="Y833" s="42"/>
      <c r="Z833" s="42"/>
      <c r="AA833" s="42"/>
      <c r="AB833" s="42"/>
      <c r="AC833" s="42"/>
      <c r="AD833" s="42"/>
      <c r="AE833" s="42"/>
      <c r="AF833" s="42"/>
      <c r="AG833" s="42"/>
      <c r="AH833" s="42"/>
      <c r="AI833" s="42"/>
      <c r="AJ833" s="42"/>
      <c r="AK833" s="42"/>
    </row>
    <row r="834">
      <c r="A834" s="20"/>
      <c r="B834" s="20"/>
      <c r="C834" s="20"/>
      <c r="D834" s="20"/>
      <c r="E834" s="20"/>
      <c r="F834" s="21"/>
      <c r="G834" s="45"/>
      <c r="H834" s="20"/>
      <c r="I834" s="20"/>
      <c r="J834" s="20"/>
      <c r="K834" s="20"/>
      <c r="L834" s="21"/>
      <c r="M834" s="33" t="str">
        <f>IFERROR(__xludf.DUMMYFUNCTION("IFS(W834=""Achat"",IFERROR(VALUE(X834),VALUE(REGEXREPLACE(T(X834),""[^0-9]"",""""))),W834=""Vente"",-IFERROR(VALUE(X834),VALUE(REGEXREPLACE(T(X834),""[^0-9]"",""""))),Y834=""Change"",0,Y834&lt;&gt;""Change"","""")"),"")</f>
        <v/>
      </c>
      <c r="N834" s="34" t="str">
        <f>IFERROR(__xludf.DUMMYFUNCTION("IF(Account!$F834&lt;&gt;"""", VALUE(REGEXREPLACE($I834, ""\,"", ""."")), """")"),"")</f>
        <v/>
      </c>
      <c r="O834" s="35" t="str">
        <f>IF(Account!$F834&lt;&gt;"", DATEVALUE(MID($A834,4,3) &amp; LEFT($A834,3) &amp; RIGHT($A834,4)) + TIMEVALUE($B834), "")</f>
        <v/>
      </c>
      <c r="P834" s="36" t="str">
        <f>IF(Account!$F834&lt;&gt;"", DATEVALUE(MID($C834,4,3) &amp; LEFT($C834,3) &amp; RIGHT($C834,4)), "")</f>
        <v/>
      </c>
      <c r="Q834" s="37" t="str">
        <f t="array" ref="Q834">IF($R834&lt;&gt;"",IFERROR(INDEX(ISIN!$B:$B,MATCH($R834,ISIN!$C:$C,0))),)</f>
        <v/>
      </c>
      <c r="R834" s="38" t="str">
        <f t="array" ref="R834">IF($E834&lt;&gt;"",IFERROR(INDEX(ISIN!$C:$C,MATCH($E834,ISIN!$A:$A,0)),IFERROR(INDEX($R835:$R1200,MATCH($K834,$K835:$K1200,0)))),IF(AND($Y834="change",$H834="EUR"),IF($O834=$O835,$R835,IF($O834=$O833,$R833)),IFERROR(INDEX($R835:$R1200,MATCH(SUBSTITUTE($I834,"-","",1),$K835:$K1200,0)))))</f>
        <v/>
      </c>
      <c r="S834" s="37" t="str">
        <f t="shared" si="1"/>
        <v/>
      </c>
      <c r="T834" s="39" t="str">
        <f t="shared" si="2"/>
        <v/>
      </c>
      <c r="U834" s="40" t="str">
        <f t="shared" si="3"/>
        <v/>
      </c>
      <c r="V834" s="34" t="str">
        <f t="shared" si="4"/>
        <v/>
      </c>
      <c r="W834" s="41" t="str">
        <f>IFERROR(__xludf.DUMMYFUNCTION(" IF(Account!$F834&lt;&gt;"""", SPLIT(Account!$F834, "" ""), """")"),"")</f>
        <v/>
      </c>
      <c r="X834" s="42"/>
      <c r="Y834" s="42"/>
      <c r="Z834" s="42"/>
      <c r="AA834" s="42"/>
      <c r="AB834" s="42"/>
      <c r="AC834" s="42"/>
      <c r="AD834" s="42"/>
      <c r="AE834" s="42"/>
      <c r="AF834" s="42"/>
      <c r="AG834" s="42"/>
      <c r="AH834" s="42"/>
      <c r="AI834" s="42"/>
      <c r="AJ834" s="42"/>
      <c r="AK834" s="42"/>
    </row>
    <row r="835">
      <c r="A835" s="20"/>
      <c r="B835" s="20"/>
      <c r="C835" s="20"/>
      <c r="D835" s="20"/>
      <c r="E835" s="20"/>
      <c r="F835" s="21"/>
      <c r="G835" s="45"/>
      <c r="H835" s="20"/>
      <c r="I835" s="20"/>
      <c r="J835" s="20"/>
      <c r="K835" s="20"/>
      <c r="L835" s="21"/>
      <c r="M835" s="33" t="str">
        <f>IFERROR(__xludf.DUMMYFUNCTION("IFS(W835=""Achat"",IFERROR(VALUE(X835),VALUE(REGEXREPLACE(T(X835),""[^0-9]"",""""))),W835=""Vente"",-IFERROR(VALUE(X835),VALUE(REGEXREPLACE(T(X835),""[^0-9]"",""""))),Y835=""Change"",0,Y835&lt;&gt;""Change"","""")"),"")</f>
        <v/>
      </c>
      <c r="N835" s="34" t="str">
        <f>IFERROR(__xludf.DUMMYFUNCTION("IF(Account!$F835&lt;&gt;"""", VALUE(REGEXREPLACE($I835, ""\,"", ""."")), """")"),"")</f>
        <v/>
      </c>
      <c r="O835" s="35" t="str">
        <f>IF(Account!$F835&lt;&gt;"", DATEVALUE(MID($A835,4,3) &amp; LEFT($A835,3) &amp; RIGHT($A835,4)) + TIMEVALUE($B835), "")</f>
        <v/>
      </c>
      <c r="P835" s="36" t="str">
        <f>IF(Account!$F835&lt;&gt;"", DATEVALUE(MID($C835,4,3) &amp; LEFT($C835,3) &amp; RIGHT($C835,4)), "")</f>
        <v/>
      </c>
      <c r="Q835" s="37" t="str">
        <f t="array" ref="Q835">IF($R835&lt;&gt;"",IFERROR(INDEX(ISIN!$B:$B,MATCH($R835,ISIN!$C:$C,0))),)</f>
        <v/>
      </c>
      <c r="R835" s="38" t="str">
        <f t="array" ref="R835">IF($E835&lt;&gt;"",IFERROR(INDEX(ISIN!$C:$C,MATCH($E835,ISIN!$A:$A,0)),IFERROR(INDEX($R836:$R1200,MATCH($K835,$K836:$K1200,0)))),IF(AND($Y835="change",$H835="EUR"),IF($O835=$O836,$R836,IF($O835=$O834,$R834)),IFERROR(INDEX($R836:$R1200,MATCH(SUBSTITUTE($I835,"-","",1),$K836:$K1200,0)))))</f>
        <v/>
      </c>
      <c r="S835" s="37" t="str">
        <f t="shared" si="1"/>
        <v/>
      </c>
      <c r="T835" s="39" t="str">
        <f t="shared" si="2"/>
        <v/>
      </c>
      <c r="U835" s="40" t="str">
        <f t="shared" si="3"/>
        <v/>
      </c>
      <c r="V835" s="34" t="str">
        <f t="shared" si="4"/>
        <v/>
      </c>
      <c r="W835" s="41" t="str">
        <f>IFERROR(__xludf.DUMMYFUNCTION(" IF(Account!$F835&lt;&gt;"""", SPLIT(Account!$F835, "" ""), """")"),"")</f>
        <v/>
      </c>
      <c r="X835" s="42"/>
      <c r="Y835" s="42"/>
      <c r="Z835" s="42"/>
      <c r="AA835" s="42"/>
      <c r="AB835" s="42"/>
      <c r="AC835" s="42"/>
      <c r="AD835" s="42"/>
      <c r="AE835" s="42"/>
      <c r="AF835" s="42"/>
      <c r="AG835" s="42"/>
      <c r="AH835" s="42"/>
      <c r="AI835" s="42"/>
      <c r="AJ835" s="42"/>
      <c r="AK835" s="42"/>
    </row>
    <row r="836">
      <c r="A836" s="20"/>
      <c r="B836" s="20"/>
      <c r="C836" s="20"/>
      <c r="D836" s="20"/>
      <c r="E836" s="20"/>
      <c r="F836" s="21"/>
      <c r="G836" s="45"/>
      <c r="H836" s="20"/>
      <c r="I836" s="20"/>
      <c r="J836" s="20"/>
      <c r="K836" s="20"/>
      <c r="L836" s="21"/>
      <c r="M836" s="33" t="str">
        <f>IFERROR(__xludf.DUMMYFUNCTION("IFS(W836=""Achat"",IFERROR(VALUE(X836),VALUE(REGEXREPLACE(T(X836),""[^0-9]"",""""))),W836=""Vente"",-IFERROR(VALUE(X836),VALUE(REGEXREPLACE(T(X836),""[^0-9]"",""""))),Y836=""Change"",0,Y836&lt;&gt;""Change"","""")"),"")</f>
        <v/>
      </c>
      <c r="N836" s="34" t="str">
        <f>IFERROR(__xludf.DUMMYFUNCTION("IF(Account!$F836&lt;&gt;"""", VALUE(REGEXREPLACE($I836, ""\,"", ""."")), """")"),"")</f>
        <v/>
      </c>
      <c r="O836" s="35" t="str">
        <f>IF(Account!$F836&lt;&gt;"", DATEVALUE(MID($A836,4,3) &amp; LEFT($A836,3) &amp; RIGHT($A836,4)) + TIMEVALUE($B836), "")</f>
        <v/>
      </c>
      <c r="P836" s="36" t="str">
        <f>IF(Account!$F836&lt;&gt;"", DATEVALUE(MID($C836,4,3) &amp; LEFT($C836,3) &amp; RIGHT($C836,4)), "")</f>
        <v/>
      </c>
      <c r="Q836" s="37" t="str">
        <f t="array" ref="Q836">IF($R836&lt;&gt;"",IFERROR(INDEX(ISIN!$B:$B,MATCH($R836,ISIN!$C:$C,0))),)</f>
        <v/>
      </c>
      <c r="R836" s="38" t="str">
        <f t="array" ref="R836">IF($E836&lt;&gt;"",IFERROR(INDEX(ISIN!$C:$C,MATCH($E836,ISIN!$A:$A,0)),IFERROR(INDEX($R837:$R1200,MATCH($K836,$K837:$K1200,0)))),IF(AND($Y836="change",$H836="EUR"),IF($O836=$O837,$R837,IF($O836=$O835,$R835)),IFERROR(INDEX($R837:$R1200,MATCH(SUBSTITUTE($I836,"-","",1),$K837:$K1200,0)))))</f>
        <v/>
      </c>
      <c r="S836" s="37" t="str">
        <f t="shared" si="1"/>
        <v/>
      </c>
      <c r="T836" s="39" t="str">
        <f t="shared" si="2"/>
        <v/>
      </c>
      <c r="U836" s="40" t="str">
        <f t="shared" si="3"/>
        <v/>
      </c>
      <c r="V836" s="34" t="str">
        <f t="shared" si="4"/>
        <v/>
      </c>
      <c r="W836" s="41" t="str">
        <f>IFERROR(__xludf.DUMMYFUNCTION(" IF(Account!$F836&lt;&gt;"""", SPLIT(Account!$F836, "" ""), """")"),"")</f>
        <v/>
      </c>
      <c r="X836" s="42"/>
      <c r="Y836" s="42"/>
      <c r="Z836" s="42"/>
      <c r="AA836" s="42"/>
      <c r="AB836" s="42"/>
      <c r="AC836" s="42"/>
      <c r="AD836" s="42"/>
      <c r="AE836" s="42"/>
      <c r="AF836" s="42"/>
      <c r="AG836" s="42"/>
      <c r="AH836" s="42"/>
      <c r="AI836" s="42"/>
      <c r="AJ836" s="42"/>
      <c r="AK836" s="42"/>
    </row>
    <row r="837">
      <c r="A837" s="20"/>
      <c r="B837" s="20"/>
      <c r="C837" s="20"/>
      <c r="D837" s="20"/>
      <c r="E837" s="20"/>
      <c r="F837" s="21"/>
      <c r="G837" s="45"/>
      <c r="H837" s="45"/>
      <c r="I837" s="45"/>
      <c r="J837" s="20"/>
      <c r="K837" s="20"/>
      <c r="L837" s="46"/>
      <c r="M837" s="33" t="str">
        <f>IFERROR(__xludf.DUMMYFUNCTION("IFS(W837=""Achat"",IFERROR(VALUE(X837),VALUE(REGEXREPLACE(T(X837),""[^0-9]"",""""))),W837=""Vente"",-IFERROR(VALUE(X837),VALUE(REGEXREPLACE(T(X837),""[^0-9]"",""""))),Y837=""Change"",0,Y837&lt;&gt;""Change"","""")"),"")</f>
        <v/>
      </c>
      <c r="N837" s="34" t="str">
        <f>IFERROR(__xludf.DUMMYFUNCTION("IF(Account!$F837&lt;&gt;"""", VALUE(REGEXREPLACE($I837, ""\,"", ""."")), """")"),"")</f>
        <v/>
      </c>
      <c r="O837" s="35" t="str">
        <f>IF(Account!$F837&lt;&gt;"", DATEVALUE(MID($A837,4,3) &amp; LEFT($A837,3) &amp; RIGHT($A837,4)) + TIMEVALUE($B837), "")</f>
        <v/>
      </c>
      <c r="P837" s="36" t="str">
        <f>IF(Account!$F837&lt;&gt;"", DATEVALUE(MID($C837,4,3) &amp; LEFT($C837,3) &amp; RIGHT($C837,4)), "")</f>
        <v/>
      </c>
      <c r="Q837" s="37" t="str">
        <f t="array" ref="Q837">IF($R837&lt;&gt;"",IFERROR(INDEX(ISIN!$B:$B,MATCH($R837,ISIN!$C:$C,0))),)</f>
        <v/>
      </c>
      <c r="R837" s="38" t="str">
        <f t="array" ref="R837">IF($E837&lt;&gt;"",IFERROR(INDEX(ISIN!$C:$C,MATCH($E837,ISIN!$A:$A,0)),IFERROR(INDEX($R838:$R1200,MATCH($K837,$K838:$K1200,0)))),IF(AND($Y837="change",$H837="EUR"),IF($O837=$O838,$R838,IF($O837=$O836,$R836)),IFERROR(INDEX($R838:$R1200,MATCH(SUBSTITUTE($I837,"-","",1),$K838:$K1200,0)))))</f>
        <v/>
      </c>
      <c r="S837" s="37" t="str">
        <f t="shared" si="1"/>
        <v/>
      </c>
      <c r="T837" s="39" t="str">
        <f t="shared" si="2"/>
        <v/>
      </c>
      <c r="U837" s="40" t="str">
        <f t="shared" si="3"/>
        <v/>
      </c>
      <c r="V837" s="34" t="str">
        <f t="shared" si="4"/>
        <v/>
      </c>
      <c r="W837" s="41" t="str">
        <f>IFERROR(__xludf.DUMMYFUNCTION(" IF(Account!$F837&lt;&gt;"""", SPLIT(Account!$F837, "" ""), """")"),"")</f>
        <v/>
      </c>
      <c r="X837" s="42"/>
      <c r="Y837" s="42"/>
      <c r="Z837" s="42"/>
      <c r="AA837" s="42"/>
      <c r="AB837" s="42"/>
      <c r="AC837" s="42"/>
      <c r="AD837" s="42"/>
      <c r="AE837" s="42"/>
      <c r="AF837" s="42"/>
      <c r="AG837" s="42"/>
      <c r="AH837" s="42"/>
      <c r="AI837" s="42"/>
      <c r="AJ837" s="42"/>
      <c r="AK837" s="42"/>
    </row>
    <row r="838">
      <c r="A838" s="20"/>
      <c r="B838" s="20"/>
      <c r="C838" s="20"/>
      <c r="D838" s="20"/>
      <c r="E838" s="20"/>
      <c r="F838" s="21"/>
      <c r="G838" s="45"/>
      <c r="H838" s="20"/>
      <c r="I838" s="20"/>
      <c r="J838" s="20"/>
      <c r="K838" s="20"/>
      <c r="L838" s="46"/>
      <c r="M838" s="33" t="str">
        <f>IFERROR(__xludf.DUMMYFUNCTION("IFS(W838=""Achat"",IFERROR(VALUE(X838),VALUE(REGEXREPLACE(T(X838),""[^0-9]"",""""))),W838=""Vente"",-IFERROR(VALUE(X838),VALUE(REGEXREPLACE(T(X838),""[^0-9]"",""""))),Y838=""Change"",0,Y838&lt;&gt;""Change"","""")"),"")</f>
        <v/>
      </c>
      <c r="N838" s="34" t="str">
        <f>IFERROR(__xludf.DUMMYFUNCTION("IF(Account!$F838&lt;&gt;"""", VALUE(REGEXREPLACE($I838, ""\,"", ""."")), """")"),"")</f>
        <v/>
      </c>
      <c r="O838" s="35" t="str">
        <f>IF(Account!$F838&lt;&gt;"", DATEVALUE(MID($A838,4,3) &amp; LEFT($A838,3) &amp; RIGHT($A838,4)) + TIMEVALUE($B838), "")</f>
        <v/>
      </c>
      <c r="P838" s="36" t="str">
        <f>IF(Account!$F838&lt;&gt;"", DATEVALUE(MID($C838,4,3) &amp; LEFT($C838,3) &amp; RIGHT($C838,4)), "")</f>
        <v/>
      </c>
      <c r="Q838" s="37" t="str">
        <f t="array" ref="Q838">IF($R838&lt;&gt;"",IFERROR(INDEX(ISIN!$B:$B,MATCH($R838,ISIN!$C:$C,0))),)</f>
        <v/>
      </c>
      <c r="R838" s="38" t="str">
        <f t="array" ref="R838">IF($E838&lt;&gt;"",IFERROR(INDEX(ISIN!$C:$C,MATCH($E838,ISIN!$A:$A,0)),IFERROR(INDEX($R839:$R1200,MATCH($K838,$K839:$K1200,0)))),IF(AND($Y838="change",$H838="EUR"),IF($O838=$O839,$R839,IF($O838=$O837,$R837)),IFERROR(INDEX($R839:$R1200,MATCH(SUBSTITUTE($I838,"-","",1),$K839:$K1200,0)))))</f>
        <v/>
      </c>
      <c r="S838" s="37" t="str">
        <f t="shared" si="1"/>
        <v/>
      </c>
      <c r="T838" s="39" t="str">
        <f t="shared" si="2"/>
        <v/>
      </c>
      <c r="U838" s="40" t="str">
        <f t="shared" si="3"/>
        <v/>
      </c>
      <c r="V838" s="34" t="str">
        <f t="shared" si="4"/>
        <v/>
      </c>
      <c r="W838" s="41" t="str">
        <f>IFERROR(__xludf.DUMMYFUNCTION(" IF(Account!$F838&lt;&gt;"""", SPLIT(Account!$F838, "" ""), """")"),"")</f>
        <v/>
      </c>
      <c r="X838" s="42"/>
      <c r="Y838" s="42"/>
      <c r="Z838" s="42"/>
      <c r="AA838" s="42"/>
      <c r="AB838" s="42"/>
      <c r="AC838" s="42"/>
      <c r="AD838" s="42"/>
      <c r="AE838" s="42"/>
      <c r="AF838" s="42"/>
      <c r="AG838" s="42"/>
      <c r="AH838" s="42"/>
      <c r="AI838" s="42"/>
      <c r="AJ838" s="42"/>
      <c r="AK838" s="42"/>
    </row>
    <row r="839">
      <c r="A839" s="20"/>
      <c r="B839" s="20"/>
      <c r="C839" s="20"/>
      <c r="D839" s="20"/>
      <c r="E839" s="20"/>
      <c r="F839" s="21"/>
      <c r="G839" s="45"/>
      <c r="H839" s="20"/>
      <c r="I839" s="20"/>
      <c r="J839" s="20"/>
      <c r="K839" s="20"/>
      <c r="L839" s="46"/>
      <c r="M839" s="33" t="str">
        <f>IFERROR(__xludf.DUMMYFUNCTION("IFS(W839=""Achat"",IFERROR(VALUE(X839),VALUE(REGEXREPLACE(T(X839),""[^0-9]"",""""))),W839=""Vente"",-IFERROR(VALUE(X839),VALUE(REGEXREPLACE(T(X839),""[^0-9]"",""""))),Y839=""Change"",0,Y839&lt;&gt;""Change"","""")"),"")</f>
        <v/>
      </c>
      <c r="N839" s="34" t="str">
        <f>IFERROR(__xludf.DUMMYFUNCTION("IF(Account!$F839&lt;&gt;"""", VALUE(REGEXREPLACE($I839, ""\,"", ""."")), """")"),"")</f>
        <v/>
      </c>
      <c r="O839" s="35" t="str">
        <f>IF(Account!$F839&lt;&gt;"", DATEVALUE(MID($A839,4,3) &amp; LEFT($A839,3) &amp; RIGHT($A839,4)) + TIMEVALUE($B839), "")</f>
        <v/>
      </c>
      <c r="P839" s="36" t="str">
        <f>IF(Account!$F839&lt;&gt;"", DATEVALUE(MID($C839,4,3) &amp; LEFT($C839,3) &amp; RIGHT($C839,4)), "")</f>
        <v/>
      </c>
      <c r="Q839" s="37" t="str">
        <f t="array" ref="Q839">IF($R839&lt;&gt;"",IFERROR(INDEX(ISIN!$B:$B,MATCH($R839,ISIN!$C:$C,0))),)</f>
        <v/>
      </c>
      <c r="R839" s="38" t="str">
        <f t="array" ref="R839">IF($E839&lt;&gt;"",IFERROR(INDEX(ISIN!$C:$C,MATCH($E839,ISIN!$A:$A,0)),IFERROR(INDEX($R840:$R1200,MATCH($K839,$K840:$K1200,0)))),IF(AND($Y839="change",$H839="EUR"),IF($O839=$O840,$R840,IF($O839=$O838,$R838)),IFERROR(INDEX($R840:$R1200,MATCH(SUBSTITUTE($I839,"-","",1),$K840:$K1200,0)))))</f>
        <v/>
      </c>
      <c r="S839" s="37" t="str">
        <f t="shared" si="1"/>
        <v/>
      </c>
      <c r="T839" s="39" t="str">
        <f t="shared" si="2"/>
        <v/>
      </c>
      <c r="U839" s="40" t="str">
        <f t="shared" si="3"/>
        <v/>
      </c>
      <c r="V839" s="34" t="str">
        <f t="shared" si="4"/>
        <v/>
      </c>
      <c r="W839" s="41" t="str">
        <f>IFERROR(__xludf.DUMMYFUNCTION(" IF(Account!$F839&lt;&gt;"""", SPLIT(Account!$F839, "" ""), """")"),"")</f>
        <v/>
      </c>
      <c r="X839" s="42"/>
      <c r="Y839" s="42"/>
      <c r="Z839" s="42"/>
      <c r="AA839" s="42"/>
      <c r="AB839" s="42"/>
      <c r="AC839" s="42"/>
      <c r="AD839" s="42"/>
      <c r="AE839" s="42"/>
      <c r="AF839" s="42"/>
      <c r="AG839" s="42"/>
      <c r="AH839" s="42"/>
      <c r="AI839" s="42"/>
      <c r="AJ839" s="42"/>
      <c r="AK839" s="42"/>
    </row>
    <row r="840">
      <c r="A840" s="20"/>
      <c r="B840" s="20"/>
      <c r="C840" s="20"/>
      <c r="D840" s="45"/>
      <c r="E840" s="45"/>
      <c r="F840" s="21"/>
      <c r="G840" s="45"/>
      <c r="H840" s="20"/>
      <c r="I840" s="20"/>
      <c r="J840" s="20"/>
      <c r="K840" s="20"/>
      <c r="L840" s="46"/>
      <c r="M840" s="33" t="str">
        <f>IFERROR(__xludf.DUMMYFUNCTION("IFS(W840=""Achat"",IFERROR(VALUE(X840),VALUE(REGEXREPLACE(T(X840),""[^0-9]"",""""))),W840=""Vente"",-IFERROR(VALUE(X840),VALUE(REGEXREPLACE(T(X840),""[^0-9]"",""""))),Y840=""Change"",0,Y840&lt;&gt;""Change"","""")"),"")</f>
        <v/>
      </c>
      <c r="N840" s="34" t="str">
        <f>IFERROR(__xludf.DUMMYFUNCTION("IF(Account!$F840&lt;&gt;"""", VALUE(REGEXREPLACE($I840, ""\,"", ""."")), """")"),"")</f>
        <v/>
      </c>
      <c r="O840" s="35" t="str">
        <f>IF(Account!$F840&lt;&gt;"", DATEVALUE(MID($A840,4,3) &amp; LEFT($A840,3) &amp; RIGHT($A840,4)) + TIMEVALUE($B840), "")</f>
        <v/>
      </c>
      <c r="P840" s="36" t="str">
        <f>IF(Account!$F840&lt;&gt;"", DATEVALUE(MID($C840,4,3) &amp; LEFT($C840,3) &amp; RIGHT($C840,4)), "")</f>
        <v/>
      </c>
      <c r="Q840" s="37" t="str">
        <f t="array" ref="Q840">IF($R840&lt;&gt;"",IFERROR(INDEX(ISIN!$B:$B,MATCH($R840,ISIN!$C:$C,0))),)</f>
        <v/>
      </c>
      <c r="R840" s="38" t="str">
        <f t="array" ref="R840">IF($E840&lt;&gt;"",IFERROR(INDEX(ISIN!$C:$C,MATCH($E840,ISIN!$A:$A,0)),IFERROR(INDEX($R841:$R1200,MATCH($K840,$K841:$K1200,0)))),IF(AND($Y840="change",$H840="EUR"),IF($O840=$O841,$R841,IF($O840=$O839,$R839)),IFERROR(INDEX($R841:$R1200,MATCH(SUBSTITUTE($I840,"-","",1),$K841:$K1200,0)))))</f>
        <v/>
      </c>
      <c r="S840" s="37" t="str">
        <f t="shared" si="1"/>
        <v/>
      </c>
      <c r="T840" s="39" t="str">
        <f t="shared" si="2"/>
        <v/>
      </c>
      <c r="U840" s="40" t="str">
        <f t="shared" si="3"/>
        <v/>
      </c>
      <c r="V840" s="34" t="str">
        <f t="shared" si="4"/>
        <v/>
      </c>
      <c r="W840" s="41" t="str">
        <f>IFERROR(__xludf.DUMMYFUNCTION(" IF(Account!$F840&lt;&gt;"""", SPLIT(Account!$F840, "" ""), """")"),"")</f>
        <v/>
      </c>
      <c r="X840" s="42"/>
      <c r="Y840" s="42"/>
      <c r="Z840" s="42"/>
      <c r="AA840" s="42"/>
      <c r="AB840" s="42"/>
      <c r="AC840" s="42"/>
      <c r="AD840" s="42"/>
      <c r="AE840" s="42"/>
      <c r="AF840" s="42"/>
      <c r="AG840" s="42"/>
      <c r="AH840" s="42"/>
      <c r="AI840" s="42"/>
      <c r="AJ840" s="42"/>
      <c r="AK840" s="42"/>
    </row>
    <row r="841">
      <c r="A841" s="20"/>
      <c r="B841" s="20"/>
      <c r="C841" s="20"/>
      <c r="D841" s="20"/>
      <c r="E841" s="20"/>
      <c r="F841" s="21"/>
      <c r="G841" s="45"/>
      <c r="H841" s="45"/>
      <c r="I841" s="45"/>
      <c r="J841" s="20"/>
      <c r="K841" s="20"/>
      <c r="L841" s="46"/>
      <c r="M841" s="33" t="str">
        <f>IFERROR(__xludf.DUMMYFUNCTION("IFS(W841=""Achat"",IFERROR(VALUE(X841),VALUE(REGEXREPLACE(T(X841),""[^0-9]"",""""))),W841=""Vente"",-IFERROR(VALUE(X841),VALUE(REGEXREPLACE(T(X841),""[^0-9]"",""""))),Y841=""Change"",0,Y841&lt;&gt;""Change"","""")"),"")</f>
        <v/>
      </c>
      <c r="N841" s="34" t="str">
        <f>IFERROR(__xludf.DUMMYFUNCTION("IF(Account!$F841&lt;&gt;"""", VALUE(REGEXREPLACE($I841, ""\,"", ""."")), """")"),"")</f>
        <v/>
      </c>
      <c r="O841" s="35" t="str">
        <f>IF(Account!$F841&lt;&gt;"", DATEVALUE(MID($A841,4,3) &amp; LEFT($A841,3) &amp; RIGHT($A841,4)) + TIMEVALUE($B841), "")</f>
        <v/>
      </c>
      <c r="P841" s="36" t="str">
        <f>IF(Account!$F841&lt;&gt;"", DATEVALUE(MID($C841,4,3) &amp; LEFT($C841,3) &amp; RIGHT($C841,4)), "")</f>
        <v/>
      </c>
      <c r="Q841" s="37" t="str">
        <f t="array" ref="Q841">IF($R841&lt;&gt;"",IFERROR(INDEX(ISIN!$B:$B,MATCH($R841,ISIN!$C:$C,0))),)</f>
        <v/>
      </c>
      <c r="R841" s="38" t="str">
        <f t="array" ref="R841">IF($E841&lt;&gt;"",IFERROR(INDEX(ISIN!$C:$C,MATCH($E841,ISIN!$A:$A,0)),IFERROR(INDEX($R842:$R1200,MATCH($K841,$K842:$K1200,0)))),IF(AND($Y841="change",$H841="EUR"),IF($O841=$O842,$R842,IF($O841=$O840,$R840)),IFERROR(INDEX($R842:$R1200,MATCH(SUBSTITUTE($I841,"-","",1),$K842:$K1200,0)))))</f>
        <v/>
      </c>
      <c r="S841" s="37" t="str">
        <f t="shared" si="1"/>
        <v/>
      </c>
      <c r="T841" s="39" t="str">
        <f t="shared" si="2"/>
        <v/>
      </c>
      <c r="U841" s="40" t="str">
        <f t="shared" si="3"/>
        <v/>
      </c>
      <c r="V841" s="34" t="str">
        <f t="shared" si="4"/>
        <v/>
      </c>
      <c r="W841" s="41" t="str">
        <f>IFERROR(__xludf.DUMMYFUNCTION(" IF(Account!$F841&lt;&gt;"""", SPLIT(Account!$F841, "" ""), """")"),"")</f>
        <v/>
      </c>
      <c r="X841" s="42"/>
      <c r="Y841" s="42"/>
      <c r="Z841" s="42"/>
      <c r="AA841" s="42"/>
      <c r="AB841" s="42"/>
      <c r="AC841" s="42"/>
      <c r="AD841" s="42"/>
      <c r="AE841" s="42"/>
      <c r="AF841" s="42"/>
      <c r="AG841" s="42"/>
      <c r="AH841" s="42"/>
      <c r="AI841" s="42"/>
      <c r="AJ841" s="42"/>
      <c r="AK841" s="42"/>
    </row>
    <row r="842">
      <c r="A842" s="20"/>
      <c r="B842" s="20"/>
      <c r="C842" s="20"/>
      <c r="D842" s="45"/>
      <c r="E842" s="45"/>
      <c r="F842" s="21"/>
      <c r="G842" s="45"/>
      <c r="H842" s="20"/>
      <c r="I842" s="20"/>
      <c r="J842" s="20"/>
      <c r="K842" s="20"/>
      <c r="L842" s="46"/>
      <c r="M842" s="33" t="str">
        <f>IFERROR(__xludf.DUMMYFUNCTION("IFS(W842=""Achat"",IFERROR(VALUE(X842),VALUE(REGEXREPLACE(T(X842),""[^0-9]"",""""))),W842=""Vente"",-IFERROR(VALUE(X842),VALUE(REGEXREPLACE(T(X842),""[^0-9]"",""""))),Y842=""Change"",0,Y842&lt;&gt;""Change"","""")"),"")</f>
        <v/>
      </c>
      <c r="N842" s="34" t="str">
        <f>IFERROR(__xludf.DUMMYFUNCTION("IF(Account!$F842&lt;&gt;"""", VALUE(REGEXREPLACE($I842, ""\,"", ""."")), """")"),"")</f>
        <v/>
      </c>
      <c r="O842" s="35" t="str">
        <f>IF(Account!$F842&lt;&gt;"", DATEVALUE(MID($A842,4,3) &amp; LEFT($A842,3) &amp; RIGHT($A842,4)) + TIMEVALUE($B842), "")</f>
        <v/>
      </c>
      <c r="P842" s="36" t="str">
        <f>IF(Account!$F842&lt;&gt;"", DATEVALUE(MID($C842,4,3) &amp; LEFT($C842,3) &amp; RIGHT($C842,4)), "")</f>
        <v/>
      </c>
      <c r="Q842" s="37" t="str">
        <f t="array" ref="Q842">IF($R842&lt;&gt;"",IFERROR(INDEX(ISIN!$B:$B,MATCH($R842,ISIN!$C:$C,0))),)</f>
        <v/>
      </c>
      <c r="R842" s="38" t="str">
        <f t="array" ref="R842">IF($E842&lt;&gt;"",IFERROR(INDEX(ISIN!$C:$C,MATCH($E842,ISIN!$A:$A,0)),IFERROR(INDEX($R843:$R1200,MATCH($K842,$K843:$K1200,0)))),IF(AND($Y842="change",$H842="EUR"),IF($O842=$O843,$R843,IF($O842=$O841,$R841)),IFERROR(INDEX($R843:$R1200,MATCH(SUBSTITUTE($I842,"-","",1),$K843:$K1200,0)))))</f>
        <v/>
      </c>
      <c r="S842" s="37" t="str">
        <f t="shared" si="1"/>
        <v/>
      </c>
      <c r="T842" s="39" t="str">
        <f t="shared" si="2"/>
        <v/>
      </c>
      <c r="U842" s="40" t="str">
        <f t="shared" si="3"/>
        <v/>
      </c>
      <c r="V842" s="34" t="str">
        <f t="shared" si="4"/>
        <v/>
      </c>
      <c r="W842" s="41" t="str">
        <f>IFERROR(__xludf.DUMMYFUNCTION(" IF(Account!$F842&lt;&gt;"""", SPLIT(Account!$F842, "" ""), """")"),"")</f>
        <v/>
      </c>
      <c r="X842" s="42"/>
      <c r="Y842" s="42"/>
      <c r="Z842" s="42"/>
      <c r="AA842" s="42"/>
      <c r="AB842" s="42"/>
      <c r="AC842" s="42"/>
      <c r="AD842" s="42"/>
      <c r="AE842" s="42"/>
      <c r="AF842" s="42"/>
      <c r="AG842" s="42"/>
      <c r="AH842" s="42"/>
      <c r="AI842" s="42"/>
      <c r="AJ842" s="42"/>
      <c r="AK842" s="42"/>
    </row>
    <row r="843">
      <c r="A843" s="20"/>
      <c r="B843" s="20"/>
      <c r="C843" s="20"/>
      <c r="D843" s="45"/>
      <c r="E843" s="45"/>
      <c r="F843" s="21"/>
      <c r="G843" s="20"/>
      <c r="H843" s="20"/>
      <c r="I843" s="20"/>
      <c r="J843" s="20"/>
      <c r="K843" s="20"/>
      <c r="L843" s="46"/>
      <c r="M843" s="33" t="str">
        <f>IFERROR(__xludf.DUMMYFUNCTION("IFS(W843=""Achat"",IFERROR(VALUE(X843),VALUE(REGEXREPLACE(T(X843),""[^0-9]"",""""))),W843=""Vente"",-IFERROR(VALUE(X843),VALUE(REGEXREPLACE(T(X843),""[^0-9]"",""""))),Y843=""Change"",0,Y843&lt;&gt;""Change"","""")"),"")</f>
        <v/>
      </c>
      <c r="N843" s="34" t="str">
        <f>IFERROR(__xludf.DUMMYFUNCTION("IF(Account!$F843&lt;&gt;"""", VALUE(REGEXREPLACE($I843, ""\,"", ""."")), """")"),"")</f>
        <v/>
      </c>
      <c r="O843" s="35" t="str">
        <f>IF(Account!$F843&lt;&gt;"", DATEVALUE(MID($A843,4,3) &amp; LEFT($A843,3) &amp; RIGHT($A843,4)) + TIMEVALUE($B843), "")</f>
        <v/>
      </c>
      <c r="P843" s="36" t="str">
        <f>IF(Account!$F843&lt;&gt;"", DATEVALUE(MID($C843,4,3) &amp; LEFT($C843,3) &amp; RIGHT($C843,4)), "")</f>
        <v/>
      </c>
      <c r="Q843" s="37" t="str">
        <f t="array" ref="Q843">IF($R843&lt;&gt;"",IFERROR(INDEX(ISIN!$B:$B,MATCH($R843,ISIN!$C:$C,0))),)</f>
        <v/>
      </c>
      <c r="R843" s="38" t="str">
        <f t="array" ref="R843">IF($E843&lt;&gt;"",IFERROR(INDEX(ISIN!$C:$C,MATCH($E843,ISIN!$A:$A,0)),IFERROR(INDEX($R844:$R1200,MATCH($K843,$K844:$K1200,0)))),IF(AND($Y843="change",$H843="EUR"),IF($O843=$O844,$R844,IF($O843=$O842,$R842)),IFERROR(INDEX($R844:$R1200,MATCH(SUBSTITUTE($I843,"-","",1),$K844:$K1200,0)))))</f>
        <v/>
      </c>
      <c r="S843" s="37" t="str">
        <f t="shared" si="1"/>
        <v/>
      </c>
      <c r="T843" s="39" t="str">
        <f t="shared" si="2"/>
        <v/>
      </c>
      <c r="U843" s="40" t="str">
        <f t="shared" si="3"/>
        <v/>
      </c>
      <c r="V843" s="34" t="str">
        <f t="shared" si="4"/>
        <v/>
      </c>
      <c r="W843" s="41" t="str">
        <f>IFERROR(__xludf.DUMMYFUNCTION(" IF(Account!$F843&lt;&gt;"""", SPLIT(Account!$F843, "" ""), """")"),"")</f>
        <v/>
      </c>
      <c r="X843" s="42"/>
      <c r="Y843" s="42"/>
      <c r="Z843" s="42"/>
      <c r="AA843" s="42"/>
      <c r="AB843" s="42"/>
      <c r="AC843" s="42"/>
      <c r="AD843" s="42"/>
      <c r="AE843" s="42"/>
      <c r="AF843" s="42"/>
      <c r="AG843" s="42"/>
      <c r="AH843" s="42"/>
      <c r="AI843" s="42"/>
      <c r="AJ843" s="42"/>
      <c r="AK843" s="42"/>
    </row>
    <row r="844">
      <c r="A844" s="20"/>
      <c r="B844" s="20"/>
      <c r="C844" s="20"/>
      <c r="D844" s="20"/>
      <c r="E844" s="20"/>
      <c r="F844" s="21"/>
      <c r="G844" s="45"/>
      <c r="H844" s="20"/>
      <c r="I844" s="20"/>
      <c r="J844" s="20"/>
      <c r="K844" s="20"/>
      <c r="L844" s="46"/>
      <c r="M844" s="33" t="str">
        <f>IFERROR(__xludf.DUMMYFUNCTION("IFS(W844=""Achat"",IFERROR(VALUE(X844),VALUE(REGEXREPLACE(T(X844),""[^0-9]"",""""))),W844=""Vente"",-IFERROR(VALUE(X844),VALUE(REGEXREPLACE(T(X844),""[^0-9]"",""""))),Y844=""Change"",0,Y844&lt;&gt;""Change"","""")"),"")</f>
        <v/>
      </c>
      <c r="N844" s="34" t="str">
        <f>IFERROR(__xludf.DUMMYFUNCTION("IF(Account!$F844&lt;&gt;"""", VALUE(REGEXREPLACE($I844, ""\,"", ""."")), """")"),"")</f>
        <v/>
      </c>
      <c r="O844" s="35" t="str">
        <f>IF(Account!$F844&lt;&gt;"", DATEVALUE(MID($A844,4,3) &amp; LEFT($A844,3) &amp; RIGHT($A844,4)) + TIMEVALUE($B844), "")</f>
        <v/>
      </c>
      <c r="P844" s="36" t="str">
        <f>IF(Account!$F844&lt;&gt;"", DATEVALUE(MID($C844,4,3) &amp; LEFT($C844,3) &amp; RIGHT($C844,4)), "")</f>
        <v/>
      </c>
      <c r="Q844" s="37" t="str">
        <f t="array" ref="Q844">IF($R844&lt;&gt;"",IFERROR(INDEX(ISIN!$B:$B,MATCH($R844,ISIN!$C:$C,0))),)</f>
        <v/>
      </c>
      <c r="R844" s="38" t="str">
        <f t="array" ref="R844">IF($E844&lt;&gt;"",IFERROR(INDEX(ISIN!$C:$C,MATCH($E844,ISIN!$A:$A,0)),IFERROR(INDEX($R845:$R1200,MATCH($K844,$K845:$K1200,0)))),IF(AND($Y844="change",$H844="EUR"),IF($O844=$O845,$R845,IF($O844=$O843,$R843)),IFERROR(INDEX($R845:$R1200,MATCH(SUBSTITUTE($I844,"-","",1),$K845:$K1200,0)))))</f>
        <v/>
      </c>
      <c r="S844" s="37" t="str">
        <f t="shared" si="1"/>
        <v/>
      </c>
      <c r="T844" s="39" t="str">
        <f t="shared" si="2"/>
        <v/>
      </c>
      <c r="U844" s="40" t="str">
        <f t="shared" si="3"/>
        <v/>
      </c>
      <c r="V844" s="34" t="str">
        <f t="shared" si="4"/>
        <v/>
      </c>
      <c r="W844" s="41" t="str">
        <f>IFERROR(__xludf.DUMMYFUNCTION(" IF(Account!$F844&lt;&gt;"""", SPLIT(Account!$F844, "" ""), """")"),"")</f>
        <v/>
      </c>
      <c r="X844" s="42"/>
      <c r="Y844" s="42"/>
      <c r="Z844" s="42"/>
      <c r="AA844" s="42"/>
      <c r="AB844" s="42"/>
      <c r="AC844" s="42"/>
      <c r="AD844" s="42"/>
      <c r="AE844" s="42"/>
      <c r="AF844" s="42"/>
      <c r="AG844" s="42"/>
      <c r="AH844" s="42"/>
      <c r="AI844" s="42"/>
      <c r="AJ844" s="42"/>
      <c r="AK844" s="42"/>
    </row>
    <row r="845">
      <c r="A845" s="20"/>
      <c r="B845" s="20"/>
      <c r="C845" s="20"/>
      <c r="D845" s="20"/>
      <c r="E845" s="20"/>
      <c r="F845" s="21"/>
      <c r="G845" s="45"/>
      <c r="H845" s="20"/>
      <c r="I845" s="20"/>
      <c r="J845" s="20"/>
      <c r="K845" s="20"/>
      <c r="L845" s="46"/>
      <c r="M845" s="33" t="str">
        <f>IFERROR(__xludf.DUMMYFUNCTION("IFS(W845=""Achat"",IFERROR(VALUE(X845),VALUE(REGEXREPLACE(T(X845),""[^0-9]"",""""))),W845=""Vente"",-IFERROR(VALUE(X845),VALUE(REGEXREPLACE(T(X845),""[^0-9]"",""""))),Y845=""Change"",0,Y845&lt;&gt;""Change"","""")"),"")</f>
        <v/>
      </c>
      <c r="N845" s="34" t="str">
        <f>IFERROR(__xludf.DUMMYFUNCTION("IF(Account!$F845&lt;&gt;"""", VALUE(REGEXREPLACE($I845, ""\,"", ""."")), """")"),"")</f>
        <v/>
      </c>
      <c r="O845" s="35" t="str">
        <f>IF(Account!$F845&lt;&gt;"", DATEVALUE(MID($A845,4,3) &amp; LEFT($A845,3) &amp; RIGHT($A845,4)) + TIMEVALUE($B845), "")</f>
        <v/>
      </c>
      <c r="P845" s="36" t="str">
        <f>IF(Account!$F845&lt;&gt;"", DATEVALUE(MID($C845,4,3) &amp; LEFT($C845,3) &amp; RIGHT($C845,4)), "")</f>
        <v/>
      </c>
      <c r="Q845" s="37" t="str">
        <f t="array" ref="Q845">IF($R845&lt;&gt;"",IFERROR(INDEX(ISIN!$B:$B,MATCH($R845,ISIN!$C:$C,0))),)</f>
        <v/>
      </c>
      <c r="R845" s="38" t="str">
        <f t="array" ref="R845">IF($E845&lt;&gt;"",IFERROR(INDEX(ISIN!$C:$C,MATCH($E845,ISIN!$A:$A,0)),IFERROR(INDEX($R846:$R1200,MATCH($K845,$K846:$K1200,0)))),IF(AND($Y845="change",$H845="EUR"),IF($O845=$O846,$R846,IF($O845=$O844,$R844)),IFERROR(INDEX($R846:$R1200,MATCH(SUBSTITUTE($I845,"-","",1),$K846:$K1200,0)))))</f>
        <v/>
      </c>
      <c r="S845" s="37" t="str">
        <f t="shared" si="1"/>
        <v/>
      </c>
      <c r="T845" s="39" t="str">
        <f t="shared" si="2"/>
        <v/>
      </c>
      <c r="U845" s="40" t="str">
        <f t="shared" si="3"/>
        <v/>
      </c>
      <c r="V845" s="34" t="str">
        <f t="shared" si="4"/>
        <v/>
      </c>
      <c r="W845" s="41" t="str">
        <f>IFERROR(__xludf.DUMMYFUNCTION(" IF(Account!$F845&lt;&gt;"""", SPLIT(Account!$F845, "" ""), """")"),"")</f>
        <v/>
      </c>
      <c r="X845" s="42"/>
      <c r="Y845" s="42"/>
      <c r="Z845" s="42"/>
      <c r="AA845" s="42"/>
      <c r="AB845" s="42"/>
      <c r="AC845" s="42"/>
      <c r="AD845" s="42"/>
      <c r="AE845" s="42"/>
      <c r="AF845" s="42"/>
      <c r="AG845" s="42"/>
      <c r="AH845" s="42"/>
      <c r="AI845" s="42"/>
      <c r="AJ845" s="42"/>
      <c r="AK845" s="42"/>
    </row>
    <row r="846">
      <c r="A846" s="20"/>
      <c r="B846" s="20"/>
      <c r="C846" s="20"/>
      <c r="D846" s="45"/>
      <c r="E846" s="45"/>
      <c r="F846" s="21"/>
      <c r="G846" s="45"/>
      <c r="H846" s="20"/>
      <c r="I846" s="20"/>
      <c r="J846" s="20"/>
      <c r="K846" s="20"/>
      <c r="L846" s="46"/>
      <c r="M846" s="33" t="str">
        <f>IFERROR(__xludf.DUMMYFUNCTION("IFS(W846=""Achat"",IFERROR(VALUE(X846),VALUE(REGEXREPLACE(T(X846),""[^0-9]"",""""))),W846=""Vente"",-IFERROR(VALUE(X846),VALUE(REGEXREPLACE(T(X846),""[^0-9]"",""""))),Y846=""Change"",0,Y846&lt;&gt;""Change"","""")"),"")</f>
        <v/>
      </c>
      <c r="N846" s="34" t="str">
        <f>IFERROR(__xludf.DUMMYFUNCTION("IF(Account!$F846&lt;&gt;"""", VALUE(REGEXREPLACE($I846, ""\,"", ""."")), """")"),"")</f>
        <v/>
      </c>
      <c r="O846" s="35" t="str">
        <f>IF(Account!$F846&lt;&gt;"", DATEVALUE(MID($A846,4,3) &amp; LEFT($A846,3) &amp; RIGHT($A846,4)) + TIMEVALUE($B846), "")</f>
        <v/>
      </c>
      <c r="P846" s="36" t="str">
        <f>IF(Account!$F846&lt;&gt;"", DATEVALUE(MID($C846,4,3) &amp; LEFT($C846,3) &amp; RIGHT($C846,4)), "")</f>
        <v/>
      </c>
      <c r="Q846" s="37" t="str">
        <f t="array" ref="Q846">IF($R846&lt;&gt;"",IFERROR(INDEX(ISIN!$B:$B,MATCH($R846,ISIN!$C:$C,0))),)</f>
        <v/>
      </c>
      <c r="R846" s="38" t="str">
        <f t="array" ref="R846">IF($E846&lt;&gt;"",IFERROR(INDEX(ISIN!$C:$C,MATCH($E846,ISIN!$A:$A,0)),IFERROR(INDEX($R847:$R1200,MATCH($K846,$K847:$K1200,0)))),IF(AND($Y846="change",$H846="EUR"),IF($O846=$O847,$R847,IF($O846=$O845,$R845)),IFERROR(INDEX($R847:$R1200,MATCH(SUBSTITUTE($I846,"-","",1),$K847:$K1200,0)))))</f>
        <v/>
      </c>
      <c r="S846" s="37" t="str">
        <f t="shared" si="1"/>
        <v/>
      </c>
      <c r="T846" s="39" t="str">
        <f t="shared" si="2"/>
        <v/>
      </c>
      <c r="U846" s="40" t="str">
        <f t="shared" si="3"/>
        <v/>
      </c>
      <c r="V846" s="34" t="str">
        <f t="shared" si="4"/>
        <v/>
      </c>
      <c r="W846" s="41" t="str">
        <f>IFERROR(__xludf.DUMMYFUNCTION(" IF(Account!$F846&lt;&gt;"""", SPLIT(Account!$F846, "" ""), """")"),"")</f>
        <v/>
      </c>
      <c r="X846" s="42"/>
      <c r="Y846" s="42"/>
      <c r="Z846" s="42"/>
      <c r="AA846" s="42"/>
      <c r="AB846" s="42"/>
      <c r="AC846" s="42"/>
      <c r="AD846" s="42"/>
      <c r="AE846" s="42"/>
      <c r="AF846" s="42"/>
      <c r="AG846" s="42"/>
      <c r="AH846" s="42"/>
      <c r="AI846" s="42"/>
      <c r="AJ846" s="42"/>
      <c r="AK846" s="42"/>
    </row>
    <row r="847">
      <c r="A847" s="20"/>
      <c r="B847" s="20"/>
      <c r="C847" s="20"/>
      <c r="D847" s="45"/>
      <c r="E847" s="45"/>
      <c r="F847" s="21"/>
      <c r="G847" s="20"/>
      <c r="H847" s="20"/>
      <c r="I847" s="20"/>
      <c r="J847" s="20"/>
      <c r="K847" s="20"/>
      <c r="L847" s="46"/>
      <c r="M847" s="33" t="str">
        <f>IFERROR(__xludf.DUMMYFUNCTION("IFS(W847=""Achat"",IFERROR(VALUE(X847),VALUE(REGEXREPLACE(T(X847),""[^0-9]"",""""))),W847=""Vente"",-IFERROR(VALUE(X847),VALUE(REGEXREPLACE(T(X847),""[^0-9]"",""""))),Y847=""Change"",0,Y847&lt;&gt;""Change"","""")"),"")</f>
        <v/>
      </c>
      <c r="N847" s="34" t="str">
        <f>IFERROR(__xludf.DUMMYFUNCTION("IF(Account!$F847&lt;&gt;"""", VALUE(REGEXREPLACE($I847, ""\,"", ""."")), """")"),"")</f>
        <v/>
      </c>
      <c r="O847" s="35" t="str">
        <f>IF(Account!$F847&lt;&gt;"", DATEVALUE(MID($A847,4,3) &amp; LEFT($A847,3) &amp; RIGHT($A847,4)) + TIMEVALUE($B847), "")</f>
        <v/>
      </c>
      <c r="P847" s="36" t="str">
        <f>IF(Account!$F847&lt;&gt;"", DATEVALUE(MID($C847,4,3) &amp; LEFT($C847,3) &amp; RIGHT($C847,4)), "")</f>
        <v/>
      </c>
      <c r="Q847" s="37" t="str">
        <f t="array" ref="Q847">IF($R847&lt;&gt;"",IFERROR(INDEX(ISIN!$B:$B,MATCH($R847,ISIN!$C:$C,0))),)</f>
        <v/>
      </c>
      <c r="R847" s="38" t="str">
        <f t="array" ref="R847">IF($E847&lt;&gt;"",IFERROR(INDEX(ISIN!$C:$C,MATCH($E847,ISIN!$A:$A,0)),IFERROR(INDEX($R848:$R1200,MATCH($K847,$K848:$K1200,0)))),IF(AND($Y847="change",$H847="EUR"),IF($O847=$O848,$R848,IF($O847=$O846,$R846)),IFERROR(INDEX($R848:$R1200,MATCH(SUBSTITUTE($I847,"-","",1),$K848:$K1200,0)))))</f>
        <v/>
      </c>
      <c r="S847" s="37" t="str">
        <f t="shared" si="1"/>
        <v/>
      </c>
      <c r="T847" s="39" t="str">
        <f t="shared" si="2"/>
        <v/>
      </c>
      <c r="U847" s="40" t="str">
        <f t="shared" si="3"/>
        <v/>
      </c>
      <c r="V847" s="34" t="str">
        <f t="shared" si="4"/>
        <v/>
      </c>
      <c r="W847" s="41" t="str">
        <f>IFERROR(__xludf.DUMMYFUNCTION(" IF(Account!$F847&lt;&gt;"""", SPLIT(Account!$F847, "" ""), """")"),"")</f>
        <v/>
      </c>
      <c r="X847" s="42"/>
      <c r="Y847" s="42"/>
      <c r="Z847" s="42"/>
      <c r="AA847" s="42"/>
      <c r="AB847" s="42"/>
      <c r="AC847" s="42"/>
      <c r="AD847" s="42"/>
      <c r="AE847" s="42"/>
      <c r="AF847" s="42"/>
      <c r="AG847" s="42"/>
      <c r="AH847" s="42"/>
      <c r="AI847" s="42"/>
      <c r="AJ847" s="42"/>
      <c r="AK847" s="42"/>
    </row>
    <row r="848">
      <c r="A848" s="20"/>
      <c r="B848" s="20"/>
      <c r="C848" s="20"/>
      <c r="D848" s="20"/>
      <c r="E848" s="20"/>
      <c r="F848" s="21"/>
      <c r="G848" s="45"/>
      <c r="H848" s="45"/>
      <c r="I848" s="45"/>
      <c r="J848" s="20"/>
      <c r="K848" s="20"/>
      <c r="L848" s="46"/>
      <c r="M848" s="33" t="str">
        <f>IFERROR(__xludf.DUMMYFUNCTION("IFS(W848=""Achat"",IFERROR(VALUE(X848),VALUE(REGEXREPLACE(T(X848),""[^0-9]"",""""))),W848=""Vente"",-IFERROR(VALUE(X848),VALUE(REGEXREPLACE(T(X848),""[^0-9]"",""""))),Y848=""Change"",0,Y848&lt;&gt;""Change"","""")"),"")</f>
        <v/>
      </c>
      <c r="N848" s="34" t="str">
        <f>IFERROR(__xludf.DUMMYFUNCTION("IF(Account!$F848&lt;&gt;"""", VALUE(REGEXREPLACE($I848, ""\,"", ""."")), """")"),"")</f>
        <v/>
      </c>
      <c r="O848" s="35" t="str">
        <f>IF(Account!$F848&lt;&gt;"", DATEVALUE(MID($A848,4,3) &amp; LEFT($A848,3) &amp; RIGHT($A848,4)) + TIMEVALUE($B848), "")</f>
        <v/>
      </c>
      <c r="P848" s="36" t="str">
        <f>IF(Account!$F848&lt;&gt;"", DATEVALUE(MID($C848,4,3) &amp; LEFT($C848,3) &amp; RIGHT($C848,4)), "")</f>
        <v/>
      </c>
      <c r="Q848" s="37" t="str">
        <f t="array" ref="Q848">IF($R848&lt;&gt;"",IFERROR(INDEX(ISIN!$B:$B,MATCH($R848,ISIN!$C:$C,0))),)</f>
        <v/>
      </c>
      <c r="R848" s="38" t="str">
        <f t="array" ref="R848">IF($E848&lt;&gt;"",IFERROR(INDEX(ISIN!$C:$C,MATCH($E848,ISIN!$A:$A,0)),IFERROR(INDEX($R849:$R1200,MATCH($K848,$K849:$K1200,0)))),IF(AND($Y848="change",$H848="EUR"),IF($O848=$O849,$R849,IF($O848=$O847,$R847)),IFERROR(INDEX($R849:$R1200,MATCH(SUBSTITUTE($I848,"-","",1),$K849:$K1200,0)))))</f>
        <v/>
      </c>
      <c r="S848" s="37" t="str">
        <f t="shared" si="1"/>
        <v/>
      </c>
      <c r="T848" s="39" t="str">
        <f t="shared" si="2"/>
        <v/>
      </c>
      <c r="U848" s="40" t="str">
        <f t="shared" si="3"/>
        <v/>
      </c>
      <c r="V848" s="34" t="str">
        <f t="shared" si="4"/>
        <v/>
      </c>
      <c r="W848" s="41" t="str">
        <f>IFERROR(__xludf.DUMMYFUNCTION(" IF(Account!$F848&lt;&gt;"""", SPLIT(Account!$F848, "" ""), """")"),"")</f>
        <v/>
      </c>
      <c r="X848" s="42"/>
      <c r="Y848" s="42"/>
      <c r="Z848" s="42"/>
      <c r="AA848" s="42"/>
      <c r="AB848" s="42"/>
      <c r="AC848" s="42"/>
      <c r="AD848" s="42"/>
      <c r="AE848" s="42"/>
      <c r="AF848" s="42"/>
      <c r="AG848" s="42"/>
      <c r="AH848" s="42"/>
      <c r="AI848" s="42"/>
      <c r="AJ848" s="42"/>
      <c r="AK848" s="42"/>
    </row>
    <row r="849">
      <c r="A849" s="20"/>
      <c r="B849" s="20"/>
      <c r="C849" s="20"/>
      <c r="D849" s="20"/>
      <c r="E849" s="20"/>
      <c r="F849" s="21"/>
      <c r="G849" s="45"/>
      <c r="H849" s="20"/>
      <c r="I849" s="20"/>
      <c r="J849" s="20"/>
      <c r="K849" s="20"/>
      <c r="L849" s="46"/>
      <c r="M849" s="33" t="str">
        <f>IFERROR(__xludf.DUMMYFUNCTION("IFS(W849=""Achat"",IFERROR(VALUE(X849),VALUE(REGEXREPLACE(T(X849),""[^0-9]"",""""))),W849=""Vente"",-IFERROR(VALUE(X849),VALUE(REGEXREPLACE(T(X849),""[^0-9]"",""""))),Y849=""Change"",0,Y849&lt;&gt;""Change"","""")"),"")</f>
        <v/>
      </c>
      <c r="N849" s="34" t="str">
        <f>IFERROR(__xludf.DUMMYFUNCTION("IF(Account!$F849&lt;&gt;"""", VALUE(REGEXREPLACE($I849, ""\,"", ""."")), """")"),"")</f>
        <v/>
      </c>
      <c r="O849" s="35" t="str">
        <f>IF(Account!$F849&lt;&gt;"", DATEVALUE(MID($A849,4,3) &amp; LEFT($A849,3) &amp; RIGHT($A849,4)) + TIMEVALUE($B849), "")</f>
        <v/>
      </c>
      <c r="P849" s="36" t="str">
        <f>IF(Account!$F849&lt;&gt;"", DATEVALUE(MID($C849,4,3) &amp; LEFT($C849,3) &amp; RIGHT($C849,4)), "")</f>
        <v/>
      </c>
      <c r="Q849" s="37" t="str">
        <f t="array" ref="Q849">IF($R849&lt;&gt;"",IFERROR(INDEX(ISIN!$B:$B,MATCH($R849,ISIN!$C:$C,0))),)</f>
        <v/>
      </c>
      <c r="R849" s="38" t="str">
        <f t="array" ref="R849">IF($E849&lt;&gt;"",IFERROR(INDEX(ISIN!$C:$C,MATCH($E849,ISIN!$A:$A,0)),IFERROR(INDEX($R850:$R1200,MATCH($K849,$K850:$K1200,0)))),IF(AND($Y849="change",$H849="EUR"),IF($O849=$O850,$R850,IF($O849=$O848,$R848)),IFERROR(INDEX($R850:$R1200,MATCH(SUBSTITUTE($I849,"-","",1),$K850:$K1200,0)))))</f>
        <v/>
      </c>
      <c r="S849" s="37" t="str">
        <f t="shared" si="1"/>
        <v/>
      </c>
      <c r="T849" s="39" t="str">
        <f t="shared" si="2"/>
        <v/>
      </c>
      <c r="U849" s="40" t="str">
        <f t="shared" si="3"/>
        <v/>
      </c>
      <c r="V849" s="34" t="str">
        <f t="shared" si="4"/>
        <v/>
      </c>
      <c r="W849" s="41" t="str">
        <f>IFERROR(__xludf.DUMMYFUNCTION(" IF(Account!$F849&lt;&gt;"""", SPLIT(Account!$F849, "" ""), """")"),"")</f>
        <v/>
      </c>
      <c r="X849" s="42"/>
      <c r="Y849" s="42"/>
      <c r="Z849" s="42"/>
      <c r="AA849" s="42"/>
      <c r="AB849" s="42"/>
      <c r="AC849" s="42"/>
      <c r="AD849" s="42"/>
      <c r="AE849" s="42"/>
      <c r="AF849" s="42"/>
      <c r="AG849" s="42"/>
      <c r="AH849" s="42"/>
      <c r="AI849" s="42"/>
      <c r="AJ849" s="42"/>
      <c r="AK849" s="42"/>
    </row>
    <row r="850">
      <c r="A850" s="20"/>
      <c r="B850" s="20"/>
      <c r="C850" s="20"/>
      <c r="D850" s="20"/>
      <c r="E850" s="20"/>
      <c r="F850" s="21"/>
      <c r="G850" s="20"/>
      <c r="H850" s="20"/>
      <c r="I850" s="20"/>
      <c r="J850" s="20"/>
      <c r="K850" s="20"/>
      <c r="L850" s="21"/>
      <c r="M850" s="33" t="str">
        <f>IFERROR(__xludf.DUMMYFUNCTION("IFS(W850=""Achat"",IFERROR(VALUE(X850),VALUE(REGEXREPLACE(T(X850),""[^0-9]"",""""))),W850=""Vente"",-IFERROR(VALUE(X850),VALUE(REGEXREPLACE(T(X850),""[^0-9]"",""""))),Y850=""Change"",0,Y850&lt;&gt;""Change"","""")"),"")</f>
        <v/>
      </c>
      <c r="N850" s="34" t="str">
        <f>IFERROR(__xludf.DUMMYFUNCTION("IF(Account!$F850&lt;&gt;"""", VALUE(REGEXREPLACE($I850, ""\,"", ""."")), """")"),"")</f>
        <v/>
      </c>
      <c r="O850" s="35" t="str">
        <f>IF(Account!$F850&lt;&gt;"", DATEVALUE(MID($A850,4,3) &amp; LEFT($A850,3) &amp; RIGHT($A850,4)) + TIMEVALUE($B850), "")</f>
        <v/>
      </c>
      <c r="P850" s="36" t="str">
        <f>IF(Account!$F850&lt;&gt;"", DATEVALUE(MID($C850,4,3) &amp; LEFT($C850,3) &amp; RIGHT($C850,4)), "")</f>
        <v/>
      </c>
      <c r="Q850" s="37" t="str">
        <f t="array" ref="Q850">IF($R850&lt;&gt;"",IFERROR(INDEX(ISIN!$B:$B,MATCH($R850,ISIN!$C:$C,0))),)</f>
        <v/>
      </c>
      <c r="R850" s="38" t="str">
        <f t="array" ref="R850">IF($E850&lt;&gt;"",IFERROR(INDEX(ISIN!$C:$C,MATCH($E850,ISIN!$A:$A,0)),IFERROR(INDEX($R851:$R1200,MATCH($K850,$K851:$K1200,0)))),IF(AND($Y850="change",$H850="EUR"),IF($O850=$O851,$R851,IF($O850=$O849,$R849)),IFERROR(INDEX($R851:$R1200,MATCH(SUBSTITUTE($I850,"-","",1),$K851:$K1200,0)))))</f>
        <v/>
      </c>
      <c r="S850" s="37" t="str">
        <f t="shared" si="1"/>
        <v/>
      </c>
      <c r="T850" s="39" t="str">
        <f t="shared" si="2"/>
        <v/>
      </c>
      <c r="U850" s="40" t="str">
        <f t="shared" si="3"/>
        <v/>
      </c>
      <c r="V850" s="34" t="str">
        <f t="shared" si="4"/>
        <v/>
      </c>
      <c r="W850" s="41" t="str">
        <f>IFERROR(__xludf.DUMMYFUNCTION(" IF(Account!$F850&lt;&gt;"""", SPLIT(Account!$F850, "" ""), """")"),"")</f>
        <v/>
      </c>
      <c r="X850" s="42"/>
      <c r="Y850" s="42"/>
      <c r="Z850" s="42"/>
      <c r="AA850" s="42"/>
      <c r="AB850" s="42"/>
      <c r="AC850" s="42"/>
      <c r="AD850" s="42"/>
      <c r="AE850" s="42"/>
      <c r="AF850" s="42"/>
      <c r="AG850" s="42"/>
      <c r="AH850" s="42"/>
      <c r="AI850" s="42"/>
      <c r="AJ850" s="42"/>
      <c r="AK850" s="42"/>
    </row>
    <row r="851">
      <c r="A851" s="20"/>
      <c r="B851" s="20"/>
      <c r="C851" s="20"/>
      <c r="D851" s="20"/>
      <c r="E851" s="20"/>
      <c r="F851" s="21"/>
      <c r="G851" s="45"/>
      <c r="H851" s="20"/>
      <c r="I851" s="20"/>
      <c r="J851" s="20"/>
      <c r="K851" s="20"/>
      <c r="L851" s="21"/>
      <c r="M851" s="33" t="str">
        <f>IFERROR(__xludf.DUMMYFUNCTION("IFS(W851=""Achat"",IFERROR(VALUE(X851),VALUE(REGEXREPLACE(T(X851),""[^0-9]"",""""))),W851=""Vente"",-IFERROR(VALUE(X851),VALUE(REGEXREPLACE(T(X851),""[^0-9]"",""""))),Y851=""Change"",0,Y851&lt;&gt;""Change"","""")"),"")</f>
        <v/>
      </c>
      <c r="N851" s="34" t="str">
        <f>IFERROR(__xludf.DUMMYFUNCTION("IF(Account!$F851&lt;&gt;"""", VALUE(REGEXREPLACE($I851, ""\,"", ""."")), """")"),"")</f>
        <v/>
      </c>
      <c r="O851" s="35" t="str">
        <f>IF(Account!$F851&lt;&gt;"", DATEVALUE(MID($A851,4,3) &amp; LEFT($A851,3) &amp; RIGHT($A851,4)) + TIMEVALUE($B851), "")</f>
        <v/>
      </c>
      <c r="P851" s="36" t="str">
        <f>IF(Account!$F851&lt;&gt;"", DATEVALUE(MID($C851,4,3) &amp; LEFT($C851,3) &amp; RIGHT($C851,4)), "")</f>
        <v/>
      </c>
      <c r="Q851" s="37" t="str">
        <f t="array" ref="Q851">IF($R851&lt;&gt;"",IFERROR(INDEX(ISIN!$B:$B,MATCH($R851,ISIN!$C:$C,0))),)</f>
        <v/>
      </c>
      <c r="R851" s="38" t="str">
        <f t="array" ref="R851">IF($E851&lt;&gt;"",IFERROR(INDEX(ISIN!$C:$C,MATCH($E851,ISIN!$A:$A,0)),IFERROR(INDEX($R852:$R1200,MATCH($K851,$K852:$K1200,0)))),IF(AND($Y851="change",$H851="EUR"),IF($O851=$O852,$R852,IF($O851=$O850,$R850)),IFERROR(INDEX($R852:$R1200,MATCH(SUBSTITUTE($I851,"-","",1),$K852:$K1200,0)))))</f>
        <v/>
      </c>
      <c r="S851" s="37" t="str">
        <f t="shared" si="1"/>
        <v/>
      </c>
      <c r="T851" s="39" t="str">
        <f t="shared" si="2"/>
        <v/>
      </c>
      <c r="U851" s="40" t="str">
        <f t="shared" si="3"/>
        <v/>
      </c>
      <c r="V851" s="34" t="str">
        <f t="shared" si="4"/>
        <v/>
      </c>
      <c r="W851" s="41" t="str">
        <f>IFERROR(__xludf.DUMMYFUNCTION(" IF(Account!$F851&lt;&gt;"""", SPLIT(Account!$F851, "" ""), """")"),"")</f>
        <v/>
      </c>
      <c r="X851" s="42"/>
      <c r="Y851" s="42"/>
      <c r="Z851" s="42"/>
      <c r="AA851" s="42"/>
      <c r="AB851" s="42"/>
      <c r="AC851" s="42"/>
      <c r="AD851" s="42"/>
      <c r="AE851" s="42"/>
      <c r="AF851" s="42"/>
      <c r="AG851" s="42"/>
      <c r="AH851" s="42"/>
      <c r="AI851" s="42"/>
      <c r="AJ851" s="42"/>
      <c r="AK851" s="42"/>
    </row>
    <row r="852">
      <c r="A852" s="20"/>
      <c r="B852" s="20"/>
      <c r="C852" s="20"/>
      <c r="D852" s="20"/>
      <c r="E852" s="20"/>
      <c r="F852" s="21"/>
      <c r="G852" s="45"/>
      <c r="H852" s="20"/>
      <c r="I852" s="20"/>
      <c r="J852" s="20"/>
      <c r="K852" s="20"/>
      <c r="L852" s="21"/>
      <c r="M852" s="33" t="str">
        <f>IFERROR(__xludf.DUMMYFUNCTION("IFS(W852=""Achat"",IFERROR(VALUE(X852),VALUE(REGEXREPLACE(T(X852),""[^0-9]"",""""))),W852=""Vente"",-IFERROR(VALUE(X852),VALUE(REGEXREPLACE(T(X852),""[^0-9]"",""""))),Y852=""Change"",0,Y852&lt;&gt;""Change"","""")"),"")</f>
        <v/>
      </c>
      <c r="N852" s="34" t="str">
        <f>IFERROR(__xludf.DUMMYFUNCTION("IF(Account!$F852&lt;&gt;"""", VALUE(REGEXREPLACE($I852, ""\,"", ""."")), """")"),"")</f>
        <v/>
      </c>
      <c r="O852" s="35" t="str">
        <f>IF(Account!$F852&lt;&gt;"", DATEVALUE(MID($A852,4,3) &amp; LEFT($A852,3) &amp; RIGHT($A852,4)) + TIMEVALUE($B852), "")</f>
        <v/>
      </c>
      <c r="P852" s="36" t="str">
        <f>IF(Account!$F852&lt;&gt;"", DATEVALUE(MID($C852,4,3) &amp; LEFT($C852,3) &amp; RIGHT($C852,4)), "")</f>
        <v/>
      </c>
      <c r="Q852" s="37" t="str">
        <f t="array" ref="Q852">IF($R852&lt;&gt;"",IFERROR(INDEX(ISIN!$B:$B,MATCH($R852,ISIN!$C:$C,0))),)</f>
        <v/>
      </c>
      <c r="R852" s="38" t="str">
        <f t="array" ref="R852">IF($E852&lt;&gt;"",IFERROR(INDEX(ISIN!$C:$C,MATCH($E852,ISIN!$A:$A,0)),IFERROR(INDEX($R853:$R1200,MATCH($K852,$K853:$K1200,0)))),IF(AND($Y852="change",$H852="EUR"),IF($O852=$O853,$R853,IF($O852=$O851,$R851)),IFERROR(INDEX($R853:$R1200,MATCH(SUBSTITUTE($I852,"-","",1),$K853:$K1200,0)))))</f>
        <v/>
      </c>
      <c r="S852" s="37" t="str">
        <f t="shared" si="1"/>
        <v/>
      </c>
      <c r="T852" s="39" t="str">
        <f t="shared" si="2"/>
        <v/>
      </c>
      <c r="U852" s="40" t="str">
        <f t="shared" si="3"/>
        <v/>
      </c>
      <c r="V852" s="34" t="str">
        <f t="shared" si="4"/>
        <v/>
      </c>
      <c r="W852" s="41" t="str">
        <f>IFERROR(__xludf.DUMMYFUNCTION(" IF(Account!$F852&lt;&gt;"""", SPLIT(Account!$F852, "" ""), """")"),"")</f>
        <v/>
      </c>
      <c r="X852" s="42"/>
      <c r="Y852" s="42"/>
      <c r="Z852" s="42"/>
      <c r="AA852" s="42"/>
      <c r="AB852" s="42"/>
      <c r="AC852" s="42"/>
      <c r="AD852" s="42"/>
      <c r="AE852" s="42"/>
      <c r="AF852" s="42"/>
      <c r="AG852" s="42"/>
      <c r="AH852" s="42"/>
      <c r="AI852" s="42"/>
      <c r="AJ852" s="42"/>
      <c r="AK852" s="42"/>
    </row>
    <row r="853">
      <c r="A853" s="20"/>
      <c r="B853" s="20"/>
      <c r="C853" s="20"/>
      <c r="D853" s="20"/>
      <c r="E853" s="20"/>
      <c r="F853" s="21"/>
      <c r="G853" s="45"/>
      <c r="H853" s="20"/>
      <c r="I853" s="20"/>
      <c r="J853" s="20"/>
      <c r="K853" s="20"/>
      <c r="L853" s="21"/>
      <c r="M853" s="33" t="str">
        <f>IFERROR(__xludf.DUMMYFUNCTION("IFS(W853=""Achat"",IFERROR(VALUE(X853),VALUE(REGEXREPLACE(T(X853),""[^0-9]"",""""))),W853=""Vente"",-IFERROR(VALUE(X853),VALUE(REGEXREPLACE(T(X853),""[^0-9]"",""""))),Y853=""Change"",0,Y853&lt;&gt;""Change"","""")"),"")</f>
        <v/>
      </c>
      <c r="N853" s="34" t="str">
        <f>IFERROR(__xludf.DUMMYFUNCTION("IF(Account!$F853&lt;&gt;"""", VALUE(REGEXREPLACE($I853, ""\,"", ""."")), """")"),"")</f>
        <v/>
      </c>
      <c r="O853" s="35" t="str">
        <f>IF(Account!$F853&lt;&gt;"", DATEVALUE(MID($A853,4,3) &amp; LEFT($A853,3) &amp; RIGHT($A853,4)) + TIMEVALUE($B853), "")</f>
        <v/>
      </c>
      <c r="P853" s="36" t="str">
        <f>IF(Account!$F853&lt;&gt;"", DATEVALUE(MID($C853,4,3) &amp; LEFT($C853,3) &amp; RIGHT($C853,4)), "")</f>
        <v/>
      </c>
      <c r="Q853" s="37" t="str">
        <f t="array" ref="Q853">IF($R853&lt;&gt;"",IFERROR(INDEX(ISIN!$B:$B,MATCH($R853,ISIN!$C:$C,0))),)</f>
        <v/>
      </c>
      <c r="R853" s="38" t="str">
        <f t="array" ref="R853">IF($E853&lt;&gt;"",IFERROR(INDEX(ISIN!$C:$C,MATCH($E853,ISIN!$A:$A,0)),IFERROR(INDEX($R854:$R1200,MATCH($K853,$K854:$K1200,0)))),IF(AND($Y853="change",$H853="EUR"),IF($O853=$O854,$R854,IF($O853=$O852,$R852)),IFERROR(INDEX($R854:$R1200,MATCH(SUBSTITUTE($I853,"-","",1),$K854:$K1200,0)))))</f>
        <v/>
      </c>
      <c r="S853" s="37" t="str">
        <f t="shared" si="1"/>
        <v/>
      </c>
      <c r="T853" s="39" t="str">
        <f t="shared" si="2"/>
        <v/>
      </c>
      <c r="U853" s="40" t="str">
        <f t="shared" si="3"/>
        <v/>
      </c>
      <c r="V853" s="34" t="str">
        <f t="shared" si="4"/>
        <v/>
      </c>
      <c r="W853" s="41" t="str">
        <f>IFERROR(__xludf.DUMMYFUNCTION(" IF(Account!$F853&lt;&gt;"""", SPLIT(Account!$F853, "" ""), """")"),"")</f>
        <v/>
      </c>
      <c r="X853" s="42"/>
      <c r="Y853" s="42"/>
      <c r="Z853" s="42"/>
      <c r="AA853" s="42"/>
      <c r="AB853" s="42"/>
      <c r="AC853" s="42"/>
      <c r="AD853" s="42"/>
      <c r="AE853" s="42"/>
      <c r="AF853" s="42"/>
      <c r="AG853" s="42"/>
      <c r="AH853" s="42"/>
      <c r="AI853" s="42"/>
      <c r="AJ853" s="42"/>
      <c r="AK853" s="42"/>
    </row>
    <row r="854">
      <c r="A854" s="20"/>
      <c r="B854" s="20"/>
      <c r="C854" s="20"/>
      <c r="D854" s="20"/>
      <c r="E854" s="20"/>
      <c r="F854" s="21"/>
      <c r="G854" s="45"/>
      <c r="H854" s="20"/>
      <c r="I854" s="20"/>
      <c r="J854" s="20"/>
      <c r="K854" s="20"/>
      <c r="L854" s="21"/>
      <c r="M854" s="33" t="str">
        <f>IFERROR(__xludf.DUMMYFUNCTION("IFS(W854=""Achat"",IFERROR(VALUE(X854),VALUE(REGEXREPLACE(T(X854),""[^0-9]"",""""))),W854=""Vente"",-IFERROR(VALUE(X854),VALUE(REGEXREPLACE(T(X854),""[^0-9]"",""""))),Y854=""Change"",0,Y854&lt;&gt;""Change"","""")"),"")</f>
        <v/>
      </c>
      <c r="N854" s="34" t="str">
        <f>IFERROR(__xludf.DUMMYFUNCTION("IF(Account!$F854&lt;&gt;"""", VALUE(REGEXREPLACE($I854, ""\,"", ""."")), """")"),"")</f>
        <v/>
      </c>
      <c r="O854" s="35" t="str">
        <f>IF(Account!$F854&lt;&gt;"", DATEVALUE(MID($A854,4,3) &amp; LEFT($A854,3) &amp; RIGHT($A854,4)) + TIMEVALUE($B854), "")</f>
        <v/>
      </c>
      <c r="P854" s="36" t="str">
        <f>IF(Account!$F854&lt;&gt;"", DATEVALUE(MID($C854,4,3) &amp; LEFT($C854,3) &amp; RIGHT($C854,4)), "")</f>
        <v/>
      </c>
      <c r="Q854" s="37" t="str">
        <f t="array" ref="Q854">IF($R854&lt;&gt;"",IFERROR(INDEX(ISIN!$B:$B,MATCH($R854,ISIN!$C:$C,0))),)</f>
        <v/>
      </c>
      <c r="R854" s="38" t="str">
        <f t="array" ref="R854">IF($E854&lt;&gt;"",IFERROR(INDEX(ISIN!$C:$C,MATCH($E854,ISIN!$A:$A,0)),IFERROR(INDEX($R855:$R1200,MATCH($K854,$K855:$K1200,0)))),IF(AND($Y854="change",$H854="EUR"),IF($O854=$O855,$R855,IF($O854=$O853,$R853)),IFERROR(INDEX($R855:$R1200,MATCH(SUBSTITUTE($I854,"-","",1),$K855:$K1200,0)))))</f>
        <v/>
      </c>
      <c r="S854" s="37" t="str">
        <f t="shared" si="1"/>
        <v/>
      </c>
      <c r="T854" s="39" t="str">
        <f t="shared" si="2"/>
        <v/>
      </c>
      <c r="U854" s="40" t="str">
        <f t="shared" si="3"/>
        <v/>
      </c>
      <c r="V854" s="34" t="str">
        <f t="shared" si="4"/>
        <v/>
      </c>
      <c r="W854" s="41" t="str">
        <f>IFERROR(__xludf.DUMMYFUNCTION(" IF(Account!$F854&lt;&gt;"""", SPLIT(Account!$F854, "" ""), """")"),"")</f>
        <v/>
      </c>
      <c r="X854" s="42"/>
      <c r="Y854" s="42"/>
      <c r="Z854" s="42"/>
      <c r="AA854" s="42"/>
      <c r="AB854" s="42"/>
      <c r="AC854" s="42"/>
      <c r="AD854" s="42"/>
      <c r="AE854" s="42"/>
      <c r="AF854" s="42"/>
      <c r="AG854" s="42"/>
      <c r="AH854" s="42"/>
      <c r="AI854" s="42"/>
      <c r="AJ854" s="42"/>
      <c r="AK854" s="42"/>
    </row>
    <row r="855">
      <c r="A855" s="20"/>
      <c r="B855" s="20"/>
      <c r="C855" s="20"/>
      <c r="D855" s="20"/>
      <c r="E855" s="20"/>
      <c r="F855" s="21"/>
      <c r="G855" s="20"/>
      <c r="H855" s="20"/>
      <c r="I855" s="20"/>
      <c r="J855" s="20"/>
      <c r="K855" s="20"/>
      <c r="L855" s="21"/>
      <c r="M855" s="33" t="str">
        <f>IFERROR(__xludf.DUMMYFUNCTION("IFS(W855=""Achat"",IFERROR(VALUE(X855),VALUE(REGEXREPLACE(T(X855),""[^0-9]"",""""))),W855=""Vente"",-IFERROR(VALUE(X855),VALUE(REGEXREPLACE(T(X855),""[^0-9]"",""""))),Y855=""Change"",0,Y855&lt;&gt;""Change"","""")"),"")</f>
        <v/>
      </c>
      <c r="N855" s="34" t="str">
        <f>IFERROR(__xludf.DUMMYFUNCTION("IF(Account!$F855&lt;&gt;"""", VALUE(REGEXREPLACE($I855, ""\,"", ""."")), """")"),"")</f>
        <v/>
      </c>
      <c r="O855" s="35" t="str">
        <f>IF(Account!$F855&lt;&gt;"", DATEVALUE(MID($A855,4,3) &amp; LEFT($A855,3) &amp; RIGHT($A855,4)) + TIMEVALUE($B855), "")</f>
        <v/>
      </c>
      <c r="P855" s="36" t="str">
        <f>IF(Account!$F855&lt;&gt;"", DATEVALUE(MID($C855,4,3) &amp; LEFT($C855,3) &amp; RIGHT($C855,4)), "")</f>
        <v/>
      </c>
      <c r="Q855" s="37" t="str">
        <f t="array" ref="Q855">IF($R855&lt;&gt;"",IFERROR(INDEX(ISIN!$B:$B,MATCH($R855,ISIN!$C:$C,0))),)</f>
        <v/>
      </c>
      <c r="R855" s="38" t="str">
        <f t="array" ref="R855">IF($E855&lt;&gt;"",IFERROR(INDEX(ISIN!$C:$C,MATCH($E855,ISIN!$A:$A,0)),IFERROR(INDEX($R856:$R1200,MATCH($K855,$K856:$K1200,0)))),IF(AND($Y855="change",$H855="EUR"),IF($O855=$O856,$R856,IF($O855=$O854,$R854)),IFERROR(INDEX($R856:$R1200,MATCH(SUBSTITUTE($I855,"-","",1),$K856:$K1200,0)))))</f>
        <v/>
      </c>
      <c r="S855" s="37" t="str">
        <f t="shared" si="1"/>
        <v/>
      </c>
      <c r="T855" s="39" t="str">
        <f t="shared" si="2"/>
        <v/>
      </c>
      <c r="U855" s="40" t="str">
        <f t="shared" si="3"/>
        <v/>
      </c>
      <c r="V855" s="34" t="str">
        <f t="shared" si="4"/>
        <v/>
      </c>
      <c r="W855" s="41" t="str">
        <f>IFERROR(__xludf.DUMMYFUNCTION(" IF(Account!$F855&lt;&gt;"""", SPLIT(Account!$F855, "" ""), """")"),"")</f>
        <v/>
      </c>
      <c r="X855" s="42"/>
      <c r="Y855" s="42"/>
      <c r="Z855" s="42"/>
      <c r="AA855" s="42"/>
      <c r="AB855" s="42"/>
      <c r="AC855" s="42"/>
      <c r="AD855" s="42"/>
      <c r="AE855" s="42"/>
      <c r="AF855" s="42"/>
      <c r="AG855" s="42"/>
      <c r="AH855" s="42"/>
      <c r="AI855" s="42"/>
      <c r="AJ855" s="42"/>
      <c r="AK855" s="42"/>
    </row>
    <row r="856">
      <c r="A856" s="20"/>
      <c r="B856" s="20"/>
      <c r="C856" s="20"/>
      <c r="D856" s="20"/>
      <c r="E856" s="20"/>
      <c r="F856" s="21"/>
      <c r="G856" s="45"/>
      <c r="H856" s="20"/>
      <c r="I856" s="20"/>
      <c r="J856" s="20"/>
      <c r="K856" s="20"/>
      <c r="L856" s="21"/>
      <c r="M856" s="33" t="str">
        <f>IFERROR(__xludf.DUMMYFUNCTION("IFS(W856=""Achat"",IFERROR(VALUE(X856),VALUE(REGEXREPLACE(T(X856),""[^0-9]"",""""))),W856=""Vente"",-IFERROR(VALUE(X856),VALUE(REGEXREPLACE(T(X856),""[^0-9]"",""""))),Y856=""Change"",0,Y856&lt;&gt;""Change"","""")"),"")</f>
        <v/>
      </c>
      <c r="N856" s="34" t="str">
        <f>IFERROR(__xludf.DUMMYFUNCTION("IF(Account!$F856&lt;&gt;"""", VALUE(REGEXREPLACE($I856, ""\,"", ""."")), """")"),"")</f>
        <v/>
      </c>
      <c r="O856" s="35" t="str">
        <f>IF(Account!$F856&lt;&gt;"", DATEVALUE(MID($A856,4,3) &amp; LEFT($A856,3) &amp; RIGHT($A856,4)) + TIMEVALUE($B856), "")</f>
        <v/>
      </c>
      <c r="P856" s="36" t="str">
        <f>IF(Account!$F856&lt;&gt;"", DATEVALUE(MID($C856,4,3) &amp; LEFT($C856,3) &amp; RIGHT($C856,4)), "")</f>
        <v/>
      </c>
      <c r="Q856" s="37" t="str">
        <f t="array" ref="Q856">IF($R856&lt;&gt;"",IFERROR(INDEX(ISIN!$B:$B,MATCH($R856,ISIN!$C:$C,0))),)</f>
        <v/>
      </c>
      <c r="R856" s="38" t="str">
        <f t="array" ref="R856">IF($E856&lt;&gt;"",IFERROR(INDEX(ISIN!$C:$C,MATCH($E856,ISIN!$A:$A,0)),IFERROR(INDEX($R857:$R1200,MATCH($K856,$K857:$K1200,0)))),IF(AND($Y856="change",$H856="EUR"),IF($O856=$O857,$R857,IF($O856=$O855,$R855)),IFERROR(INDEX($R857:$R1200,MATCH(SUBSTITUTE($I856,"-","",1),$K857:$K1200,0)))))</f>
        <v/>
      </c>
      <c r="S856" s="37" t="str">
        <f t="shared" si="1"/>
        <v/>
      </c>
      <c r="T856" s="39" t="str">
        <f t="shared" si="2"/>
        <v/>
      </c>
      <c r="U856" s="40" t="str">
        <f t="shared" si="3"/>
        <v/>
      </c>
      <c r="V856" s="34" t="str">
        <f t="shared" si="4"/>
        <v/>
      </c>
      <c r="W856" s="41" t="str">
        <f>IFERROR(__xludf.DUMMYFUNCTION(" IF(Account!$F856&lt;&gt;"""", SPLIT(Account!$F856, "" ""), """")"),"")</f>
        <v/>
      </c>
      <c r="X856" s="42"/>
      <c r="Y856" s="42"/>
      <c r="Z856" s="42"/>
      <c r="AA856" s="42"/>
      <c r="AB856" s="42"/>
      <c r="AC856" s="42"/>
      <c r="AD856" s="42"/>
      <c r="AE856" s="42"/>
      <c r="AF856" s="42"/>
      <c r="AG856" s="42"/>
      <c r="AH856" s="42"/>
      <c r="AI856" s="42"/>
      <c r="AJ856" s="42"/>
      <c r="AK856" s="42"/>
    </row>
    <row r="857">
      <c r="A857" s="20"/>
      <c r="B857" s="20"/>
      <c r="C857" s="20"/>
      <c r="D857" s="20"/>
      <c r="E857" s="20"/>
      <c r="F857" s="21"/>
      <c r="G857" s="45"/>
      <c r="H857" s="20"/>
      <c r="I857" s="20"/>
      <c r="J857" s="20"/>
      <c r="K857" s="20"/>
      <c r="L857" s="21"/>
      <c r="M857" s="33" t="str">
        <f>IFERROR(__xludf.DUMMYFUNCTION("IFS(W857=""Achat"",IFERROR(VALUE(X857),VALUE(REGEXREPLACE(T(X857),""[^0-9]"",""""))),W857=""Vente"",-IFERROR(VALUE(X857),VALUE(REGEXREPLACE(T(X857),""[^0-9]"",""""))),Y857=""Change"",0,Y857&lt;&gt;""Change"","""")"),"")</f>
        <v/>
      </c>
      <c r="N857" s="34" t="str">
        <f>IFERROR(__xludf.DUMMYFUNCTION("IF(Account!$F857&lt;&gt;"""", VALUE(REGEXREPLACE($I857, ""\,"", ""."")), """")"),"")</f>
        <v/>
      </c>
      <c r="O857" s="35" t="str">
        <f>IF(Account!$F857&lt;&gt;"", DATEVALUE(MID($A857,4,3) &amp; LEFT($A857,3) &amp; RIGHT($A857,4)) + TIMEVALUE($B857), "")</f>
        <v/>
      </c>
      <c r="P857" s="36" t="str">
        <f>IF(Account!$F857&lt;&gt;"", DATEVALUE(MID($C857,4,3) &amp; LEFT($C857,3) &amp; RIGHT($C857,4)), "")</f>
        <v/>
      </c>
      <c r="Q857" s="37" t="str">
        <f t="array" ref="Q857">IF($R857&lt;&gt;"",IFERROR(INDEX(ISIN!$B:$B,MATCH($R857,ISIN!$C:$C,0))),)</f>
        <v/>
      </c>
      <c r="R857" s="38" t="str">
        <f t="array" ref="R857">IF($E857&lt;&gt;"",IFERROR(INDEX(ISIN!$C:$C,MATCH($E857,ISIN!$A:$A,0)),IFERROR(INDEX($R858:$R1200,MATCH($K857,$K858:$K1200,0)))),IF(AND($Y857="change",$H857="EUR"),IF($O857=$O858,$R858,IF($O857=$O856,$R856)),IFERROR(INDEX($R858:$R1200,MATCH(SUBSTITUTE($I857,"-","",1),$K858:$K1200,0)))))</f>
        <v/>
      </c>
      <c r="S857" s="37" t="str">
        <f t="shared" si="1"/>
        <v/>
      </c>
      <c r="T857" s="39" t="str">
        <f t="shared" si="2"/>
        <v/>
      </c>
      <c r="U857" s="40" t="str">
        <f t="shared" si="3"/>
        <v/>
      </c>
      <c r="V857" s="34" t="str">
        <f t="shared" si="4"/>
        <v/>
      </c>
      <c r="W857" s="41" t="str">
        <f>IFERROR(__xludf.DUMMYFUNCTION(" IF(Account!$F857&lt;&gt;"""", SPLIT(Account!$F857, "" ""), """")"),"")</f>
        <v/>
      </c>
      <c r="X857" s="42"/>
      <c r="Y857" s="42"/>
      <c r="Z857" s="42"/>
      <c r="AA857" s="42"/>
      <c r="AB857" s="42"/>
      <c r="AC857" s="42"/>
      <c r="AD857" s="42"/>
      <c r="AE857" s="42"/>
      <c r="AF857" s="42"/>
      <c r="AG857" s="42"/>
      <c r="AH857" s="42"/>
      <c r="AI857" s="42"/>
      <c r="AJ857" s="42"/>
      <c r="AK857" s="42"/>
    </row>
    <row r="858">
      <c r="A858" s="20"/>
      <c r="B858" s="20"/>
      <c r="C858" s="20"/>
      <c r="D858" s="20"/>
      <c r="E858" s="20"/>
      <c r="F858" s="21"/>
      <c r="G858" s="20"/>
      <c r="H858" s="20"/>
      <c r="I858" s="20"/>
      <c r="J858" s="20"/>
      <c r="K858" s="20"/>
      <c r="L858" s="21"/>
      <c r="M858" s="33" t="str">
        <f>IFERROR(__xludf.DUMMYFUNCTION("IFS(W858=""Achat"",IFERROR(VALUE(X858),VALUE(REGEXREPLACE(T(X858),""[^0-9]"",""""))),W858=""Vente"",-IFERROR(VALUE(X858),VALUE(REGEXREPLACE(T(X858),""[^0-9]"",""""))),Y858=""Change"",0,Y858&lt;&gt;""Change"","""")"),"")</f>
        <v/>
      </c>
      <c r="N858" s="34" t="str">
        <f>IFERROR(__xludf.DUMMYFUNCTION("IF(Account!$F858&lt;&gt;"""", VALUE(REGEXREPLACE($I858, ""\,"", ""."")), """")"),"")</f>
        <v/>
      </c>
      <c r="O858" s="35" t="str">
        <f>IF(Account!$F858&lt;&gt;"", DATEVALUE(MID($A858,4,3) &amp; LEFT($A858,3) &amp; RIGHT($A858,4)) + TIMEVALUE($B858), "")</f>
        <v/>
      </c>
      <c r="P858" s="36" t="str">
        <f>IF(Account!$F858&lt;&gt;"", DATEVALUE(MID($C858,4,3) &amp; LEFT($C858,3) &amp; RIGHT($C858,4)), "")</f>
        <v/>
      </c>
      <c r="Q858" s="37" t="str">
        <f t="array" ref="Q858">IF($R858&lt;&gt;"",IFERROR(INDEX(ISIN!$B:$B,MATCH($R858,ISIN!$C:$C,0))),)</f>
        <v/>
      </c>
      <c r="R858" s="38" t="str">
        <f t="array" ref="R858">IF($E858&lt;&gt;"",IFERROR(INDEX(ISIN!$C:$C,MATCH($E858,ISIN!$A:$A,0)),IFERROR(INDEX($R859:$R1200,MATCH($K858,$K859:$K1200,0)))),IF(AND($Y858="change",$H858="EUR"),IF($O858=$O859,$R859,IF($O858=$O857,$R857)),IFERROR(INDEX($R859:$R1200,MATCH(SUBSTITUTE($I858,"-","",1),$K859:$K1200,0)))))</f>
        <v/>
      </c>
      <c r="S858" s="37" t="str">
        <f t="shared" si="1"/>
        <v/>
      </c>
      <c r="T858" s="39" t="str">
        <f t="shared" si="2"/>
        <v/>
      </c>
      <c r="U858" s="40" t="str">
        <f t="shared" si="3"/>
        <v/>
      </c>
      <c r="V858" s="34" t="str">
        <f t="shared" si="4"/>
        <v/>
      </c>
      <c r="W858" s="41" t="str">
        <f>IFERROR(__xludf.DUMMYFUNCTION(" IF(Account!$F858&lt;&gt;"""", SPLIT(Account!$F858, "" ""), """")"),"")</f>
        <v/>
      </c>
      <c r="X858" s="42"/>
      <c r="Y858" s="42"/>
      <c r="Z858" s="42"/>
      <c r="AA858" s="42"/>
      <c r="AB858" s="42"/>
      <c r="AC858" s="42"/>
      <c r="AD858" s="42"/>
      <c r="AE858" s="42"/>
      <c r="AF858" s="42"/>
      <c r="AG858" s="42"/>
      <c r="AH858" s="42"/>
      <c r="AI858" s="42"/>
      <c r="AJ858" s="42"/>
      <c r="AK858" s="42"/>
    </row>
    <row r="859">
      <c r="A859" s="20"/>
      <c r="B859" s="20"/>
      <c r="C859" s="20"/>
      <c r="D859" s="20"/>
      <c r="E859" s="20"/>
      <c r="F859" s="21"/>
      <c r="G859" s="45"/>
      <c r="H859" s="20"/>
      <c r="I859" s="20"/>
      <c r="J859" s="20"/>
      <c r="K859" s="20"/>
      <c r="L859" s="21"/>
      <c r="M859" s="33" t="str">
        <f>IFERROR(__xludf.DUMMYFUNCTION("IFS(W859=""Achat"",IFERROR(VALUE(X859),VALUE(REGEXREPLACE(T(X859),""[^0-9]"",""""))),W859=""Vente"",-IFERROR(VALUE(X859),VALUE(REGEXREPLACE(T(X859),""[^0-9]"",""""))),Y859=""Change"",0,Y859&lt;&gt;""Change"","""")"),"")</f>
        <v/>
      </c>
      <c r="N859" s="34" t="str">
        <f>IFERROR(__xludf.DUMMYFUNCTION("IF(Account!$F859&lt;&gt;"""", VALUE(REGEXREPLACE($I859, ""\,"", ""."")), """")"),"")</f>
        <v/>
      </c>
      <c r="O859" s="35" t="str">
        <f>IF(Account!$F859&lt;&gt;"", DATEVALUE(MID($A859,4,3) &amp; LEFT($A859,3) &amp; RIGHT($A859,4)) + TIMEVALUE($B859), "")</f>
        <v/>
      </c>
      <c r="P859" s="36" t="str">
        <f>IF(Account!$F859&lt;&gt;"", DATEVALUE(MID($C859,4,3) &amp; LEFT($C859,3) &amp; RIGHT($C859,4)), "")</f>
        <v/>
      </c>
      <c r="Q859" s="37" t="str">
        <f t="array" ref="Q859">IF($R859&lt;&gt;"",IFERROR(INDEX(ISIN!$B:$B,MATCH($R859,ISIN!$C:$C,0))),)</f>
        <v/>
      </c>
      <c r="R859" s="38" t="str">
        <f t="array" ref="R859">IF($E859&lt;&gt;"",IFERROR(INDEX(ISIN!$C:$C,MATCH($E859,ISIN!$A:$A,0)),IFERROR(INDEX($R860:$R1200,MATCH($K859,$K860:$K1200,0)))),IF(AND($Y859="change",$H859="EUR"),IF($O859=$O860,$R860,IF($O859=$O858,$R858)),IFERROR(INDEX($R860:$R1200,MATCH(SUBSTITUTE($I859,"-","",1),$K860:$K1200,0)))))</f>
        <v/>
      </c>
      <c r="S859" s="37" t="str">
        <f t="shared" si="1"/>
        <v/>
      </c>
      <c r="T859" s="39" t="str">
        <f t="shared" si="2"/>
        <v/>
      </c>
      <c r="U859" s="40" t="str">
        <f t="shared" si="3"/>
        <v/>
      </c>
      <c r="V859" s="34" t="str">
        <f t="shared" si="4"/>
        <v/>
      </c>
      <c r="W859" s="41" t="str">
        <f>IFERROR(__xludf.DUMMYFUNCTION(" IF(Account!$F859&lt;&gt;"""", SPLIT(Account!$F859, "" ""), """")"),"")</f>
        <v/>
      </c>
      <c r="X859" s="42"/>
      <c r="Y859" s="42"/>
      <c r="Z859" s="42"/>
      <c r="AA859" s="42"/>
      <c r="AB859" s="42"/>
      <c r="AC859" s="42"/>
      <c r="AD859" s="42"/>
      <c r="AE859" s="42"/>
      <c r="AF859" s="42"/>
      <c r="AG859" s="42"/>
      <c r="AH859" s="42"/>
      <c r="AI859" s="42"/>
      <c r="AJ859" s="42"/>
      <c r="AK859" s="42"/>
    </row>
    <row r="860">
      <c r="A860" s="20"/>
      <c r="B860" s="20"/>
      <c r="C860" s="20"/>
      <c r="D860" s="20"/>
      <c r="E860" s="20"/>
      <c r="F860" s="21"/>
      <c r="G860" s="45"/>
      <c r="H860" s="20"/>
      <c r="I860" s="20"/>
      <c r="J860" s="20"/>
      <c r="K860" s="20"/>
      <c r="L860" s="21"/>
      <c r="M860" s="33" t="str">
        <f>IFERROR(__xludf.DUMMYFUNCTION("IFS(W860=""Achat"",IFERROR(VALUE(X860),VALUE(REGEXREPLACE(T(X860),""[^0-9]"",""""))),W860=""Vente"",-IFERROR(VALUE(X860),VALUE(REGEXREPLACE(T(X860),""[^0-9]"",""""))),Y860=""Change"",0,Y860&lt;&gt;""Change"","""")"),"")</f>
        <v/>
      </c>
      <c r="N860" s="34" t="str">
        <f>IFERROR(__xludf.DUMMYFUNCTION("IF(Account!$F860&lt;&gt;"""", VALUE(REGEXREPLACE($I860, ""\,"", ""."")), """")"),"")</f>
        <v/>
      </c>
      <c r="O860" s="35" t="str">
        <f>IF(Account!$F860&lt;&gt;"", DATEVALUE(MID($A860,4,3) &amp; LEFT($A860,3) &amp; RIGHT($A860,4)) + TIMEVALUE($B860), "")</f>
        <v/>
      </c>
      <c r="P860" s="36" t="str">
        <f>IF(Account!$F860&lt;&gt;"", DATEVALUE(MID($C860,4,3) &amp; LEFT($C860,3) &amp; RIGHT($C860,4)), "")</f>
        <v/>
      </c>
      <c r="Q860" s="37" t="str">
        <f t="array" ref="Q860">IF($R860&lt;&gt;"",IFERROR(INDEX(ISIN!$B:$B,MATCH($R860,ISIN!$C:$C,0))),)</f>
        <v/>
      </c>
      <c r="R860" s="38" t="str">
        <f t="array" ref="R860">IF($E860&lt;&gt;"",IFERROR(INDEX(ISIN!$C:$C,MATCH($E860,ISIN!$A:$A,0)),IFERROR(INDEX($R861:$R1200,MATCH($K860,$K861:$K1200,0)))),IF(AND($Y860="change",$H860="EUR"),IF($O860=$O861,$R861,IF($O860=$O859,$R859)),IFERROR(INDEX($R861:$R1200,MATCH(SUBSTITUTE($I860,"-","",1),$K861:$K1200,0)))))</f>
        <v/>
      </c>
      <c r="S860" s="37" t="str">
        <f t="shared" si="1"/>
        <v/>
      </c>
      <c r="T860" s="39" t="str">
        <f t="shared" si="2"/>
        <v/>
      </c>
      <c r="U860" s="40" t="str">
        <f t="shared" si="3"/>
        <v/>
      </c>
      <c r="V860" s="34" t="str">
        <f t="shared" si="4"/>
        <v/>
      </c>
      <c r="W860" s="41" t="str">
        <f>IFERROR(__xludf.DUMMYFUNCTION(" IF(Account!$F860&lt;&gt;"""", SPLIT(Account!$F860, "" ""), """")"),"")</f>
        <v/>
      </c>
      <c r="X860" s="42"/>
      <c r="Y860" s="42"/>
      <c r="Z860" s="42"/>
      <c r="AA860" s="42"/>
      <c r="AB860" s="42"/>
      <c r="AC860" s="42"/>
      <c r="AD860" s="42"/>
      <c r="AE860" s="42"/>
      <c r="AF860" s="42"/>
      <c r="AG860" s="42"/>
      <c r="AH860" s="42"/>
      <c r="AI860" s="42"/>
      <c r="AJ860" s="42"/>
      <c r="AK860" s="42"/>
    </row>
    <row r="861">
      <c r="A861" s="20"/>
      <c r="B861" s="20"/>
      <c r="C861" s="20"/>
      <c r="D861" s="20"/>
      <c r="E861" s="20"/>
      <c r="F861" s="21"/>
      <c r="G861" s="45"/>
      <c r="H861" s="20"/>
      <c r="I861" s="20"/>
      <c r="J861" s="20"/>
      <c r="K861" s="20"/>
      <c r="L861" s="21"/>
      <c r="M861" s="33" t="str">
        <f>IFERROR(__xludf.DUMMYFUNCTION("IFS(W861=""Achat"",IFERROR(VALUE(X861),VALUE(REGEXREPLACE(T(X861),""[^0-9]"",""""))),W861=""Vente"",-IFERROR(VALUE(X861),VALUE(REGEXREPLACE(T(X861),""[^0-9]"",""""))),Y861=""Change"",0,Y861&lt;&gt;""Change"","""")"),"")</f>
        <v/>
      </c>
      <c r="N861" s="34" t="str">
        <f>IFERROR(__xludf.DUMMYFUNCTION("IF(Account!$F861&lt;&gt;"""", VALUE(REGEXREPLACE($I861, ""\,"", ""."")), """")"),"")</f>
        <v/>
      </c>
      <c r="O861" s="35" t="str">
        <f>IF(Account!$F861&lt;&gt;"", DATEVALUE(MID($A861,4,3) &amp; LEFT($A861,3) &amp; RIGHT($A861,4)) + TIMEVALUE($B861), "")</f>
        <v/>
      </c>
      <c r="P861" s="36" t="str">
        <f>IF(Account!$F861&lt;&gt;"", DATEVALUE(MID($C861,4,3) &amp; LEFT($C861,3) &amp; RIGHT($C861,4)), "")</f>
        <v/>
      </c>
      <c r="Q861" s="37" t="str">
        <f t="array" ref="Q861">IF($R861&lt;&gt;"",IFERROR(INDEX(ISIN!$B:$B,MATCH($R861,ISIN!$C:$C,0))),)</f>
        <v/>
      </c>
      <c r="R861" s="38" t="str">
        <f t="array" ref="R861">IF($E861&lt;&gt;"",IFERROR(INDEX(ISIN!$C:$C,MATCH($E861,ISIN!$A:$A,0)),IFERROR(INDEX($R862:$R1200,MATCH($K861,$K862:$K1200,0)))),IF(AND($Y861="change",$H861="EUR"),IF($O861=$O862,$R862,IF($O861=$O860,$R860)),IFERROR(INDEX($R862:$R1200,MATCH(SUBSTITUTE($I861,"-","",1),$K862:$K1200,0)))))</f>
        <v/>
      </c>
      <c r="S861" s="37" t="str">
        <f t="shared" si="1"/>
        <v/>
      </c>
      <c r="T861" s="39" t="str">
        <f t="shared" si="2"/>
        <v/>
      </c>
      <c r="U861" s="40" t="str">
        <f t="shared" si="3"/>
        <v/>
      </c>
      <c r="V861" s="34" t="str">
        <f t="shared" si="4"/>
        <v/>
      </c>
      <c r="W861" s="41" t="str">
        <f>IFERROR(__xludf.DUMMYFUNCTION(" IF(Account!$F861&lt;&gt;"""", SPLIT(Account!$F861, "" ""), """")"),"")</f>
        <v/>
      </c>
      <c r="X861" s="42"/>
      <c r="Y861" s="42"/>
      <c r="Z861" s="42"/>
      <c r="AA861" s="42"/>
      <c r="AB861" s="42"/>
      <c r="AC861" s="42"/>
      <c r="AD861" s="42"/>
      <c r="AE861" s="42"/>
      <c r="AF861" s="42"/>
      <c r="AG861" s="42"/>
      <c r="AH861" s="42"/>
      <c r="AI861" s="42"/>
      <c r="AJ861" s="42"/>
      <c r="AK861" s="42"/>
    </row>
    <row r="862">
      <c r="A862" s="20"/>
      <c r="B862" s="20"/>
      <c r="C862" s="20"/>
      <c r="D862" s="20"/>
      <c r="E862" s="20"/>
      <c r="F862" s="21"/>
      <c r="G862" s="45"/>
      <c r="H862" s="20"/>
      <c r="I862" s="20"/>
      <c r="J862" s="20"/>
      <c r="K862" s="20"/>
      <c r="L862" s="21"/>
      <c r="M862" s="33" t="str">
        <f>IFERROR(__xludf.DUMMYFUNCTION("IFS(W862=""Achat"",IFERROR(VALUE(X862),VALUE(REGEXREPLACE(T(X862),""[^0-9]"",""""))),W862=""Vente"",-IFERROR(VALUE(X862),VALUE(REGEXREPLACE(T(X862),""[^0-9]"",""""))),Y862=""Change"",0,Y862&lt;&gt;""Change"","""")"),"")</f>
        <v/>
      </c>
      <c r="N862" s="34" t="str">
        <f>IFERROR(__xludf.DUMMYFUNCTION("IF(Account!$F862&lt;&gt;"""", VALUE(REGEXREPLACE($I862, ""\,"", ""."")), """")"),"")</f>
        <v/>
      </c>
      <c r="O862" s="35" t="str">
        <f>IF(Account!$F862&lt;&gt;"", DATEVALUE(MID($A862,4,3) &amp; LEFT($A862,3) &amp; RIGHT($A862,4)) + TIMEVALUE($B862), "")</f>
        <v/>
      </c>
      <c r="P862" s="36" t="str">
        <f>IF(Account!$F862&lt;&gt;"", DATEVALUE(MID($C862,4,3) &amp; LEFT($C862,3) &amp; RIGHT($C862,4)), "")</f>
        <v/>
      </c>
      <c r="Q862" s="37" t="str">
        <f t="array" ref="Q862">IF($R862&lt;&gt;"",IFERROR(INDEX(ISIN!$B:$B,MATCH($R862,ISIN!$C:$C,0))),)</f>
        <v/>
      </c>
      <c r="R862" s="38" t="str">
        <f t="array" ref="R862">IF($E862&lt;&gt;"",IFERROR(INDEX(ISIN!$C:$C,MATCH($E862,ISIN!$A:$A,0)),IFERROR(INDEX($R863:$R1200,MATCH($K862,$K863:$K1200,0)))),IF(AND($Y862="change",$H862="EUR"),IF($O862=$O863,$R863,IF($O862=$O861,$R861)),IFERROR(INDEX($R863:$R1200,MATCH(SUBSTITUTE($I862,"-","",1),$K863:$K1200,0)))))</f>
        <v/>
      </c>
      <c r="S862" s="37" t="str">
        <f t="shared" si="1"/>
        <v/>
      </c>
      <c r="T862" s="39" t="str">
        <f t="shared" si="2"/>
        <v/>
      </c>
      <c r="U862" s="40" t="str">
        <f t="shared" si="3"/>
        <v/>
      </c>
      <c r="V862" s="34" t="str">
        <f t="shared" si="4"/>
        <v/>
      </c>
      <c r="W862" s="41" t="str">
        <f>IFERROR(__xludf.DUMMYFUNCTION(" IF(Account!$F862&lt;&gt;"""", SPLIT(Account!$F862, "" ""), """")"),"")</f>
        <v/>
      </c>
      <c r="X862" s="42"/>
      <c r="Y862" s="42"/>
      <c r="Z862" s="42"/>
      <c r="AA862" s="42"/>
      <c r="AB862" s="42"/>
      <c r="AC862" s="42"/>
      <c r="AD862" s="42"/>
      <c r="AE862" s="42"/>
      <c r="AF862" s="42"/>
      <c r="AG862" s="42"/>
      <c r="AH862" s="42"/>
      <c r="AI862" s="42"/>
      <c r="AJ862" s="42"/>
      <c r="AK862" s="42"/>
    </row>
    <row r="863">
      <c r="A863" s="20"/>
      <c r="B863" s="20"/>
      <c r="C863" s="20"/>
      <c r="D863" s="45"/>
      <c r="E863" s="45"/>
      <c r="F863" s="21"/>
      <c r="G863" s="45"/>
      <c r="H863" s="20"/>
      <c r="I863" s="20"/>
      <c r="J863" s="20"/>
      <c r="K863" s="20"/>
      <c r="L863" s="46"/>
      <c r="M863" s="33" t="str">
        <f>IFERROR(__xludf.DUMMYFUNCTION("IFS(W863=""Achat"",IFERROR(VALUE(X863),VALUE(REGEXREPLACE(T(X863),""[^0-9]"",""""))),W863=""Vente"",-IFERROR(VALUE(X863),VALUE(REGEXREPLACE(T(X863),""[^0-9]"",""""))),Y863=""Change"",0,Y863&lt;&gt;""Change"","""")"),"")</f>
        <v/>
      </c>
      <c r="N863" s="34" t="str">
        <f>IFERROR(__xludf.DUMMYFUNCTION("IF(Account!$F863&lt;&gt;"""", VALUE(REGEXREPLACE($I863, ""\,"", ""."")), """")"),"")</f>
        <v/>
      </c>
      <c r="O863" s="35" t="str">
        <f>IF(Account!$F863&lt;&gt;"", DATEVALUE(MID($A863,4,3) &amp; LEFT($A863,3) &amp; RIGHT($A863,4)) + TIMEVALUE($B863), "")</f>
        <v/>
      </c>
      <c r="P863" s="36" t="str">
        <f>IF(Account!$F863&lt;&gt;"", DATEVALUE(MID($C863,4,3) &amp; LEFT($C863,3) &amp; RIGHT($C863,4)), "")</f>
        <v/>
      </c>
      <c r="Q863" s="37" t="str">
        <f t="array" ref="Q863">IF($R863&lt;&gt;"",IFERROR(INDEX(ISIN!$B:$B,MATCH($R863,ISIN!$C:$C,0))),)</f>
        <v/>
      </c>
      <c r="R863" s="38" t="str">
        <f t="array" ref="R863">IF($E863&lt;&gt;"",IFERROR(INDEX(ISIN!$C:$C,MATCH($E863,ISIN!$A:$A,0)),IFERROR(INDEX($R864:$R1200,MATCH($K863,$K864:$K1200,0)))),IF(AND($Y863="change",$H863="EUR"),IF($O863=$O864,$R864,IF($O863=$O862,$R862)),IFERROR(INDEX($R864:$R1200,MATCH(SUBSTITUTE($I863,"-","",1),$K864:$K1200,0)))))</f>
        <v/>
      </c>
      <c r="S863" s="37" t="str">
        <f t="shared" si="1"/>
        <v/>
      </c>
      <c r="T863" s="39" t="str">
        <f t="shared" si="2"/>
        <v/>
      </c>
      <c r="U863" s="40" t="str">
        <f t="shared" si="3"/>
        <v/>
      </c>
      <c r="V863" s="34" t="str">
        <f t="shared" si="4"/>
        <v/>
      </c>
      <c r="W863" s="41" t="str">
        <f>IFERROR(__xludf.DUMMYFUNCTION(" IF(Account!$F863&lt;&gt;"""", SPLIT(Account!$F863, "" ""), """")"),"")</f>
        <v/>
      </c>
      <c r="X863" s="42"/>
      <c r="Y863" s="42"/>
      <c r="Z863" s="42"/>
      <c r="AA863" s="42"/>
      <c r="AB863" s="42"/>
      <c r="AC863" s="42"/>
      <c r="AD863" s="42"/>
      <c r="AE863" s="42"/>
      <c r="AF863" s="42"/>
      <c r="AG863" s="42"/>
      <c r="AH863" s="42"/>
      <c r="AI863" s="42"/>
      <c r="AJ863" s="42"/>
      <c r="AK863" s="42"/>
    </row>
    <row r="864">
      <c r="A864" s="20"/>
      <c r="B864" s="20"/>
      <c r="C864" s="20"/>
      <c r="D864" s="45"/>
      <c r="E864" s="45"/>
      <c r="F864" s="21"/>
      <c r="G864" s="20"/>
      <c r="H864" s="20"/>
      <c r="I864" s="20"/>
      <c r="J864" s="20"/>
      <c r="K864" s="20"/>
      <c r="L864" s="46"/>
      <c r="M864" s="33" t="str">
        <f>IFERROR(__xludf.DUMMYFUNCTION("IFS(W864=""Achat"",IFERROR(VALUE(X864),VALUE(REGEXREPLACE(T(X864),""[^0-9]"",""""))),W864=""Vente"",-IFERROR(VALUE(X864),VALUE(REGEXREPLACE(T(X864),""[^0-9]"",""""))),Y864=""Change"",0,Y864&lt;&gt;""Change"","""")"),"")</f>
        <v/>
      </c>
      <c r="N864" s="34" t="str">
        <f>IFERROR(__xludf.DUMMYFUNCTION("IF(Account!$F864&lt;&gt;"""", VALUE(REGEXREPLACE($I864, ""\,"", ""."")), """")"),"")</f>
        <v/>
      </c>
      <c r="O864" s="35" t="str">
        <f>IF(Account!$F864&lt;&gt;"", DATEVALUE(MID($A864,4,3) &amp; LEFT($A864,3) &amp; RIGHT($A864,4)) + TIMEVALUE($B864), "")</f>
        <v/>
      </c>
      <c r="P864" s="36" t="str">
        <f>IF(Account!$F864&lt;&gt;"", DATEVALUE(MID($C864,4,3) &amp; LEFT($C864,3) &amp; RIGHT($C864,4)), "")</f>
        <v/>
      </c>
      <c r="Q864" s="37" t="str">
        <f t="array" ref="Q864">IF($R864&lt;&gt;"",IFERROR(INDEX(ISIN!$B:$B,MATCH($R864,ISIN!$C:$C,0))),)</f>
        <v/>
      </c>
      <c r="R864" s="38" t="str">
        <f t="array" ref="R864">IF($E864&lt;&gt;"",IFERROR(INDEX(ISIN!$C:$C,MATCH($E864,ISIN!$A:$A,0)),IFERROR(INDEX($R865:$R1200,MATCH($K864,$K865:$K1200,0)))),IF(AND($Y864="change",$H864="EUR"),IF($O864=$O865,$R865,IF($O864=$O863,$R863)),IFERROR(INDEX($R865:$R1200,MATCH(SUBSTITUTE($I864,"-","",1),$K865:$K1200,0)))))</f>
        <v/>
      </c>
      <c r="S864" s="37" t="str">
        <f t="shared" si="1"/>
        <v/>
      </c>
      <c r="T864" s="39" t="str">
        <f t="shared" si="2"/>
        <v/>
      </c>
      <c r="U864" s="40" t="str">
        <f t="shared" si="3"/>
        <v/>
      </c>
      <c r="V864" s="34" t="str">
        <f t="shared" si="4"/>
        <v/>
      </c>
      <c r="W864" s="41" t="str">
        <f>IFERROR(__xludf.DUMMYFUNCTION(" IF(Account!$F864&lt;&gt;"""", SPLIT(Account!$F864, "" ""), """")"),"")</f>
        <v/>
      </c>
      <c r="X864" s="42"/>
      <c r="Y864" s="42"/>
      <c r="Z864" s="42"/>
      <c r="AA864" s="42"/>
      <c r="AB864" s="42"/>
      <c r="AC864" s="42"/>
      <c r="AD864" s="42"/>
      <c r="AE864" s="42"/>
      <c r="AF864" s="42"/>
      <c r="AG864" s="42"/>
      <c r="AH864" s="42"/>
      <c r="AI864" s="42"/>
      <c r="AJ864" s="42"/>
      <c r="AK864" s="42"/>
    </row>
    <row r="865">
      <c r="A865" s="20"/>
      <c r="B865" s="20"/>
      <c r="C865" s="20"/>
      <c r="D865" s="20"/>
      <c r="E865" s="20"/>
      <c r="F865" s="21"/>
      <c r="G865" s="45"/>
      <c r="H865" s="45"/>
      <c r="I865" s="45"/>
      <c r="J865" s="20"/>
      <c r="K865" s="20"/>
      <c r="L865" s="46"/>
      <c r="M865" s="33" t="str">
        <f>IFERROR(__xludf.DUMMYFUNCTION("IFS(W865=""Achat"",IFERROR(VALUE(X865),VALUE(REGEXREPLACE(T(X865),""[^0-9]"",""""))),W865=""Vente"",-IFERROR(VALUE(X865),VALUE(REGEXREPLACE(T(X865),""[^0-9]"",""""))),Y865=""Change"",0,Y865&lt;&gt;""Change"","""")"),"")</f>
        <v/>
      </c>
      <c r="N865" s="34" t="str">
        <f>IFERROR(__xludf.DUMMYFUNCTION("IF(Account!$F865&lt;&gt;"""", VALUE(REGEXREPLACE($I865, ""\,"", ""."")), """")"),"")</f>
        <v/>
      </c>
      <c r="O865" s="35" t="str">
        <f>IF(Account!$F865&lt;&gt;"", DATEVALUE(MID($A865,4,3) &amp; LEFT($A865,3) &amp; RIGHT($A865,4)) + TIMEVALUE($B865), "")</f>
        <v/>
      </c>
      <c r="P865" s="36" t="str">
        <f>IF(Account!$F865&lt;&gt;"", DATEVALUE(MID($C865,4,3) &amp; LEFT($C865,3) &amp; RIGHT($C865,4)), "")</f>
        <v/>
      </c>
      <c r="Q865" s="37" t="str">
        <f t="array" ref="Q865">IF($R865&lt;&gt;"",IFERROR(INDEX(ISIN!$B:$B,MATCH($R865,ISIN!$C:$C,0))),)</f>
        <v/>
      </c>
      <c r="R865" s="38" t="str">
        <f t="array" ref="R865">IF($E865&lt;&gt;"",IFERROR(INDEX(ISIN!$C:$C,MATCH($E865,ISIN!$A:$A,0)),IFERROR(INDEX($R866:$R1200,MATCH($K865,$K866:$K1200,0)))),IF(AND($Y865="change",$H865="EUR"),IF($O865=$O866,$R866,IF($O865=$O864,$R864)),IFERROR(INDEX($R866:$R1200,MATCH(SUBSTITUTE($I865,"-","",1),$K866:$K1200,0)))))</f>
        <v/>
      </c>
      <c r="S865" s="37" t="str">
        <f t="shared" si="1"/>
        <v/>
      </c>
      <c r="T865" s="39" t="str">
        <f t="shared" si="2"/>
        <v/>
      </c>
      <c r="U865" s="40" t="str">
        <f t="shared" si="3"/>
        <v/>
      </c>
      <c r="V865" s="34" t="str">
        <f t="shared" si="4"/>
        <v/>
      </c>
      <c r="W865" s="41" t="str">
        <f>IFERROR(__xludf.DUMMYFUNCTION(" IF(Account!$F865&lt;&gt;"""", SPLIT(Account!$F865, "" ""), """")"),"")</f>
        <v/>
      </c>
      <c r="X865" s="42"/>
      <c r="Y865" s="42"/>
      <c r="Z865" s="42"/>
      <c r="AA865" s="42"/>
      <c r="AB865" s="42"/>
      <c r="AC865" s="42"/>
      <c r="AD865" s="42"/>
      <c r="AE865" s="42"/>
      <c r="AF865" s="42"/>
      <c r="AG865" s="42"/>
      <c r="AH865" s="42"/>
      <c r="AI865" s="42"/>
      <c r="AJ865" s="42"/>
      <c r="AK865" s="42"/>
    </row>
    <row r="866">
      <c r="A866" s="20"/>
      <c r="B866" s="20"/>
      <c r="C866" s="20"/>
      <c r="D866" s="45"/>
      <c r="E866" s="45"/>
      <c r="F866" s="21"/>
      <c r="G866" s="45"/>
      <c r="H866" s="20"/>
      <c r="I866" s="20"/>
      <c r="J866" s="20"/>
      <c r="K866" s="20"/>
      <c r="L866" s="46"/>
      <c r="M866" s="33" t="str">
        <f>IFERROR(__xludf.DUMMYFUNCTION("IFS(W866=""Achat"",IFERROR(VALUE(X866),VALUE(REGEXREPLACE(T(X866),""[^0-9]"",""""))),W866=""Vente"",-IFERROR(VALUE(X866),VALUE(REGEXREPLACE(T(X866),""[^0-9]"",""""))),Y866=""Change"",0,Y866&lt;&gt;""Change"","""")"),"")</f>
        <v/>
      </c>
      <c r="N866" s="34" t="str">
        <f>IFERROR(__xludf.DUMMYFUNCTION("IF(Account!$F866&lt;&gt;"""", VALUE(REGEXREPLACE($I866, ""\,"", ""."")), """")"),"")</f>
        <v/>
      </c>
      <c r="O866" s="35" t="str">
        <f>IF(Account!$F866&lt;&gt;"", DATEVALUE(MID($A866,4,3) &amp; LEFT($A866,3) &amp; RIGHT($A866,4)) + TIMEVALUE($B866), "")</f>
        <v/>
      </c>
      <c r="P866" s="36" t="str">
        <f>IF(Account!$F866&lt;&gt;"", DATEVALUE(MID($C866,4,3) &amp; LEFT($C866,3) &amp; RIGHT($C866,4)), "")</f>
        <v/>
      </c>
      <c r="Q866" s="37" t="str">
        <f t="array" ref="Q866">IF($R866&lt;&gt;"",IFERROR(INDEX(ISIN!$B:$B,MATCH($R866,ISIN!$C:$C,0))),)</f>
        <v/>
      </c>
      <c r="R866" s="38" t="str">
        <f t="array" ref="R866">IF($E866&lt;&gt;"",IFERROR(INDEX(ISIN!$C:$C,MATCH($E866,ISIN!$A:$A,0)),IFERROR(INDEX($R867:$R1200,MATCH($K866,$K867:$K1200,0)))),IF(AND($Y866="change",$H866="EUR"),IF($O866=$O867,$R867,IF($O866=$O865,$R865)),IFERROR(INDEX($R867:$R1200,MATCH(SUBSTITUTE($I866,"-","",1),$K867:$K1200,0)))))</f>
        <v/>
      </c>
      <c r="S866" s="37" t="str">
        <f t="shared" si="1"/>
        <v/>
      </c>
      <c r="T866" s="39" t="str">
        <f t="shared" si="2"/>
        <v/>
      </c>
      <c r="U866" s="40" t="str">
        <f t="shared" si="3"/>
        <v/>
      </c>
      <c r="V866" s="34" t="str">
        <f t="shared" si="4"/>
        <v/>
      </c>
      <c r="W866" s="41" t="str">
        <f>IFERROR(__xludf.DUMMYFUNCTION(" IF(Account!$F866&lt;&gt;"""", SPLIT(Account!$F866, "" ""), """")"),"")</f>
        <v/>
      </c>
      <c r="X866" s="42"/>
      <c r="Y866" s="42"/>
      <c r="Z866" s="42"/>
      <c r="AA866" s="42"/>
      <c r="AB866" s="42"/>
      <c r="AC866" s="42"/>
      <c r="AD866" s="42"/>
      <c r="AE866" s="42"/>
      <c r="AF866" s="42"/>
      <c r="AG866" s="42"/>
      <c r="AH866" s="42"/>
      <c r="AI866" s="42"/>
      <c r="AJ866" s="42"/>
      <c r="AK866" s="42"/>
    </row>
    <row r="867">
      <c r="A867" s="20"/>
      <c r="B867" s="20"/>
      <c r="C867" s="20"/>
      <c r="D867" s="20"/>
      <c r="E867" s="20"/>
      <c r="F867" s="21"/>
      <c r="G867" s="45"/>
      <c r="H867" s="20"/>
      <c r="I867" s="20"/>
      <c r="J867" s="20"/>
      <c r="K867" s="20"/>
      <c r="L867" s="46"/>
      <c r="M867" s="33" t="str">
        <f>IFERROR(__xludf.DUMMYFUNCTION("IFS(W867=""Achat"",IFERROR(VALUE(X867),VALUE(REGEXREPLACE(T(X867),""[^0-9]"",""""))),W867=""Vente"",-IFERROR(VALUE(X867),VALUE(REGEXREPLACE(T(X867),""[^0-9]"",""""))),Y867=""Change"",0,Y867&lt;&gt;""Change"","""")"),"")</f>
        <v/>
      </c>
      <c r="N867" s="34" t="str">
        <f>IFERROR(__xludf.DUMMYFUNCTION("IF(Account!$F867&lt;&gt;"""", VALUE(REGEXREPLACE($I867, ""\,"", ""."")), """")"),"")</f>
        <v/>
      </c>
      <c r="O867" s="35" t="str">
        <f>IF(Account!$F867&lt;&gt;"", DATEVALUE(MID($A867,4,3) &amp; LEFT($A867,3) &amp; RIGHT($A867,4)) + TIMEVALUE($B867), "")</f>
        <v/>
      </c>
      <c r="P867" s="36" t="str">
        <f>IF(Account!$F867&lt;&gt;"", DATEVALUE(MID($C867,4,3) &amp; LEFT($C867,3) &amp; RIGHT($C867,4)), "")</f>
        <v/>
      </c>
      <c r="Q867" s="37" t="str">
        <f t="array" ref="Q867">IF($R867&lt;&gt;"",IFERROR(INDEX(ISIN!$B:$B,MATCH($R867,ISIN!$C:$C,0))),)</f>
        <v/>
      </c>
      <c r="R867" s="38" t="str">
        <f t="array" ref="R867">IF($E867&lt;&gt;"",IFERROR(INDEX(ISIN!$C:$C,MATCH($E867,ISIN!$A:$A,0)),IFERROR(INDEX($R868:$R1200,MATCH($K867,$K868:$K1200,0)))),IF(AND($Y867="change",$H867="EUR"),IF($O867=$O868,$R868,IF($O867=$O866,$R866)),IFERROR(INDEX($R868:$R1200,MATCH(SUBSTITUTE($I867,"-","",1),$K868:$K1200,0)))))</f>
        <v/>
      </c>
      <c r="S867" s="37" t="str">
        <f t="shared" si="1"/>
        <v/>
      </c>
      <c r="T867" s="39" t="str">
        <f t="shared" si="2"/>
        <v/>
      </c>
      <c r="U867" s="40" t="str">
        <f t="shared" si="3"/>
        <v/>
      </c>
      <c r="V867" s="34" t="str">
        <f t="shared" si="4"/>
        <v/>
      </c>
      <c r="W867" s="41" t="str">
        <f>IFERROR(__xludf.DUMMYFUNCTION(" IF(Account!$F867&lt;&gt;"""", SPLIT(Account!$F867, "" ""), """")"),"")</f>
        <v/>
      </c>
      <c r="X867" s="42"/>
      <c r="Y867" s="42"/>
      <c r="Z867" s="42"/>
      <c r="AA867" s="42"/>
      <c r="AB867" s="42"/>
      <c r="AC867" s="42"/>
      <c r="AD867" s="42"/>
      <c r="AE867" s="42"/>
      <c r="AF867" s="42"/>
      <c r="AG867" s="42"/>
      <c r="AH867" s="42"/>
      <c r="AI867" s="42"/>
      <c r="AJ867" s="42"/>
      <c r="AK867" s="42"/>
    </row>
    <row r="868">
      <c r="A868" s="20"/>
      <c r="B868" s="20"/>
      <c r="C868" s="20"/>
      <c r="D868" s="20"/>
      <c r="E868" s="20"/>
      <c r="F868" s="21"/>
      <c r="G868" s="45"/>
      <c r="H868" s="20"/>
      <c r="I868" s="20"/>
      <c r="J868" s="20"/>
      <c r="K868" s="20"/>
      <c r="L868" s="46"/>
      <c r="M868" s="33" t="str">
        <f>IFERROR(__xludf.DUMMYFUNCTION("IFS(W868=""Achat"",IFERROR(VALUE(X868),VALUE(REGEXREPLACE(T(X868),""[^0-9]"",""""))),W868=""Vente"",-IFERROR(VALUE(X868),VALUE(REGEXREPLACE(T(X868),""[^0-9]"",""""))),Y868=""Change"",0,Y868&lt;&gt;""Change"","""")"),"")</f>
        <v/>
      </c>
      <c r="N868" s="34" t="str">
        <f>IFERROR(__xludf.DUMMYFUNCTION("IF(Account!$F868&lt;&gt;"""", VALUE(REGEXREPLACE($I868, ""\,"", ""."")), """")"),"")</f>
        <v/>
      </c>
      <c r="O868" s="35" t="str">
        <f>IF(Account!$F868&lt;&gt;"", DATEVALUE(MID($A868,4,3) &amp; LEFT($A868,3) &amp; RIGHT($A868,4)) + TIMEVALUE($B868), "")</f>
        <v/>
      </c>
      <c r="P868" s="36" t="str">
        <f>IF(Account!$F868&lt;&gt;"", DATEVALUE(MID($C868,4,3) &amp; LEFT($C868,3) &amp; RIGHT($C868,4)), "")</f>
        <v/>
      </c>
      <c r="Q868" s="37" t="str">
        <f t="array" ref="Q868">IF($R868&lt;&gt;"",IFERROR(INDEX(ISIN!$B:$B,MATCH($R868,ISIN!$C:$C,0))),)</f>
        <v/>
      </c>
      <c r="R868" s="38" t="str">
        <f t="array" ref="R868">IF($E868&lt;&gt;"",IFERROR(INDEX(ISIN!$C:$C,MATCH($E868,ISIN!$A:$A,0)),IFERROR(INDEX($R869:$R1200,MATCH($K868,$K869:$K1200,0)))),IF(AND($Y868="change",$H868="EUR"),IF($O868=$O869,$R869,IF($O868=$O867,$R867)),IFERROR(INDEX($R869:$R1200,MATCH(SUBSTITUTE($I868,"-","",1),$K869:$K1200,0)))))</f>
        <v/>
      </c>
      <c r="S868" s="37" t="str">
        <f t="shared" si="1"/>
        <v/>
      </c>
      <c r="T868" s="39" t="str">
        <f t="shared" si="2"/>
        <v/>
      </c>
      <c r="U868" s="40" t="str">
        <f t="shared" si="3"/>
        <v/>
      </c>
      <c r="V868" s="34" t="str">
        <f t="shared" si="4"/>
        <v/>
      </c>
      <c r="W868" s="41" t="str">
        <f>IFERROR(__xludf.DUMMYFUNCTION(" IF(Account!$F868&lt;&gt;"""", SPLIT(Account!$F868, "" ""), """")"),"")</f>
        <v/>
      </c>
      <c r="X868" s="42"/>
      <c r="Y868" s="42"/>
      <c r="Z868" s="42"/>
      <c r="AA868" s="42"/>
      <c r="AB868" s="42"/>
      <c r="AC868" s="42"/>
      <c r="AD868" s="42"/>
      <c r="AE868" s="42"/>
      <c r="AF868" s="42"/>
      <c r="AG868" s="42"/>
      <c r="AH868" s="42"/>
      <c r="AI868" s="42"/>
      <c r="AJ868" s="42"/>
      <c r="AK868" s="42"/>
    </row>
    <row r="869">
      <c r="A869" s="20"/>
      <c r="B869" s="20"/>
      <c r="C869" s="20"/>
      <c r="D869" s="45"/>
      <c r="E869" s="45"/>
      <c r="F869" s="21"/>
      <c r="G869" s="45"/>
      <c r="H869" s="20"/>
      <c r="I869" s="20"/>
      <c r="J869" s="20"/>
      <c r="K869" s="20"/>
      <c r="L869" s="46"/>
      <c r="M869" s="33" t="str">
        <f>IFERROR(__xludf.DUMMYFUNCTION("IFS(W869=""Achat"",IFERROR(VALUE(X869),VALUE(REGEXREPLACE(T(X869),""[^0-9]"",""""))),W869=""Vente"",-IFERROR(VALUE(X869),VALUE(REGEXREPLACE(T(X869),""[^0-9]"",""""))),Y869=""Change"",0,Y869&lt;&gt;""Change"","""")"),"")</f>
        <v/>
      </c>
      <c r="N869" s="34" t="str">
        <f>IFERROR(__xludf.DUMMYFUNCTION("IF(Account!$F869&lt;&gt;"""", VALUE(REGEXREPLACE($I869, ""\,"", ""."")), """")"),"")</f>
        <v/>
      </c>
      <c r="O869" s="35" t="str">
        <f>IF(Account!$F869&lt;&gt;"", DATEVALUE(MID($A869,4,3) &amp; LEFT($A869,3) &amp; RIGHT($A869,4)) + TIMEVALUE($B869), "")</f>
        <v/>
      </c>
      <c r="P869" s="36" t="str">
        <f>IF(Account!$F869&lt;&gt;"", DATEVALUE(MID($C869,4,3) &amp; LEFT($C869,3) &amp; RIGHT($C869,4)), "")</f>
        <v/>
      </c>
      <c r="Q869" s="37" t="str">
        <f t="array" ref="Q869">IF($R869&lt;&gt;"",IFERROR(INDEX(ISIN!$B:$B,MATCH($R869,ISIN!$C:$C,0))),)</f>
        <v/>
      </c>
      <c r="R869" s="38" t="str">
        <f t="array" ref="R869">IF($E869&lt;&gt;"",IFERROR(INDEX(ISIN!$C:$C,MATCH($E869,ISIN!$A:$A,0)),IFERROR(INDEX($R870:$R1200,MATCH($K869,$K870:$K1200,0)))),IF(AND($Y869="change",$H869="EUR"),IF($O869=$O870,$R870,IF($O869=$O868,$R868)),IFERROR(INDEX($R870:$R1200,MATCH(SUBSTITUTE($I869,"-","",1),$K870:$K1200,0)))))</f>
        <v/>
      </c>
      <c r="S869" s="37" t="str">
        <f t="shared" si="1"/>
        <v/>
      </c>
      <c r="T869" s="39" t="str">
        <f t="shared" si="2"/>
        <v/>
      </c>
      <c r="U869" s="40" t="str">
        <f t="shared" si="3"/>
        <v/>
      </c>
      <c r="V869" s="34" t="str">
        <f t="shared" si="4"/>
        <v/>
      </c>
      <c r="W869" s="41" t="str">
        <f>IFERROR(__xludf.DUMMYFUNCTION(" IF(Account!$F869&lt;&gt;"""", SPLIT(Account!$F869, "" ""), """")"),"")</f>
        <v/>
      </c>
      <c r="X869" s="42"/>
      <c r="Y869" s="42"/>
      <c r="Z869" s="42"/>
      <c r="AA869" s="42"/>
      <c r="AB869" s="42"/>
      <c r="AC869" s="42"/>
      <c r="AD869" s="42"/>
      <c r="AE869" s="42"/>
      <c r="AF869" s="42"/>
      <c r="AG869" s="42"/>
      <c r="AH869" s="42"/>
      <c r="AI869" s="42"/>
      <c r="AJ869" s="42"/>
      <c r="AK869" s="42"/>
    </row>
    <row r="870">
      <c r="A870" s="20"/>
      <c r="B870" s="20"/>
      <c r="C870" s="20"/>
      <c r="D870" s="20"/>
      <c r="E870" s="20"/>
      <c r="F870" s="21"/>
      <c r="G870" s="45"/>
      <c r="H870" s="20"/>
      <c r="I870" s="20"/>
      <c r="J870" s="20"/>
      <c r="K870" s="20"/>
      <c r="L870" s="21"/>
      <c r="M870" s="33" t="str">
        <f>IFERROR(__xludf.DUMMYFUNCTION("IFS(W870=""Achat"",IFERROR(VALUE(X870),VALUE(REGEXREPLACE(T(X870),""[^0-9]"",""""))),W870=""Vente"",-IFERROR(VALUE(X870),VALUE(REGEXREPLACE(T(X870),""[^0-9]"",""""))),Y870=""Change"",0,Y870&lt;&gt;""Change"","""")"),"")</f>
        <v/>
      </c>
      <c r="N870" s="34" t="str">
        <f>IFERROR(__xludf.DUMMYFUNCTION("IF(Account!$F870&lt;&gt;"""", VALUE(REGEXREPLACE($I870, ""\,"", ""."")), """")"),"")</f>
        <v/>
      </c>
      <c r="O870" s="35" t="str">
        <f>IF(Account!$F870&lt;&gt;"", DATEVALUE(MID($A870,4,3) &amp; LEFT($A870,3) &amp; RIGHT($A870,4)) + TIMEVALUE($B870), "")</f>
        <v/>
      </c>
      <c r="P870" s="36" t="str">
        <f>IF(Account!$F870&lt;&gt;"", DATEVALUE(MID($C870,4,3) &amp; LEFT($C870,3) &amp; RIGHT($C870,4)), "")</f>
        <v/>
      </c>
      <c r="Q870" s="37" t="str">
        <f t="array" ref="Q870">IF($R870&lt;&gt;"",IFERROR(INDEX(ISIN!$B:$B,MATCH($R870,ISIN!$C:$C,0))),)</f>
        <v/>
      </c>
      <c r="R870" s="38" t="str">
        <f t="array" ref="R870">IF($E870&lt;&gt;"",IFERROR(INDEX(ISIN!$C:$C,MATCH($E870,ISIN!$A:$A,0)),IFERROR(INDEX($R871:$R1200,MATCH($K870,$K871:$K1200,0)))),IF(AND($Y870="change",$H870="EUR"),IF($O870=$O871,$R871,IF($O870=$O869,$R869)),IFERROR(INDEX($R871:$R1200,MATCH(SUBSTITUTE($I870,"-","",1),$K871:$K1200,0)))))</f>
        <v/>
      </c>
      <c r="S870" s="37" t="str">
        <f t="shared" si="1"/>
        <v/>
      </c>
      <c r="T870" s="39" t="str">
        <f t="shared" si="2"/>
        <v/>
      </c>
      <c r="U870" s="40" t="str">
        <f t="shared" si="3"/>
        <v/>
      </c>
      <c r="V870" s="34" t="str">
        <f t="shared" si="4"/>
        <v/>
      </c>
      <c r="W870" s="41" t="str">
        <f>IFERROR(__xludf.DUMMYFUNCTION(" IF(Account!$F870&lt;&gt;"""", SPLIT(Account!$F870, "" ""), """")"),"")</f>
        <v/>
      </c>
      <c r="X870" s="42"/>
      <c r="Y870" s="42"/>
      <c r="Z870" s="42"/>
      <c r="AA870" s="42"/>
      <c r="AB870" s="42"/>
      <c r="AC870" s="42"/>
      <c r="AD870" s="42"/>
      <c r="AE870" s="42"/>
      <c r="AF870" s="42"/>
      <c r="AG870" s="42"/>
      <c r="AH870" s="42"/>
      <c r="AI870" s="42"/>
      <c r="AJ870" s="42"/>
      <c r="AK870" s="42"/>
    </row>
    <row r="871">
      <c r="A871" s="20"/>
      <c r="B871" s="20"/>
      <c r="C871" s="20"/>
      <c r="D871" s="20"/>
      <c r="E871" s="20"/>
      <c r="F871" s="21"/>
      <c r="G871" s="20"/>
      <c r="H871" s="20"/>
      <c r="I871" s="20"/>
      <c r="J871" s="20"/>
      <c r="K871" s="20"/>
      <c r="L871" s="21"/>
      <c r="M871" s="33" t="str">
        <f>IFERROR(__xludf.DUMMYFUNCTION("IFS(W871=""Achat"",IFERROR(VALUE(X871),VALUE(REGEXREPLACE(T(X871),""[^0-9]"",""""))),W871=""Vente"",-IFERROR(VALUE(X871),VALUE(REGEXREPLACE(T(X871),""[^0-9]"",""""))),Y871=""Change"",0,Y871&lt;&gt;""Change"","""")"),"")</f>
        <v/>
      </c>
      <c r="N871" s="34" t="str">
        <f>IFERROR(__xludf.DUMMYFUNCTION("IF(Account!$F871&lt;&gt;"""", VALUE(REGEXREPLACE($I871, ""\,"", ""."")), """")"),"")</f>
        <v/>
      </c>
      <c r="O871" s="35" t="str">
        <f>IF(Account!$F871&lt;&gt;"", DATEVALUE(MID($A871,4,3) &amp; LEFT($A871,3) &amp; RIGHT($A871,4)) + TIMEVALUE($B871), "")</f>
        <v/>
      </c>
      <c r="P871" s="36" t="str">
        <f>IF(Account!$F871&lt;&gt;"", DATEVALUE(MID($C871,4,3) &amp; LEFT($C871,3) &amp; RIGHT($C871,4)), "")</f>
        <v/>
      </c>
      <c r="Q871" s="37" t="str">
        <f t="array" ref="Q871">IF($R871&lt;&gt;"",IFERROR(INDEX(ISIN!$B:$B,MATCH($R871,ISIN!$C:$C,0))),)</f>
        <v/>
      </c>
      <c r="R871" s="38" t="str">
        <f t="array" ref="R871">IF($E871&lt;&gt;"",IFERROR(INDEX(ISIN!$C:$C,MATCH($E871,ISIN!$A:$A,0)),IFERROR(INDEX($R872:$R1200,MATCH($K871,$K872:$K1200,0)))),IF(AND($Y871="change",$H871="EUR"),IF($O871=$O872,$R872,IF($O871=$O870,$R870)),IFERROR(INDEX($R872:$R1200,MATCH(SUBSTITUTE($I871,"-","",1),$K872:$K1200,0)))))</f>
        <v/>
      </c>
      <c r="S871" s="37" t="str">
        <f t="shared" si="1"/>
        <v/>
      </c>
      <c r="T871" s="39" t="str">
        <f t="shared" si="2"/>
        <v/>
      </c>
      <c r="U871" s="40" t="str">
        <f t="shared" si="3"/>
        <v/>
      </c>
      <c r="V871" s="34" t="str">
        <f t="shared" si="4"/>
        <v/>
      </c>
      <c r="W871" s="41" t="str">
        <f>IFERROR(__xludf.DUMMYFUNCTION(" IF(Account!$F871&lt;&gt;"""", SPLIT(Account!$F871, "" ""), """")"),"")</f>
        <v/>
      </c>
      <c r="X871" s="42"/>
      <c r="Y871" s="42"/>
      <c r="Z871" s="42"/>
      <c r="AA871" s="42"/>
      <c r="AB871" s="42"/>
      <c r="AC871" s="42"/>
      <c r="AD871" s="42"/>
      <c r="AE871" s="42"/>
      <c r="AF871" s="42"/>
      <c r="AG871" s="42"/>
      <c r="AH871" s="42"/>
      <c r="AI871" s="42"/>
      <c r="AJ871" s="42"/>
      <c r="AK871" s="42"/>
    </row>
    <row r="872">
      <c r="A872" s="20"/>
      <c r="B872" s="20"/>
      <c r="C872" s="20"/>
      <c r="D872" s="20"/>
      <c r="E872" s="20"/>
      <c r="F872" s="21"/>
      <c r="G872" s="45"/>
      <c r="H872" s="20"/>
      <c r="I872" s="20"/>
      <c r="J872" s="20"/>
      <c r="K872" s="20"/>
      <c r="L872" s="21"/>
      <c r="M872" s="33" t="str">
        <f>IFERROR(__xludf.DUMMYFUNCTION("IFS(W872=""Achat"",IFERROR(VALUE(X872),VALUE(REGEXREPLACE(T(X872),""[^0-9]"",""""))),W872=""Vente"",-IFERROR(VALUE(X872),VALUE(REGEXREPLACE(T(X872),""[^0-9]"",""""))),Y872=""Change"",0,Y872&lt;&gt;""Change"","""")"),"")</f>
        <v/>
      </c>
      <c r="N872" s="34" t="str">
        <f>IFERROR(__xludf.DUMMYFUNCTION("IF(Account!$F872&lt;&gt;"""", VALUE(REGEXREPLACE($I872, ""\,"", ""."")), """")"),"")</f>
        <v/>
      </c>
      <c r="O872" s="35" t="str">
        <f>IF(Account!$F872&lt;&gt;"", DATEVALUE(MID($A872,4,3) &amp; LEFT($A872,3) &amp; RIGHT($A872,4)) + TIMEVALUE($B872), "")</f>
        <v/>
      </c>
      <c r="P872" s="36" t="str">
        <f>IF(Account!$F872&lt;&gt;"", DATEVALUE(MID($C872,4,3) &amp; LEFT($C872,3) &amp; RIGHT($C872,4)), "")</f>
        <v/>
      </c>
      <c r="Q872" s="37" t="str">
        <f t="array" ref="Q872">IF($R872&lt;&gt;"",IFERROR(INDEX(ISIN!$B:$B,MATCH($R872,ISIN!$C:$C,0))),)</f>
        <v/>
      </c>
      <c r="R872" s="38" t="str">
        <f t="array" ref="R872">IF($E872&lt;&gt;"",IFERROR(INDEX(ISIN!$C:$C,MATCH($E872,ISIN!$A:$A,0)),IFERROR(INDEX($R873:$R1200,MATCH($K872,$K873:$K1200,0)))),IF(AND($Y872="change",$H872="EUR"),IF($O872=$O873,$R873,IF($O872=$O871,$R871)),IFERROR(INDEX($R873:$R1200,MATCH(SUBSTITUTE($I872,"-","",1),$K873:$K1200,0)))))</f>
        <v/>
      </c>
      <c r="S872" s="37" t="str">
        <f t="shared" si="1"/>
        <v/>
      </c>
      <c r="T872" s="39" t="str">
        <f t="shared" si="2"/>
        <v/>
      </c>
      <c r="U872" s="40" t="str">
        <f t="shared" si="3"/>
        <v/>
      </c>
      <c r="V872" s="34" t="str">
        <f t="shared" si="4"/>
        <v/>
      </c>
      <c r="W872" s="41" t="str">
        <f>IFERROR(__xludf.DUMMYFUNCTION(" IF(Account!$F872&lt;&gt;"""", SPLIT(Account!$F872, "" ""), """")"),"")</f>
        <v/>
      </c>
      <c r="X872" s="42"/>
      <c r="Y872" s="42"/>
      <c r="Z872" s="42"/>
      <c r="AA872" s="42"/>
      <c r="AB872" s="42"/>
      <c r="AC872" s="42"/>
      <c r="AD872" s="42"/>
      <c r="AE872" s="42"/>
      <c r="AF872" s="42"/>
      <c r="AG872" s="42"/>
      <c r="AH872" s="42"/>
      <c r="AI872" s="42"/>
      <c r="AJ872" s="42"/>
      <c r="AK872" s="42"/>
    </row>
    <row r="873">
      <c r="A873" s="20"/>
      <c r="B873" s="20"/>
      <c r="C873" s="20"/>
      <c r="D873" s="20"/>
      <c r="E873" s="20"/>
      <c r="F873" s="21"/>
      <c r="G873" s="45"/>
      <c r="H873" s="20"/>
      <c r="I873" s="20"/>
      <c r="J873" s="20"/>
      <c r="K873" s="20"/>
      <c r="L873" s="21"/>
      <c r="M873" s="33" t="str">
        <f>IFERROR(__xludf.DUMMYFUNCTION("IFS(W873=""Achat"",IFERROR(VALUE(X873),VALUE(REGEXREPLACE(T(X873),""[^0-9]"",""""))),W873=""Vente"",-IFERROR(VALUE(X873),VALUE(REGEXREPLACE(T(X873),""[^0-9]"",""""))),Y873=""Change"",0,Y873&lt;&gt;""Change"","""")"),"")</f>
        <v/>
      </c>
      <c r="N873" s="34" t="str">
        <f>IFERROR(__xludf.DUMMYFUNCTION("IF(Account!$F873&lt;&gt;"""", VALUE(REGEXREPLACE($I873, ""\,"", ""."")), """")"),"")</f>
        <v/>
      </c>
      <c r="O873" s="35" t="str">
        <f>IF(Account!$F873&lt;&gt;"", DATEVALUE(MID($A873,4,3) &amp; LEFT($A873,3) &amp; RIGHT($A873,4)) + TIMEVALUE($B873), "")</f>
        <v/>
      </c>
      <c r="P873" s="36" t="str">
        <f>IF(Account!$F873&lt;&gt;"", DATEVALUE(MID($C873,4,3) &amp; LEFT($C873,3) &amp; RIGHT($C873,4)), "")</f>
        <v/>
      </c>
      <c r="Q873" s="37" t="str">
        <f t="array" ref="Q873">IF($R873&lt;&gt;"",IFERROR(INDEX(ISIN!$B:$B,MATCH($R873,ISIN!$C:$C,0))),)</f>
        <v/>
      </c>
      <c r="R873" s="38" t="str">
        <f t="array" ref="R873">IF($E873&lt;&gt;"",IFERROR(INDEX(ISIN!$C:$C,MATCH($E873,ISIN!$A:$A,0)),IFERROR(INDEX($R874:$R1200,MATCH($K873,$K874:$K1200,0)))),IF(AND($Y873="change",$H873="EUR"),IF($O873=$O874,$R874,IF($O873=$O872,$R872)),IFERROR(INDEX($R874:$R1200,MATCH(SUBSTITUTE($I873,"-","",1),$K874:$K1200,0)))))</f>
        <v/>
      </c>
      <c r="S873" s="37" t="str">
        <f t="shared" si="1"/>
        <v/>
      </c>
      <c r="T873" s="39" t="str">
        <f t="shared" si="2"/>
        <v/>
      </c>
      <c r="U873" s="40" t="str">
        <f t="shared" si="3"/>
        <v/>
      </c>
      <c r="V873" s="34" t="str">
        <f t="shared" si="4"/>
        <v/>
      </c>
      <c r="W873" s="41" t="str">
        <f>IFERROR(__xludf.DUMMYFUNCTION(" IF(Account!$F873&lt;&gt;"""", SPLIT(Account!$F873, "" ""), """")"),"")</f>
        <v/>
      </c>
      <c r="X873" s="42"/>
      <c r="Y873" s="42"/>
      <c r="Z873" s="42"/>
      <c r="AA873" s="42"/>
      <c r="AB873" s="42"/>
      <c r="AC873" s="42"/>
      <c r="AD873" s="42"/>
      <c r="AE873" s="42"/>
      <c r="AF873" s="42"/>
      <c r="AG873" s="42"/>
      <c r="AH873" s="42"/>
      <c r="AI873" s="42"/>
      <c r="AJ873" s="42"/>
      <c r="AK873" s="42"/>
    </row>
    <row r="874">
      <c r="A874" s="20"/>
      <c r="B874" s="20"/>
      <c r="C874" s="20"/>
      <c r="D874" s="20"/>
      <c r="E874" s="20"/>
      <c r="F874" s="21"/>
      <c r="G874" s="45"/>
      <c r="H874" s="20"/>
      <c r="I874" s="20"/>
      <c r="J874" s="20"/>
      <c r="K874" s="20"/>
      <c r="L874" s="21"/>
      <c r="M874" s="33" t="str">
        <f>IFERROR(__xludf.DUMMYFUNCTION("IFS(W874=""Achat"",IFERROR(VALUE(X874),VALUE(REGEXREPLACE(T(X874),""[^0-9]"",""""))),W874=""Vente"",-IFERROR(VALUE(X874),VALUE(REGEXREPLACE(T(X874),""[^0-9]"",""""))),Y874=""Change"",0,Y874&lt;&gt;""Change"","""")"),"")</f>
        <v/>
      </c>
      <c r="N874" s="34" t="str">
        <f>IFERROR(__xludf.DUMMYFUNCTION("IF(Account!$F874&lt;&gt;"""", VALUE(REGEXREPLACE($I874, ""\,"", ""."")), """")"),"")</f>
        <v/>
      </c>
      <c r="O874" s="35" t="str">
        <f>IF(Account!$F874&lt;&gt;"", DATEVALUE(MID($A874,4,3) &amp; LEFT($A874,3) &amp; RIGHT($A874,4)) + TIMEVALUE($B874), "")</f>
        <v/>
      </c>
      <c r="P874" s="36" t="str">
        <f>IF(Account!$F874&lt;&gt;"", DATEVALUE(MID($C874,4,3) &amp; LEFT($C874,3) &amp; RIGHT($C874,4)), "")</f>
        <v/>
      </c>
      <c r="Q874" s="37" t="str">
        <f t="array" ref="Q874">IF($R874&lt;&gt;"",IFERROR(INDEX(ISIN!$B:$B,MATCH($R874,ISIN!$C:$C,0))),)</f>
        <v/>
      </c>
      <c r="R874" s="38" t="str">
        <f t="array" ref="R874">IF($E874&lt;&gt;"",IFERROR(INDEX(ISIN!$C:$C,MATCH($E874,ISIN!$A:$A,0)),IFERROR(INDEX($R875:$R1200,MATCH($K874,$K875:$K1200,0)))),IF(AND($Y874="change",$H874="EUR"),IF($O874=$O875,$R875,IF($O874=$O873,$R873)),IFERROR(INDEX($R875:$R1200,MATCH(SUBSTITUTE($I874,"-","",1),$K875:$K1200,0)))))</f>
        <v/>
      </c>
      <c r="S874" s="37" t="str">
        <f t="shared" si="1"/>
        <v/>
      </c>
      <c r="T874" s="39" t="str">
        <f t="shared" si="2"/>
        <v/>
      </c>
      <c r="U874" s="40" t="str">
        <f t="shared" si="3"/>
        <v/>
      </c>
      <c r="V874" s="34" t="str">
        <f t="shared" si="4"/>
        <v/>
      </c>
      <c r="W874" s="41" t="str">
        <f>IFERROR(__xludf.DUMMYFUNCTION(" IF(Account!$F874&lt;&gt;"""", SPLIT(Account!$F874, "" ""), """")"),"")</f>
        <v/>
      </c>
      <c r="X874" s="42"/>
      <c r="Y874" s="42"/>
      <c r="Z874" s="42"/>
      <c r="AA874" s="42"/>
      <c r="AB874" s="42"/>
      <c r="AC874" s="42"/>
      <c r="AD874" s="42"/>
      <c r="AE874" s="42"/>
      <c r="AF874" s="42"/>
      <c r="AG874" s="42"/>
      <c r="AH874" s="42"/>
      <c r="AI874" s="42"/>
      <c r="AJ874" s="42"/>
      <c r="AK874" s="42"/>
    </row>
    <row r="875">
      <c r="A875" s="20"/>
      <c r="B875" s="20"/>
      <c r="C875" s="20"/>
      <c r="D875" s="20"/>
      <c r="E875" s="20"/>
      <c r="F875" s="21"/>
      <c r="G875" s="45"/>
      <c r="H875" s="20"/>
      <c r="I875" s="20"/>
      <c r="J875" s="20"/>
      <c r="K875" s="20"/>
      <c r="L875" s="21"/>
      <c r="M875" s="33" t="str">
        <f>IFERROR(__xludf.DUMMYFUNCTION("IFS(W875=""Achat"",IFERROR(VALUE(X875),VALUE(REGEXREPLACE(T(X875),""[^0-9]"",""""))),W875=""Vente"",-IFERROR(VALUE(X875),VALUE(REGEXREPLACE(T(X875),""[^0-9]"",""""))),Y875=""Change"",0,Y875&lt;&gt;""Change"","""")"),"")</f>
        <v/>
      </c>
      <c r="N875" s="34" t="str">
        <f>IFERROR(__xludf.DUMMYFUNCTION("IF(Account!$F875&lt;&gt;"""", VALUE(REGEXREPLACE($I875, ""\,"", ""."")), """")"),"")</f>
        <v/>
      </c>
      <c r="O875" s="35" t="str">
        <f>IF(Account!$F875&lt;&gt;"", DATEVALUE(MID($A875,4,3) &amp; LEFT($A875,3) &amp; RIGHT($A875,4)) + TIMEVALUE($B875), "")</f>
        <v/>
      </c>
      <c r="P875" s="36" t="str">
        <f>IF(Account!$F875&lt;&gt;"", DATEVALUE(MID($C875,4,3) &amp; LEFT($C875,3) &amp; RIGHT($C875,4)), "")</f>
        <v/>
      </c>
      <c r="Q875" s="37" t="str">
        <f t="array" ref="Q875">IF($R875&lt;&gt;"",IFERROR(INDEX(ISIN!$B:$B,MATCH($R875,ISIN!$C:$C,0))),)</f>
        <v/>
      </c>
      <c r="R875" s="38" t="str">
        <f t="array" ref="R875">IF($E875&lt;&gt;"",IFERROR(INDEX(ISIN!$C:$C,MATCH($E875,ISIN!$A:$A,0)),IFERROR(INDEX($R876:$R1200,MATCH($K875,$K876:$K1200,0)))),IF(AND($Y875="change",$H875="EUR"),IF($O875=$O876,$R876,IF($O875=$O874,$R874)),IFERROR(INDEX($R876:$R1200,MATCH(SUBSTITUTE($I875,"-","",1),$K876:$K1200,0)))))</f>
        <v/>
      </c>
      <c r="S875" s="37" t="str">
        <f t="shared" si="1"/>
        <v/>
      </c>
      <c r="T875" s="39" t="str">
        <f t="shared" si="2"/>
        <v/>
      </c>
      <c r="U875" s="40" t="str">
        <f t="shared" si="3"/>
        <v/>
      </c>
      <c r="V875" s="34" t="str">
        <f t="shared" si="4"/>
        <v/>
      </c>
      <c r="W875" s="41" t="str">
        <f>IFERROR(__xludf.DUMMYFUNCTION(" IF(Account!$F875&lt;&gt;"""", SPLIT(Account!$F875, "" ""), """")"),"")</f>
        <v/>
      </c>
      <c r="X875" s="42"/>
      <c r="Y875" s="42"/>
      <c r="Z875" s="42"/>
      <c r="AA875" s="42"/>
      <c r="AB875" s="42"/>
      <c r="AC875" s="42"/>
      <c r="AD875" s="42"/>
      <c r="AE875" s="42"/>
      <c r="AF875" s="42"/>
      <c r="AG875" s="42"/>
      <c r="AH875" s="42"/>
      <c r="AI875" s="42"/>
      <c r="AJ875" s="42"/>
      <c r="AK875" s="42"/>
    </row>
    <row r="876">
      <c r="A876" s="20"/>
      <c r="B876" s="20"/>
      <c r="C876" s="20"/>
      <c r="D876" s="20"/>
      <c r="E876" s="20"/>
      <c r="F876" s="21"/>
      <c r="G876" s="20"/>
      <c r="H876" s="20"/>
      <c r="I876" s="20"/>
      <c r="J876" s="20"/>
      <c r="K876" s="20"/>
      <c r="L876" s="21"/>
      <c r="M876" s="33" t="str">
        <f>IFERROR(__xludf.DUMMYFUNCTION("IFS(W876=""Achat"",IFERROR(VALUE(X876),VALUE(REGEXREPLACE(T(X876),""[^0-9]"",""""))),W876=""Vente"",-IFERROR(VALUE(X876),VALUE(REGEXREPLACE(T(X876),""[^0-9]"",""""))),Y876=""Change"",0,Y876&lt;&gt;""Change"","""")"),"")</f>
        <v/>
      </c>
      <c r="N876" s="34" t="str">
        <f>IFERROR(__xludf.DUMMYFUNCTION("IF(Account!$F876&lt;&gt;"""", VALUE(REGEXREPLACE($I876, ""\,"", ""."")), """")"),"")</f>
        <v/>
      </c>
      <c r="O876" s="35" t="str">
        <f>IF(Account!$F876&lt;&gt;"", DATEVALUE(MID($A876,4,3) &amp; LEFT($A876,3) &amp; RIGHT($A876,4)) + TIMEVALUE($B876), "")</f>
        <v/>
      </c>
      <c r="P876" s="36" t="str">
        <f>IF(Account!$F876&lt;&gt;"", DATEVALUE(MID($C876,4,3) &amp; LEFT($C876,3) &amp; RIGHT($C876,4)), "")</f>
        <v/>
      </c>
      <c r="Q876" s="37" t="str">
        <f t="array" ref="Q876">IF($R876&lt;&gt;"",IFERROR(INDEX(ISIN!$B:$B,MATCH($R876,ISIN!$C:$C,0))),)</f>
        <v/>
      </c>
      <c r="R876" s="38" t="str">
        <f t="array" ref="R876">IF($E876&lt;&gt;"",IFERROR(INDEX(ISIN!$C:$C,MATCH($E876,ISIN!$A:$A,0)),IFERROR(INDEX($R877:$R1200,MATCH($K876,$K877:$K1200,0)))),IF(AND($Y876="change",$H876="EUR"),IF($O876=$O877,$R877,IF($O876=$O875,$R875)),IFERROR(INDEX($R877:$R1200,MATCH(SUBSTITUTE($I876,"-","",1),$K877:$K1200,0)))))</f>
        <v/>
      </c>
      <c r="S876" s="37" t="str">
        <f t="shared" si="1"/>
        <v/>
      </c>
      <c r="T876" s="39" t="str">
        <f t="shared" si="2"/>
        <v/>
      </c>
      <c r="U876" s="40" t="str">
        <f t="shared" si="3"/>
        <v/>
      </c>
      <c r="V876" s="34" t="str">
        <f t="shared" si="4"/>
        <v/>
      </c>
      <c r="W876" s="41" t="str">
        <f>IFERROR(__xludf.DUMMYFUNCTION(" IF(Account!$F876&lt;&gt;"""", SPLIT(Account!$F876, "" ""), """")"),"")</f>
        <v/>
      </c>
      <c r="X876" s="42"/>
      <c r="Y876" s="42"/>
      <c r="Z876" s="42"/>
      <c r="AA876" s="42"/>
      <c r="AB876" s="42"/>
      <c r="AC876" s="42"/>
      <c r="AD876" s="42"/>
      <c r="AE876" s="42"/>
      <c r="AF876" s="42"/>
      <c r="AG876" s="42"/>
      <c r="AH876" s="42"/>
      <c r="AI876" s="42"/>
      <c r="AJ876" s="42"/>
      <c r="AK876" s="42"/>
    </row>
    <row r="877">
      <c r="A877" s="20"/>
      <c r="B877" s="20"/>
      <c r="C877" s="20"/>
      <c r="D877" s="20"/>
      <c r="E877" s="20"/>
      <c r="F877" s="21"/>
      <c r="G877" s="45"/>
      <c r="H877" s="20"/>
      <c r="I877" s="20"/>
      <c r="J877" s="20"/>
      <c r="K877" s="20"/>
      <c r="L877" s="21"/>
      <c r="M877" s="33" t="str">
        <f>IFERROR(__xludf.DUMMYFUNCTION("IFS(W877=""Achat"",IFERROR(VALUE(X877),VALUE(REGEXREPLACE(T(X877),""[^0-9]"",""""))),W877=""Vente"",-IFERROR(VALUE(X877),VALUE(REGEXREPLACE(T(X877),""[^0-9]"",""""))),Y877=""Change"",0,Y877&lt;&gt;""Change"","""")"),"")</f>
        <v/>
      </c>
      <c r="N877" s="34" t="str">
        <f>IFERROR(__xludf.DUMMYFUNCTION("IF(Account!$F877&lt;&gt;"""", VALUE(REGEXREPLACE($I877, ""\,"", ""."")), """")"),"")</f>
        <v/>
      </c>
      <c r="O877" s="35" t="str">
        <f>IF(Account!$F877&lt;&gt;"", DATEVALUE(MID($A877,4,3) &amp; LEFT($A877,3) &amp; RIGHT($A877,4)) + TIMEVALUE($B877), "")</f>
        <v/>
      </c>
      <c r="P877" s="36" t="str">
        <f>IF(Account!$F877&lt;&gt;"", DATEVALUE(MID($C877,4,3) &amp; LEFT($C877,3) &amp; RIGHT($C877,4)), "")</f>
        <v/>
      </c>
      <c r="Q877" s="37" t="str">
        <f t="array" ref="Q877">IF($R877&lt;&gt;"",IFERROR(INDEX(ISIN!$B:$B,MATCH($R877,ISIN!$C:$C,0))),)</f>
        <v/>
      </c>
      <c r="R877" s="38" t="str">
        <f t="array" ref="R877">IF($E877&lt;&gt;"",IFERROR(INDEX(ISIN!$C:$C,MATCH($E877,ISIN!$A:$A,0)),IFERROR(INDEX($R878:$R1200,MATCH($K877,$K878:$K1200,0)))),IF(AND($Y877="change",$H877="EUR"),IF($O877=$O878,$R878,IF($O877=$O876,$R876)),IFERROR(INDEX($R878:$R1200,MATCH(SUBSTITUTE($I877,"-","",1),$K878:$K1200,0)))))</f>
        <v/>
      </c>
      <c r="S877" s="37" t="str">
        <f t="shared" si="1"/>
        <v/>
      </c>
      <c r="T877" s="39" t="str">
        <f t="shared" si="2"/>
        <v/>
      </c>
      <c r="U877" s="40" t="str">
        <f t="shared" si="3"/>
        <v/>
      </c>
      <c r="V877" s="34" t="str">
        <f t="shared" si="4"/>
        <v/>
      </c>
      <c r="W877" s="41" t="str">
        <f>IFERROR(__xludf.DUMMYFUNCTION(" IF(Account!$F877&lt;&gt;"""", SPLIT(Account!$F877, "" ""), """")"),"")</f>
        <v/>
      </c>
      <c r="X877" s="42"/>
      <c r="Y877" s="42"/>
      <c r="Z877" s="42"/>
      <c r="AA877" s="42"/>
      <c r="AB877" s="42"/>
      <c r="AC877" s="42"/>
      <c r="AD877" s="42"/>
      <c r="AE877" s="42"/>
      <c r="AF877" s="42"/>
      <c r="AG877" s="42"/>
      <c r="AH877" s="42"/>
      <c r="AI877" s="42"/>
      <c r="AJ877" s="42"/>
      <c r="AK877" s="42"/>
    </row>
    <row r="878">
      <c r="A878" s="20"/>
      <c r="B878" s="20"/>
      <c r="C878" s="20"/>
      <c r="D878" s="20"/>
      <c r="E878" s="20"/>
      <c r="F878" s="21"/>
      <c r="G878" s="45"/>
      <c r="H878" s="20"/>
      <c r="I878" s="20"/>
      <c r="J878" s="20"/>
      <c r="K878" s="20"/>
      <c r="L878" s="21"/>
      <c r="M878" s="33" t="str">
        <f>IFERROR(__xludf.DUMMYFUNCTION("IFS(W878=""Achat"",IFERROR(VALUE(X878),VALUE(REGEXREPLACE(T(X878),""[^0-9]"",""""))),W878=""Vente"",-IFERROR(VALUE(X878),VALUE(REGEXREPLACE(T(X878),""[^0-9]"",""""))),Y878=""Change"",0,Y878&lt;&gt;""Change"","""")"),"")</f>
        <v/>
      </c>
      <c r="N878" s="34" t="str">
        <f>IFERROR(__xludf.DUMMYFUNCTION("IF(Account!$F878&lt;&gt;"""", VALUE(REGEXREPLACE($I878, ""\,"", ""."")), """")"),"")</f>
        <v/>
      </c>
      <c r="O878" s="35" t="str">
        <f>IF(Account!$F878&lt;&gt;"", DATEVALUE(MID($A878,4,3) &amp; LEFT($A878,3) &amp; RIGHT($A878,4)) + TIMEVALUE($B878), "")</f>
        <v/>
      </c>
      <c r="P878" s="36" t="str">
        <f>IF(Account!$F878&lt;&gt;"", DATEVALUE(MID($C878,4,3) &amp; LEFT($C878,3) &amp; RIGHT($C878,4)), "")</f>
        <v/>
      </c>
      <c r="Q878" s="37" t="str">
        <f t="array" ref="Q878">IF($R878&lt;&gt;"",IFERROR(INDEX(ISIN!$B:$B,MATCH($R878,ISIN!$C:$C,0))),)</f>
        <v/>
      </c>
      <c r="R878" s="38" t="str">
        <f t="array" ref="R878">IF($E878&lt;&gt;"",IFERROR(INDEX(ISIN!$C:$C,MATCH($E878,ISIN!$A:$A,0)),IFERROR(INDEX($R879:$R1200,MATCH($K878,$K879:$K1200,0)))),IF(AND($Y878="change",$H878="EUR"),IF($O878=$O879,$R879,IF($O878=$O877,$R877)),IFERROR(INDEX($R879:$R1200,MATCH(SUBSTITUTE($I878,"-","",1),$K879:$K1200,0)))))</f>
        <v/>
      </c>
      <c r="S878" s="37" t="str">
        <f t="shared" si="1"/>
        <v/>
      </c>
      <c r="T878" s="39" t="str">
        <f t="shared" si="2"/>
        <v/>
      </c>
      <c r="U878" s="40" t="str">
        <f t="shared" si="3"/>
        <v/>
      </c>
      <c r="V878" s="34" t="str">
        <f t="shared" si="4"/>
        <v/>
      </c>
      <c r="W878" s="41" t="str">
        <f>IFERROR(__xludf.DUMMYFUNCTION(" IF(Account!$F878&lt;&gt;"""", SPLIT(Account!$F878, "" ""), """")"),"")</f>
        <v/>
      </c>
      <c r="X878" s="42"/>
      <c r="Y878" s="42"/>
      <c r="Z878" s="42"/>
      <c r="AA878" s="42"/>
      <c r="AB878" s="42"/>
      <c r="AC878" s="42"/>
      <c r="AD878" s="42"/>
      <c r="AE878" s="42"/>
      <c r="AF878" s="42"/>
      <c r="AG878" s="42"/>
      <c r="AH878" s="42"/>
      <c r="AI878" s="42"/>
      <c r="AJ878" s="42"/>
      <c r="AK878" s="42"/>
    </row>
    <row r="879">
      <c r="A879" s="20"/>
      <c r="B879" s="20"/>
      <c r="C879" s="20"/>
      <c r="D879" s="45"/>
      <c r="E879" s="45"/>
      <c r="F879" s="21"/>
      <c r="G879" s="45"/>
      <c r="H879" s="20"/>
      <c r="I879" s="20"/>
      <c r="J879" s="20"/>
      <c r="K879" s="20"/>
      <c r="L879" s="46"/>
      <c r="M879" s="33" t="str">
        <f>IFERROR(__xludf.DUMMYFUNCTION("IFS(W879=""Achat"",IFERROR(VALUE(X879),VALUE(REGEXREPLACE(T(X879),""[^0-9]"",""""))),W879=""Vente"",-IFERROR(VALUE(X879),VALUE(REGEXREPLACE(T(X879),""[^0-9]"",""""))),Y879=""Change"",0,Y879&lt;&gt;""Change"","""")"),"")</f>
        <v/>
      </c>
      <c r="N879" s="34" t="str">
        <f>IFERROR(__xludf.DUMMYFUNCTION("IF(Account!$F879&lt;&gt;"""", VALUE(REGEXREPLACE($I879, ""\,"", ""."")), """")"),"")</f>
        <v/>
      </c>
      <c r="O879" s="35" t="str">
        <f>IF(Account!$F879&lt;&gt;"", DATEVALUE(MID($A879,4,3) &amp; LEFT($A879,3) &amp; RIGHT($A879,4)) + TIMEVALUE($B879), "")</f>
        <v/>
      </c>
      <c r="P879" s="36" t="str">
        <f>IF(Account!$F879&lt;&gt;"", DATEVALUE(MID($C879,4,3) &amp; LEFT($C879,3) &amp; RIGHT($C879,4)), "")</f>
        <v/>
      </c>
      <c r="Q879" s="37" t="str">
        <f t="array" ref="Q879">IF($R879&lt;&gt;"",IFERROR(INDEX(ISIN!$B:$B,MATCH($R879,ISIN!$C:$C,0))),)</f>
        <v/>
      </c>
      <c r="R879" s="38" t="str">
        <f t="array" ref="R879">IF($E879&lt;&gt;"",IFERROR(INDEX(ISIN!$C:$C,MATCH($E879,ISIN!$A:$A,0)),IFERROR(INDEX($R880:$R1200,MATCH($K879,$K880:$K1200,0)))),IF(AND($Y879="change",$H879="EUR"),IF($O879=$O880,$R880,IF($O879=$O878,$R878)),IFERROR(INDEX($R880:$R1200,MATCH(SUBSTITUTE($I879,"-","",1),$K880:$K1200,0)))))</f>
        <v/>
      </c>
      <c r="S879" s="37" t="str">
        <f t="shared" si="1"/>
        <v/>
      </c>
      <c r="T879" s="39" t="str">
        <f t="shared" si="2"/>
        <v/>
      </c>
      <c r="U879" s="40" t="str">
        <f t="shared" si="3"/>
        <v/>
      </c>
      <c r="V879" s="34" t="str">
        <f t="shared" si="4"/>
        <v/>
      </c>
      <c r="W879" s="41" t="str">
        <f>IFERROR(__xludf.DUMMYFUNCTION(" IF(Account!$F879&lt;&gt;"""", SPLIT(Account!$F879, "" ""), """")"),"")</f>
        <v/>
      </c>
      <c r="X879" s="42"/>
      <c r="Y879" s="42"/>
      <c r="Z879" s="42"/>
      <c r="AA879" s="42"/>
      <c r="AB879" s="42"/>
      <c r="AC879" s="42"/>
      <c r="AD879" s="42"/>
      <c r="AE879" s="42"/>
      <c r="AF879" s="42"/>
      <c r="AG879" s="42"/>
      <c r="AH879" s="42"/>
      <c r="AI879" s="42"/>
      <c r="AJ879" s="42"/>
      <c r="AK879" s="42"/>
    </row>
    <row r="880">
      <c r="A880" s="20"/>
      <c r="B880" s="20"/>
      <c r="C880" s="20"/>
      <c r="D880" s="45"/>
      <c r="E880" s="45"/>
      <c r="F880" s="21"/>
      <c r="G880" s="45"/>
      <c r="H880" s="20"/>
      <c r="I880" s="20"/>
      <c r="J880" s="20"/>
      <c r="K880" s="20"/>
      <c r="L880" s="46"/>
      <c r="M880" s="33" t="str">
        <f>IFERROR(__xludf.DUMMYFUNCTION("IFS(W880=""Achat"",IFERROR(VALUE(X880),VALUE(REGEXREPLACE(T(X880),""[^0-9]"",""""))),W880=""Vente"",-IFERROR(VALUE(X880),VALUE(REGEXREPLACE(T(X880),""[^0-9]"",""""))),Y880=""Change"",0,Y880&lt;&gt;""Change"","""")"),"")</f>
        <v/>
      </c>
      <c r="N880" s="34" t="str">
        <f>IFERROR(__xludf.DUMMYFUNCTION("IF(Account!$F880&lt;&gt;"""", VALUE(REGEXREPLACE($I880, ""\,"", ""."")), """")"),"")</f>
        <v/>
      </c>
      <c r="O880" s="35" t="str">
        <f>IF(Account!$F880&lt;&gt;"", DATEVALUE(MID($A880,4,3) &amp; LEFT($A880,3) &amp; RIGHT($A880,4)) + TIMEVALUE($B880), "")</f>
        <v/>
      </c>
      <c r="P880" s="36" t="str">
        <f>IF(Account!$F880&lt;&gt;"", DATEVALUE(MID($C880,4,3) &amp; LEFT($C880,3) &amp; RIGHT($C880,4)), "")</f>
        <v/>
      </c>
      <c r="Q880" s="37" t="str">
        <f t="array" ref="Q880">IF($R880&lt;&gt;"",IFERROR(INDEX(ISIN!$B:$B,MATCH($R880,ISIN!$C:$C,0))),)</f>
        <v/>
      </c>
      <c r="R880" s="38" t="str">
        <f t="array" ref="R880">IF($E880&lt;&gt;"",IFERROR(INDEX(ISIN!$C:$C,MATCH($E880,ISIN!$A:$A,0)),IFERROR(INDEX($R881:$R1200,MATCH($K880,$K881:$K1200,0)))),IF(AND($Y880="change",$H880="EUR"),IF($O880=$O881,$R881,IF($O880=$O879,$R879)),IFERROR(INDEX($R881:$R1200,MATCH(SUBSTITUTE($I880,"-","",1),$K881:$K1200,0)))))</f>
        <v/>
      </c>
      <c r="S880" s="37" t="str">
        <f t="shared" si="1"/>
        <v/>
      </c>
      <c r="T880" s="39" t="str">
        <f t="shared" si="2"/>
        <v/>
      </c>
      <c r="U880" s="40" t="str">
        <f t="shared" si="3"/>
        <v/>
      </c>
      <c r="V880" s="34" t="str">
        <f t="shared" si="4"/>
        <v/>
      </c>
      <c r="W880" s="41" t="str">
        <f>IFERROR(__xludf.DUMMYFUNCTION(" IF(Account!$F880&lt;&gt;"""", SPLIT(Account!$F880, "" ""), """")"),"")</f>
        <v/>
      </c>
      <c r="X880" s="42"/>
      <c r="Y880" s="42"/>
      <c r="Z880" s="42"/>
      <c r="AA880" s="42"/>
      <c r="AB880" s="42"/>
      <c r="AC880" s="42"/>
      <c r="AD880" s="42"/>
      <c r="AE880" s="42"/>
      <c r="AF880" s="42"/>
      <c r="AG880" s="42"/>
      <c r="AH880" s="42"/>
      <c r="AI880" s="42"/>
      <c r="AJ880" s="42"/>
      <c r="AK880" s="42"/>
    </row>
    <row r="881">
      <c r="A881" s="20"/>
      <c r="B881" s="20"/>
      <c r="C881" s="20"/>
      <c r="D881" s="45"/>
      <c r="E881" s="45"/>
      <c r="F881" s="21"/>
      <c r="G881" s="45"/>
      <c r="H881" s="20"/>
      <c r="I881" s="20"/>
      <c r="J881" s="20"/>
      <c r="K881" s="20"/>
      <c r="L881" s="46"/>
      <c r="M881" s="33" t="str">
        <f>IFERROR(__xludf.DUMMYFUNCTION("IFS(W881=""Achat"",IFERROR(VALUE(X881),VALUE(REGEXREPLACE(T(X881),""[^0-9]"",""""))),W881=""Vente"",-IFERROR(VALUE(X881),VALUE(REGEXREPLACE(T(X881),""[^0-9]"",""""))),Y881=""Change"",0,Y881&lt;&gt;""Change"","""")"),"")</f>
        <v/>
      </c>
      <c r="N881" s="34" t="str">
        <f>IFERROR(__xludf.DUMMYFUNCTION("IF(Account!$F881&lt;&gt;"""", VALUE(REGEXREPLACE($I881, ""\,"", ""."")), """")"),"")</f>
        <v/>
      </c>
      <c r="O881" s="35" t="str">
        <f>IF(Account!$F881&lt;&gt;"", DATEVALUE(MID($A881,4,3) &amp; LEFT($A881,3) &amp; RIGHT($A881,4)) + TIMEVALUE($B881), "")</f>
        <v/>
      </c>
      <c r="P881" s="36" t="str">
        <f>IF(Account!$F881&lt;&gt;"", DATEVALUE(MID($C881,4,3) &amp; LEFT($C881,3) &amp; RIGHT($C881,4)), "")</f>
        <v/>
      </c>
      <c r="Q881" s="37" t="str">
        <f t="array" ref="Q881">IF($R881&lt;&gt;"",IFERROR(INDEX(ISIN!$B:$B,MATCH($R881,ISIN!$C:$C,0))),)</f>
        <v/>
      </c>
      <c r="R881" s="38" t="str">
        <f t="array" ref="R881">IF($E881&lt;&gt;"",IFERROR(INDEX(ISIN!$C:$C,MATCH($E881,ISIN!$A:$A,0)),IFERROR(INDEX($R882:$R1200,MATCH($K881,$K882:$K1200,0)))),IF(AND($Y881="change",$H881="EUR"),IF($O881=$O882,$R882,IF($O881=$O880,$R880)),IFERROR(INDEX($R882:$R1200,MATCH(SUBSTITUTE($I881,"-","",1),$K882:$K1200,0)))))</f>
        <v/>
      </c>
      <c r="S881" s="37" t="str">
        <f t="shared" si="1"/>
        <v/>
      </c>
      <c r="T881" s="39" t="str">
        <f t="shared" si="2"/>
        <v/>
      </c>
      <c r="U881" s="40" t="str">
        <f t="shared" si="3"/>
        <v/>
      </c>
      <c r="V881" s="34" t="str">
        <f t="shared" si="4"/>
        <v/>
      </c>
      <c r="W881" s="41" t="str">
        <f>IFERROR(__xludf.DUMMYFUNCTION(" IF(Account!$F881&lt;&gt;"""", SPLIT(Account!$F881, "" ""), """")"),"")</f>
        <v/>
      </c>
      <c r="X881" s="42"/>
      <c r="Y881" s="42"/>
      <c r="Z881" s="42"/>
      <c r="AA881" s="42"/>
      <c r="AB881" s="42"/>
      <c r="AC881" s="42"/>
      <c r="AD881" s="42"/>
      <c r="AE881" s="42"/>
      <c r="AF881" s="42"/>
      <c r="AG881" s="42"/>
      <c r="AH881" s="42"/>
      <c r="AI881" s="42"/>
      <c r="AJ881" s="42"/>
      <c r="AK881" s="42"/>
    </row>
    <row r="882">
      <c r="A882" s="20"/>
      <c r="B882" s="20"/>
      <c r="C882" s="20"/>
      <c r="D882" s="45"/>
      <c r="E882" s="45"/>
      <c r="F882" s="21"/>
      <c r="G882" s="20"/>
      <c r="H882" s="20"/>
      <c r="I882" s="20"/>
      <c r="J882" s="20"/>
      <c r="K882" s="20"/>
      <c r="L882" s="46"/>
      <c r="M882" s="33" t="str">
        <f>IFERROR(__xludf.DUMMYFUNCTION("IFS(W882=""Achat"",IFERROR(VALUE(X882),VALUE(REGEXREPLACE(T(X882),""[^0-9]"",""""))),W882=""Vente"",-IFERROR(VALUE(X882),VALUE(REGEXREPLACE(T(X882),""[^0-9]"",""""))),Y882=""Change"",0,Y882&lt;&gt;""Change"","""")"),"")</f>
        <v/>
      </c>
      <c r="N882" s="34" t="str">
        <f>IFERROR(__xludf.DUMMYFUNCTION("IF(Account!$F882&lt;&gt;"""", VALUE(REGEXREPLACE($I882, ""\,"", ""."")), """")"),"")</f>
        <v/>
      </c>
      <c r="O882" s="35" t="str">
        <f>IF(Account!$F882&lt;&gt;"", DATEVALUE(MID($A882,4,3) &amp; LEFT($A882,3) &amp; RIGHT($A882,4)) + TIMEVALUE($B882), "")</f>
        <v/>
      </c>
      <c r="P882" s="36" t="str">
        <f>IF(Account!$F882&lt;&gt;"", DATEVALUE(MID($C882,4,3) &amp; LEFT($C882,3) &amp; RIGHT($C882,4)), "")</f>
        <v/>
      </c>
      <c r="Q882" s="37" t="str">
        <f t="array" ref="Q882">IF($R882&lt;&gt;"",IFERROR(INDEX(ISIN!$B:$B,MATCH($R882,ISIN!$C:$C,0))),)</f>
        <v/>
      </c>
      <c r="R882" s="38" t="str">
        <f t="array" ref="R882">IF($E882&lt;&gt;"",IFERROR(INDEX(ISIN!$C:$C,MATCH($E882,ISIN!$A:$A,0)),IFERROR(INDEX($R883:$R1200,MATCH($K882,$K883:$K1200,0)))),IF(AND($Y882="change",$H882="EUR"),IF($O882=$O883,$R883,IF($O882=$O881,$R881)),IFERROR(INDEX($R883:$R1200,MATCH(SUBSTITUTE($I882,"-","",1),$K883:$K1200,0)))))</f>
        <v/>
      </c>
      <c r="S882" s="37" t="str">
        <f t="shared" si="1"/>
        <v/>
      </c>
      <c r="T882" s="39" t="str">
        <f t="shared" si="2"/>
        <v/>
      </c>
      <c r="U882" s="40" t="str">
        <f t="shared" si="3"/>
        <v/>
      </c>
      <c r="V882" s="34" t="str">
        <f t="shared" si="4"/>
        <v/>
      </c>
      <c r="W882" s="41" t="str">
        <f>IFERROR(__xludf.DUMMYFUNCTION(" IF(Account!$F882&lt;&gt;"""", SPLIT(Account!$F882, "" ""), """")"),"")</f>
        <v/>
      </c>
      <c r="X882" s="42"/>
      <c r="Y882" s="42"/>
      <c r="Z882" s="42"/>
      <c r="AA882" s="42"/>
      <c r="AB882" s="42"/>
      <c r="AC882" s="42"/>
      <c r="AD882" s="42"/>
      <c r="AE882" s="42"/>
      <c r="AF882" s="42"/>
      <c r="AG882" s="42"/>
      <c r="AH882" s="42"/>
      <c r="AI882" s="42"/>
      <c r="AJ882" s="42"/>
      <c r="AK882" s="42"/>
    </row>
    <row r="883">
      <c r="A883" s="20"/>
      <c r="B883" s="20"/>
      <c r="C883" s="20"/>
      <c r="D883" s="20"/>
      <c r="E883" s="20"/>
      <c r="F883" s="21"/>
      <c r="G883" s="45"/>
      <c r="H883" s="20"/>
      <c r="I883" s="20"/>
      <c r="J883" s="20"/>
      <c r="K883" s="20"/>
      <c r="L883" s="46"/>
      <c r="M883" s="33" t="str">
        <f>IFERROR(__xludf.DUMMYFUNCTION("IFS(W883=""Achat"",IFERROR(VALUE(X883),VALUE(REGEXREPLACE(T(X883),""[^0-9]"",""""))),W883=""Vente"",-IFERROR(VALUE(X883),VALUE(REGEXREPLACE(T(X883),""[^0-9]"",""""))),Y883=""Change"",0,Y883&lt;&gt;""Change"","""")"),"")</f>
        <v/>
      </c>
      <c r="N883" s="34" t="str">
        <f>IFERROR(__xludf.DUMMYFUNCTION("IF(Account!$F883&lt;&gt;"""", VALUE(REGEXREPLACE($I883, ""\,"", ""."")), """")"),"")</f>
        <v/>
      </c>
      <c r="O883" s="35" t="str">
        <f>IF(Account!$F883&lt;&gt;"", DATEVALUE(MID($A883,4,3) &amp; LEFT($A883,3) &amp; RIGHT($A883,4)) + TIMEVALUE($B883), "")</f>
        <v/>
      </c>
      <c r="P883" s="36" t="str">
        <f>IF(Account!$F883&lt;&gt;"", DATEVALUE(MID($C883,4,3) &amp; LEFT($C883,3) &amp; RIGHT($C883,4)), "")</f>
        <v/>
      </c>
      <c r="Q883" s="37" t="str">
        <f t="array" ref="Q883">IF($R883&lt;&gt;"",IFERROR(INDEX(ISIN!$B:$B,MATCH($R883,ISIN!$C:$C,0))),)</f>
        <v/>
      </c>
      <c r="R883" s="38" t="str">
        <f t="array" ref="R883">IF($E883&lt;&gt;"",IFERROR(INDEX(ISIN!$C:$C,MATCH($E883,ISIN!$A:$A,0)),IFERROR(INDEX($R884:$R1200,MATCH($K883,$K884:$K1200,0)))),IF(AND($Y883="change",$H883="EUR"),IF($O883=$O884,$R884,IF($O883=$O882,$R882)),IFERROR(INDEX($R884:$R1200,MATCH(SUBSTITUTE($I883,"-","",1),$K884:$K1200,0)))))</f>
        <v/>
      </c>
      <c r="S883" s="37" t="str">
        <f t="shared" si="1"/>
        <v/>
      </c>
      <c r="T883" s="39" t="str">
        <f t="shared" si="2"/>
        <v/>
      </c>
      <c r="U883" s="40" t="str">
        <f t="shared" si="3"/>
        <v/>
      </c>
      <c r="V883" s="34" t="str">
        <f t="shared" si="4"/>
        <v/>
      </c>
      <c r="W883" s="41" t="str">
        <f>IFERROR(__xludf.DUMMYFUNCTION(" IF(Account!$F883&lt;&gt;"""", SPLIT(Account!$F883, "" ""), """")"),"")</f>
        <v/>
      </c>
      <c r="X883" s="42"/>
      <c r="Y883" s="42"/>
      <c r="Z883" s="42"/>
      <c r="AA883" s="42"/>
      <c r="AB883" s="42"/>
      <c r="AC883" s="42"/>
      <c r="AD883" s="42"/>
      <c r="AE883" s="42"/>
      <c r="AF883" s="42"/>
      <c r="AG883" s="42"/>
      <c r="AH883" s="42"/>
      <c r="AI883" s="42"/>
      <c r="AJ883" s="42"/>
      <c r="AK883" s="42"/>
    </row>
    <row r="884">
      <c r="A884" s="20"/>
      <c r="B884" s="20"/>
      <c r="C884" s="20"/>
      <c r="D884" s="20"/>
      <c r="E884" s="20"/>
      <c r="F884" s="21"/>
      <c r="G884" s="45"/>
      <c r="H884" s="20"/>
      <c r="I884" s="20"/>
      <c r="J884" s="20"/>
      <c r="K884" s="20"/>
      <c r="L884" s="46"/>
      <c r="M884" s="33" t="str">
        <f>IFERROR(__xludf.DUMMYFUNCTION("IFS(W884=""Achat"",IFERROR(VALUE(X884),VALUE(REGEXREPLACE(T(X884),""[^0-9]"",""""))),W884=""Vente"",-IFERROR(VALUE(X884),VALUE(REGEXREPLACE(T(X884),""[^0-9]"",""""))),Y884=""Change"",0,Y884&lt;&gt;""Change"","""")"),"")</f>
        <v/>
      </c>
      <c r="N884" s="34" t="str">
        <f>IFERROR(__xludf.DUMMYFUNCTION("IF(Account!$F884&lt;&gt;"""", VALUE(REGEXREPLACE($I884, ""\,"", ""."")), """")"),"")</f>
        <v/>
      </c>
      <c r="O884" s="35" t="str">
        <f>IF(Account!$F884&lt;&gt;"", DATEVALUE(MID($A884,4,3) &amp; LEFT($A884,3) &amp; RIGHT($A884,4)) + TIMEVALUE($B884), "")</f>
        <v/>
      </c>
      <c r="P884" s="36" t="str">
        <f>IF(Account!$F884&lt;&gt;"", DATEVALUE(MID($C884,4,3) &amp; LEFT($C884,3) &amp; RIGHT($C884,4)), "")</f>
        <v/>
      </c>
      <c r="Q884" s="37" t="str">
        <f t="array" ref="Q884">IF($R884&lt;&gt;"",IFERROR(INDEX(ISIN!$B:$B,MATCH($R884,ISIN!$C:$C,0))),)</f>
        <v/>
      </c>
      <c r="R884" s="38" t="str">
        <f t="array" ref="R884">IF($E884&lt;&gt;"",IFERROR(INDEX(ISIN!$C:$C,MATCH($E884,ISIN!$A:$A,0)),IFERROR(INDEX($R885:$R1200,MATCH($K884,$K885:$K1200,0)))),IF(AND($Y884="change",$H884="EUR"),IF($O884=$O885,$R885,IF($O884=$O883,$R883)),IFERROR(INDEX($R885:$R1200,MATCH(SUBSTITUTE($I884,"-","",1),$K885:$K1200,0)))))</f>
        <v/>
      </c>
      <c r="S884" s="37" t="str">
        <f t="shared" si="1"/>
        <v/>
      </c>
      <c r="T884" s="39" t="str">
        <f t="shared" si="2"/>
        <v/>
      </c>
      <c r="U884" s="40" t="str">
        <f t="shared" si="3"/>
        <v/>
      </c>
      <c r="V884" s="34" t="str">
        <f t="shared" si="4"/>
        <v/>
      </c>
      <c r="W884" s="41" t="str">
        <f>IFERROR(__xludf.DUMMYFUNCTION(" IF(Account!$F884&lt;&gt;"""", SPLIT(Account!$F884, "" ""), """")"),"")</f>
        <v/>
      </c>
      <c r="X884" s="42"/>
      <c r="Y884" s="42"/>
      <c r="Z884" s="42"/>
      <c r="AA884" s="42"/>
      <c r="AB884" s="42"/>
      <c r="AC884" s="42"/>
      <c r="AD884" s="42"/>
      <c r="AE884" s="42"/>
      <c r="AF884" s="42"/>
      <c r="AG884" s="42"/>
      <c r="AH884" s="42"/>
      <c r="AI884" s="42"/>
      <c r="AJ884" s="42"/>
      <c r="AK884" s="42"/>
    </row>
    <row r="885">
      <c r="A885" s="20"/>
      <c r="B885" s="20"/>
      <c r="C885" s="20"/>
      <c r="D885" s="45"/>
      <c r="E885" s="45"/>
      <c r="F885" s="21"/>
      <c r="G885" s="45"/>
      <c r="H885" s="20"/>
      <c r="I885" s="20"/>
      <c r="J885" s="20"/>
      <c r="K885" s="20"/>
      <c r="L885" s="46"/>
      <c r="M885" s="33" t="str">
        <f>IFERROR(__xludf.DUMMYFUNCTION("IFS(W885=""Achat"",IFERROR(VALUE(X885),VALUE(REGEXREPLACE(T(X885),""[^0-9]"",""""))),W885=""Vente"",-IFERROR(VALUE(X885),VALUE(REGEXREPLACE(T(X885),""[^0-9]"",""""))),Y885=""Change"",0,Y885&lt;&gt;""Change"","""")"),"")</f>
        <v/>
      </c>
      <c r="N885" s="34" t="str">
        <f>IFERROR(__xludf.DUMMYFUNCTION("IF(Account!$F885&lt;&gt;"""", VALUE(REGEXREPLACE($I885, ""\,"", ""."")), """")"),"")</f>
        <v/>
      </c>
      <c r="O885" s="35" t="str">
        <f>IF(Account!$F885&lt;&gt;"", DATEVALUE(MID($A885,4,3) &amp; LEFT($A885,3) &amp; RIGHT($A885,4)) + TIMEVALUE($B885), "")</f>
        <v/>
      </c>
      <c r="P885" s="36" t="str">
        <f>IF(Account!$F885&lt;&gt;"", DATEVALUE(MID($C885,4,3) &amp; LEFT($C885,3) &amp; RIGHT($C885,4)), "")</f>
        <v/>
      </c>
      <c r="Q885" s="37" t="str">
        <f t="array" ref="Q885">IF($R885&lt;&gt;"",IFERROR(INDEX(ISIN!$B:$B,MATCH($R885,ISIN!$C:$C,0))),)</f>
        <v/>
      </c>
      <c r="R885" s="38" t="str">
        <f t="array" ref="R885">IF($E885&lt;&gt;"",IFERROR(INDEX(ISIN!$C:$C,MATCH($E885,ISIN!$A:$A,0)),IFERROR(INDEX($R886:$R1200,MATCH($K885,$K886:$K1200,0)))),IF(AND($Y885="change",$H885="EUR"),IF($O885=$O886,$R886,IF($O885=$O884,$R884)),IFERROR(INDEX($R886:$R1200,MATCH(SUBSTITUTE($I885,"-","",1),$K886:$K1200,0)))))</f>
        <v/>
      </c>
      <c r="S885" s="37" t="str">
        <f t="shared" si="1"/>
        <v/>
      </c>
      <c r="T885" s="39" t="str">
        <f t="shared" si="2"/>
        <v/>
      </c>
      <c r="U885" s="40" t="str">
        <f t="shared" si="3"/>
        <v/>
      </c>
      <c r="V885" s="34" t="str">
        <f t="shared" si="4"/>
        <v/>
      </c>
      <c r="W885" s="41" t="str">
        <f>IFERROR(__xludf.DUMMYFUNCTION(" IF(Account!$F885&lt;&gt;"""", SPLIT(Account!$F885, "" ""), """")"),"")</f>
        <v/>
      </c>
      <c r="X885" s="42"/>
      <c r="Y885" s="42"/>
      <c r="Z885" s="42"/>
      <c r="AA885" s="42"/>
      <c r="AB885" s="42"/>
      <c r="AC885" s="42"/>
      <c r="AD885" s="42"/>
      <c r="AE885" s="42"/>
      <c r="AF885" s="42"/>
      <c r="AG885" s="42"/>
      <c r="AH885" s="42"/>
      <c r="AI885" s="42"/>
      <c r="AJ885" s="42"/>
      <c r="AK885" s="42"/>
    </row>
    <row r="886">
      <c r="A886" s="20"/>
      <c r="B886" s="20"/>
      <c r="C886" s="20"/>
      <c r="D886" s="20"/>
      <c r="E886" s="20"/>
      <c r="F886" s="21"/>
      <c r="G886" s="20"/>
      <c r="H886" s="20"/>
      <c r="I886" s="20"/>
      <c r="J886" s="20"/>
      <c r="K886" s="20"/>
      <c r="L886" s="21"/>
      <c r="M886" s="33" t="str">
        <f>IFERROR(__xludf.DUMMYFUNCTION("IFS(W886=""Achat"",IFERROR(VALUE(X886),VALUE(REGEXREPLACE(T(X886),""[^0-9]"",""""))),W886=""Vente"",-IFERROR(VALUE(X886),VALUE(REGEXREPLACE(T(X886),""[^0-9]"",""""))),Y886=""Change"",0,Y886&lt;&gt;""Change"","""")"),"")</f>
        <v/>
      </c>
      <c r="N886" s="34" t="str">
        <f>IFERROR(__xludf.DUMMYFUNCTION("IF(Account!$F886&lt;&gt;"""", VALUE(REGEXREPLACE($I886, ""\,"", ""."")), """")"),"")</f>
        <v/>
      </c>
      <c r="O886" s="35" t="str">
        <f>IF(Account!$F886&lt;&gt;"", DATEVALUE(MID($A886,4,3) &amp; LEFT($A886,3) &amp; RIGHT($A886,4)) + TIMEVALUE($B886), "")</f>
        <v/>
      </c>
      <c r="P886" s="36" t="str">
        <f>IF(Account!$F886&lt;&gt;"", DATEVALUE(MID($C886,4,3) &amp; LEFT($C886,3) &amp; RIGHT($C886,4)), "")</f>
        <v/>
      </c>
      <c r="Q886" s="37" t="str">
        <f t="array" ref="Q886">IF($R886&lt;&gt;"",IFERROR(INDEX(ISIN!$B:$B,MATCH($R886,ISIN!$C:$C,0))),)</f>
        <v/>
      </c>
      <c r="R886" s="38" t="str">
        <f t="array" ref="R886">IF($E886&lt;&gt;"",IFERROR(INDEX(ISIN!$C:$C,MATCH($E886,ISIN!$A:$A,0)),IFERROR(INDEX($R887:$R1200,MATCH($K886,$K887:$K1200,0)))),IF(AND($Y886="change",$H886="EUR"),IF($O886=$O887,$R887,IF($O886=$O885,$R885)),IFERROR(INDEX($R887:$R1200,MATCH(SUBSTITUTE($I886,"-","",1),$K887:$K1200,0)))))</f>
        <v/>
      </c>
      <c r="S886" s="37" t="str">
        <f t="shared" si="1"/>
        <v/>
      </c>
      <c r="T886" s="39" t="str">
        <f t="shared" si="2"/>
        <v/>
      </c>
      <c r="U886" s="40" t="str">
        <f t="shared" si="3"/>
        <v/>
      </c>
      <c r="V886" s="34" t="str">
        <f t="shared" si="4"/>
        <v/>
      </c>
      <c r="W886" s="41" t="str">
        <f>IFERROR(__xludf.DUMMYFUNCTION(" IF(Account!$F886&lt;&gt;"""", SPLIT(Account!$F886, "" ""), """")"),"")</f>
        <v/>
      </c>
      <c r="X886" s="42"/>
      <c r="Y886" s="42"/>
      <c r="Z886" s="42"/>
      <c r="AA886" s="42"/>
      <c r="AB886" s="42"/>
      <c r="AC886" s="42"/>
      <c r="AD886" s="42"/>
      <c r="AE886" s="42"/>
      <c r="AF886" s="42"/>
      <c r="AG886" s="42"/>
      <c r="AH886" s="42"/>
      <c r="AI886" s="42"/>
      <c r="AJ886" s="42"/>
      <c r="AK886" s="42"/>
    </row>
    <row r="887">
      <c r="A887" s="20"/>
      <c r="B887" s="20"/>
      <c r="C887" s="20"/>
      <c r="D887" s="20"/>
      <c r="E887" s="20"/>
      <c r="F887" s="21"/>
      <c r="G887" s="45"/>
      <c r="H887" s="20"/>
      <c r="I887" s="20"/>
      <c r="J887" s="20"/>
      <c r="K887" s="20"/>
      <c r="L887" s="21"/>
      <c r="M887" s="33" t="str">
        <f>IFERROR(__xludf.DUMMYFUNCTION("IFS(W887=""Achat"",IFERROR(VALUE(X887),VALUE(REGEXREPLACE(T(X887),""[^0-9]"",""""))),W887=""Vente"",-IFERROR(VALUE(X887),VALUE(REGEXREPLACE(T(X887),""[^0-9]"",""""))),Y887=""Change"",0,Y887&lt;&gt;""Change"","""")"),"")</f>
        <v/>
      </c>
      <c r="N887" s="34" t="str">
        <f>IFERROR(__xludf.DUMMYFUNCTION("IF(Account!$F887&lt;&gt;"""", VALUE(REGEXREPLACE($I887, ""\,"", ""."")), """")"),"")</f>
        <v/>
      </c>
      <c r="O887" s="35" t="str">
        <f>IF(Account!$F887&lt;&gt;"", DATEVALUE(MID($A887,4,3) &amp; LEFT($A887,3) &amp; RIGHT($A887,4)) + TIMEVALUE($B887), "")</f>
        <v/>
      </c>
      <c r="P887" s="36" t="str">
        <f>IF(Account!$F887&lt;&gt;"", DATEVALUE(MID($C887,4,3) &amp; LEFT($C887,3) &amp; RIGHT($C887,4)), "")</f>
        <v/>
      </c>
      <c r="Q887" s="37" t="str">
        <f t="array" ref="Q887">IF($R887&lt;&gt;"",IFERROR(INDEX(ISIN!$B:$B,MATCH($R887,ISIN!$C:$C,0))),)</f>
        <v/>
      </c>
      <c r="R887" s="38" t="str">
        <f t="array" ref="R887">IF($E887&lt;&gt;"",IFERROR(INDEX(ISIN!$C:$C,MATCH($E887,ISIN!$A:$A,0)),IFERROR(INDEX($R888:$R1200,MATCH($K887,$K888:$K1200,0)))),IF(AND($Y887="change",$H887="EUR"),IF($O887=$O888,$R888,IF($O887=$O886,$R886)),IFERROR(INDEX($R888:$R1200,MATCH(SUBSTITUTE($I887,"-","",1),$K888:$K1200,0)))))</f>
        <v/>
      </c>
      <c r="S887" s="37" t="str">
        <f t="shared" si="1"/>
        <v/>
      </c>
      <c r="T887" s="39" t="str">
        <f t="shared" si="2"/>
        <v/>
      </c>
      <c r="U887" s="40" t="str">
        <f t="shared" si="3"/>
        <v/>
      </c>
      <c r="V887" s="34" t="str">
        <f t="shared" si="4"/>
        <v/>
      </c>
      <c r="W887" s="41" t="str">
        <f>IFERROR(__xludf.DUMMYFUNCTION(" IF(Account!$F887&lt;&gt;"""", SPLIT(Account!$F887, "" ""), """")"),"")</f>
        <v/>
      </c>
      <c r="X887" s="42"/>
      <c r="Y887" s="42"/>
      <c r="Z887" s="42"/>
      <c r="AA887" s="42"/>
      <c r="AB887" s="42"/>
      <c r="AC887" s="42"/>
      <c r="AD887" s="42"/>
      <c r="AE887" s="42"/>
      <c r="AF887" s="42"/>
      <c r="AG887" s="42"/>
      <c r="AH887" s="42"/>
      <c r="AI887" s="42"/>
      <c r="AJ887" s="42"/>
      <c r="AK887" s="42"/>
    </row>
    <row r="888">
      <c r="A888" s="20"/>
      <c r="B888" s="20"/>
      <c r="C888" s="20"/>
      <c r="D888" s="20"/>
      <c r="E888" s="20"/>
      <c r="F888" s="21"/>
      <c r="G888" s="45"/>
      <c r="H888" s="20"/>
      <c r="I888" s="20"/>
      <c r="J888" s="20"/>
      <c r="K888" s="20"/>
      <c r="L888" s="21"/>
      <c r="M888" s="33" t="str">
        <f>IFERROR(__xludf.DUMMYFUNCTION("IFS(W888=""Achat"",IFERROR(VALUE(X888),VALUE(REGEXREPLACE(T(X888),""[^0-9]"",""""))),W888=""Vente"",-IFERROR(VALUE(X888),VALUE(REGEXREPLACE(T(X888),""[^0-9]"",""""))),Y888=""Change"",0,Y888&lt;&gt;""Change"","""")"),"")</f>
        <v/>
      </c>
      <c r="N888" s="34" t="str">
        <f>IFERROR(__xludf.DUMMYFUNCTION("IF(Account!$F888&lt;&gt;"""", VALUE(REGEXREPLACE($I888, ""\,"", ""."")), """")"),"")</f>
        <v/>
      </c>
      <c r="O888" s="35" t="str">
        <f>IF(Account!$F888&lt;&gt;"", DATEVALUE(MID($A888,4,3) &amp; LEFT($A888,3) &amp; RIGHT($A888,4)) + TIMEVALUE($B888), "")</f>
        <v/>
      </c>
      <c r="P888" s="36" t="str">
        <f>IF(Account!$F888&lt;&gt;"", DATEVALUE(MID($C888,4,3) &amp; LEFT($C888,3) &amp; RIGHT($C888,4)), "")</f>
        <v/>
      </c>
      <c r="Q888" s="37" t="str">
        <f t="array" ref="Q888">IF($R888&lt;&gt;"",IFERROR(INDEX(ISIN!$B:$B,MATCH($R888,ISIN!$C:$C,0))),)</f>
        <v/>
      </c>
      <c r="R888" s="38" t="str">
        <f t="array" ref="R888">IF($E888&lt;&gt;"",IFERROR(INDEX(ISIN!$C:$C,MATCH($E888,ISIN!$A:$A,0)),IFERROR(INDEX($R889:$R1200,MATCH($K888,$K889:$K1200,0)))),IF(AND($Y888="change",$H888="EUR"),IF($O888=$O889,$R889,IF($O888=$O887,$R887)),IFERROR(INDEX($R889:$R1200,MATCH(SUBSTITUTE($I888,"-","",1),$K889:$K1200,0)))))</f>
        <v/>
      </c>
      <c r="S888" s="37" t="str">
        <f t="shared" si="1"/>
        <v/>
      </c>
      <c r="T888" s="39" t="str">
        <f t="shared" si="2"/>
        <v/>
      </c>
      <c r="U888" s="40" t="str">
        <f t="shared" si="3"/>
        <v/>
      </c>
      <c r="V888" s="34" t="str">
        <f t="shared" si="4"/>
        <v/>
      </c>
      <c r="W888" s="41" t="str">
        <f>IFERROR(__xludf.DUMMYFUNCTION(" IF(Account!$F888&lt;&gt;"""", SPLIT(Account!$F888, "" ""), """")"),"")</f>
        <v/>
      </c>
      <c r="X888" s="42"/>
      <c r="Y888" s="42"/>
      <c r="Z888" s="42"/>
      <c r="AA888" s="42"/>
      <c r="AB888" s="42"/>
      <c r="AC888" s="42"/>
      <c r="AD888" s="42"/>
      <c r="AE888" s="42"/>
      <c r="AF888" s="42"/>
      <c r="AG888" s="42"/>
      <c r="AH888" s="42"/>
      <c r="AI888" s="42"/>
      <c r="AJ888" s="42"/>
      <c r="AK888" s="42"/>
    </row>
    <row r="889">
      <c r="A889" s="20"/>
      <c r="B889" s="20"/>
      <c r="C889" s="20"/>
      <c r="D889" s="20"/>
      <c r="E889" s="20"/>
      <c r="F889" s="21"/>
      <c r="G889" s="45"/>
      <c r="H889" s="20"/>
      <c r="I889" s="20"/>
      <c r="J889" s="20"/>
      <c r="K889" s="20"/>
      <c r="L889" s="21"/>
      <c r="M889" s="33" t="str">
        <f>IFERROR(__xludf.DUMMYFUNCTION("IFS(W889=""Achat"",IFERROR(VALUE(X889),VALUE(REGEXREPLACE(T(X889),""[^0-9]"",""""))),W889=""Vente"",-IFERROR(VALUE(X889),VALUE(REGEXREPLACE(T(X889),""[^0-9]"",""""))),Y889=""Change"",0,Y889&lt;&gt;""Change"","""")"),"")</f>
        <v/>
      </c>
      <c r="N889" s="34" t="str">
        <f>IFERROR(__xludf.DUMMYFUNCTION("IF(Account!$F889&lt;&gt;"""", VALUE(REGEXREPLACE($I889, ""\,"", ""."")), """")"),"")</f>
        <v/>
      </c>
      <c r="O889" s="35" t="str">
        <f>IF(Account!$F889&lt;&gt;"", DATEVALUE(MID($A889,4,3) &amp; LEFT($A889,3) &amp; RIGHT($A889,4)) + TIMEVALUE($B889), "")</f>
        <v/>
      </c>
      <c r="P889" s="36" t="str">
        <f>IF(Account!$F889&lt;&gt;"", DATEVALUE(MID($C889,4,3) &amp; LEFT($C889,3) &amp; RIGHT($C889,4)), "")</f>
        <v/>
      </c>
      <c r="Q889" s="37" t="str">
        <f t="array" ref="Q889">IF($R889&lt;&gt;"",IFERROR(INDEX(ISIN!$B:$B,MATCH($R889,ISIN!$C:$C,0))),)</f>
        <v/>
      </c>
      <c r="R889" s="38" t="str">
        <f t="array" ref="R889">IF($E889&lt;&gt;"",IFERROR(INDEX(ISIN!$C:$C,MATCH($E889,ISIN!$A:$A,0)),IFERROR(INDEX($R890:$R1200,MATCH($K889,$K890:$K1200,0)))),IF(AND($Y889="change",$H889="EUR"),IF($O889=$O890,$R890,IF($O889=$O888,$R888)),IFERROR(INDEX($R890:$R1200,MATCH(SUBSTITUTE($I889,"-","",1),$K890:$K1200,0)))))</f>
        <v/>
      </c>
      <c r="S889" s="37" t="str">
        <f t="shared" si="1"/>
        <v/>
      </c>
      <c r="T889" s="39" t="str">
        <f t="shared" si="2"/>
        <v/>
      </c>
      <c r="U889" s="40" t="str">
        <f t="shared" si="3"/>
        <v/>
      </c>
      <c r="V889" s="34" t="str">
        <f t="shared" si="4"/>
        <v/>
      </c>
      <c r="W889" s="41" t="str">
        <f>IFERROR(__xludf.DUMMYFUNCTION(" IF(Account!$F889&lt;&gt;"""", SPLIT(Account!$F889, "" ""), """")"),"")</f>
        <v/>
      </c>
      <c r="X889" s="42"/>
      <c r="Y889" s="42"/>
      <c r="Z889" s="42"/>
      <c r="AA889" s="42"/>
      <c r="AB889" s="42"/>
      <c r="AC889" s="42"/>
      <c r="AD889" s="42"/>
      <c r="AE889" s="42"/>
      <c r="AF889" s="42"/>
      <c r="AG889" s="42"/>
      <c r="AH889" s="42"/>
      <c r="AI889" s="42"/>
      <c r="AJ889" s="42"/>
      <c r="AK889" s="42"/>
    </row>
    <row r="890">
      <c r="A890" s="20"/>
      <c r="B890" s="20"/>
      <c r="C890" s="20"/>
      <c r="D890" s="20"/>
      <c r="E890" s="20"/>
      <c r="F890" s="21"/>
      <c r="G890" s="20"/>
      <c r="H890" s="20"/>
      <c r="I890" s="20"/>
      <c r="J890" s="20"/>
      <c r="K890" s="20"/>
      <c r="L890" s="21"/>
      <c r="M890" s="33" t="str">
        <f>IFERROR(__xludf.DUMMYFUNCTION("IFS(W890=""Achat"",IFERROR(VALUE(X890),VALUE(REGEXREPLACE(T(X890),""[^0-9]"",""""))),W890=""Vente"",-IFERROR(VALUE(X890),VALUE(REGEXREPLACE(T(X890),""[^0-9]"",""""))),Y890=""Change"",0,Y890&lt;&gt;""Change"","""")"),"")</f>
        <v/>
      </c>
      <c r="N890" s="34" t="str">
        <f>IFERROR(__xludf.DUMMYFUNCTION("IF(Account!$F890&lt;&gt;"""", VALUE(REGEXREPLACE($I890, ""\,"", ""."")), """")"),"")</f>
        <v/>
      </c>
      <c r="O890" s="35" t="str">
        <f>IF(Account!$F890&lt;&gt;"", DATEVALUE(MID($A890,4,3) &amp; LEFT($A890,3) &amp; RIGHT($A890,4)) + TIMEVALUE($B890), "")</f>
        <v/>
      </c>
      <c r="P890" s="36" t="str">
        <f>IF(Account!$F890&lt;&gt;"", DATEVALUE(MID($C890,4,3) &amp; LEFT($C890,3) &amp; RIGHT($C890,4)), "")</f>
        <v/>
      </c>
      <c r="Q890" s="37" t="str">
        <f t="array" ref="Q890">IF($R890&lt;&gt;"",IFERROR(INDEX(ISIN!$B:$B,MATCH($R890,ISIN!$C:$C,0))),)</f>
        <v/>
      </c>
      <c r="R890" s="38" t="str">
        <f t="array" ref="R890">IF($E890&lt;&gt;"",IFERROR(INDEX(ISIN!$C:$C,MATCH($E890,ISIN!$A:$A,0)),IFERROR(INDEX($R891:$R1200,MATCH($K890,$K891:$K1200,0)))),IF(AND($Y890="change",$H890="EUR"),IF($O890=$O891,$R891,IF($O890=$O889,$R889)),IFERROR(INDEX($R891:$R1200,MATCH(SUBSTITUTE($I890,"-","",1),$K891:$K1200,0)))))</f>
        <v/>
      </c>
      <c r="S890" s="37" t="str">
        <f t="shared" si="1"/>
        <v/>
      </c>
      <c r="T890" s="39" t="str">
        <f t="shared" si="2"/>
        <v/>
      </c>
      <c r="U890" s="40" t="str">
        <f t="shared" si="3"/>
        <v/>
      </c>
      <c r="V890" s="34" t="str">
        <f t="shared" si="4"/>
        <v/>
      </c>
      <c r="W890" s="41" t="str">
        <f>IFERROR(__xludf.DUMMYFUNCTION(" IF(Account!$F890&lt;&gt;"""", SPLIT(Account!$F890, "" ""), """")"),"")</f>
        <v/>
      </c>
      <c r="X890" s="42"/>
      <c r="Y890" s="42"/>
      <c r="Z890" s="42"/>
      <c r="AA890" s="42"/>
      <c r="AB890" s="42"/>
      <c r="AC890" s="42"/>
      <c r="AD890" s="42"/>
      <c r="AE890" s="42"/>
      <c r="AF890" s="42"/>
      <c r="AG890" s="42"/>
      <c r="AH890" s="42"/>
      <c r="AI890" s="42"/>
      <c r="AJ890" s="42"/>
      <c r="AK890" s="42"/>
    </row>
    <row r="891">
      <c r="A891" s="20"/>
      <c r="B891" s="20"/>
      <c r="C891" s="20"/>
      <c r="D891" s="20"/>
      <c r="E891" s="20"/>
      <c r="F891" s="21"/>
      <c r="G891" s="45"/>
      <c r="H891" s="20"/>
      <c r="I891" s="20"/>
      <c r="J891" s="20"/>
      <c r="K891" s="20"/>
      <c r="L891" s="21"/>
      <c r="M891" s="33" t="str">
        <f>IFERROR(__xludf.DUMMYFUNCTION("IFS(W891=""Achat"",IFERROR(VALUE(X891),VALUE(REGEXREPLACE(T(X891),""[^0-9]"",""""))),W891=""Vente"",-IFERROR(VALUE(X891),VALUE(REGEXREPLACE(T(X891),""[^0-9]"",""""))),Y891=""Change"",0,Y891&lt;&gt;""Change"","""")"),"")</f>
        <v/>
      </c>
      <c r="N891" s="34" t="str">
        <f>IFERROR(__xludf.DUMMYFUNCTION("IF(Account!$F891&lt;&gt;"""", VALUE(REGEXREPLACE($I891, ""\,"", ""."")), """")"),"")</f>
        <v/>
      </c>
      <c r="O891" s="35" t="str">
        <f>IF(Account!$F891&lt;&gt;"", DATEVALUE(MID($A891,4,3) &amp; LEFT($A891,3) &amp; RIGHT($A891,4)) + TIMEVALUE($B891), "")</f>
        <v/>
      </c>
      <c r="P891" s="36" t="str">
        <f>IF(Account!$F891&lt;&gt;"", DATEVALUE(MID($C891,4,3) &amp; LEFT($C891,3) &amp; RIGHT($C891,4)), "")</f>
        <v/>
      </c>
      <c r="Q891" s="37" t="str">
        <f t="array" ref="Q891">IF($R891&lt;&gt;"",IFERROR(INDEX(ISIN!$B:$B,MATCH($R891,ISIN!$C:$C,0))),)</f>
        <v/>
      </c>
      <c r="R891" s="38" t="str">
        <f t="array" ref="R891">IF($E891&lt;&gt;"",IFERROR(INDEX(ISIN!$C:$C,MATCH($E891,ISIN!$A:$A,0)),IFERROR(INDEX($R892:$R1200,MATCH($K891,$K892:$K1200,0)))),IF(AND($Y891="change",$H891="EUR"),IF($O891=$O892,$R892,IF($O891=$O890,$R890)),IFERROR(INDEX($R892:$R1200,MATCH(SUBSTITUTE($I891,"-","",1),$K892:$K1200,0)))))</f>
        <v/>
      </c>
      <c r="S891" s="37" t="str">
        <f t="shared" si="1"/>
        <v/>
      </c>
      <c r="T891" s="39" t="str">
        <f t="shared" si="2"/>
        <v/>
      </c>
      <c r="U891" s="40" t="str">
        <f t="shared" si="3"/>
        <v/>
      </c>
      <c r="V891" s="34" t="str">
        <f t="shared" si="4"/>
        <v/>
      </c>
      <c r="W891" s="41" t="str">
        <f>IFERROR(__xludf.DUMMYFUNCTION(" IF(Account!$F891&lt;&gt;"""", SPLIT(Account!$F891, "" ""), """")"),"")</f>
        <v/>
      </c>
      <c r="X891" s="42"/>
      <c r="Y891" s="42"/>
      <c r="Z891" s="42"/>
      <c r="AA891" s="42"/>
      <c r="AB891" s="42"/>
      <c r="AC891" s="42"/>
      <c r="AD891" s="42"/>
      <c r="AE891" s="42"/>
      <c r="AF891" s="42"/>
      <c r="AG891" s="42"/>
      <c r="AH891" s="42"/>
      <c r="AI891" s="42"/>
      <c r="AJ891" s="42"/>
      <c r="AK891" s="42"/>
    </row>
    <row r="892">
      <c r="A892" s="20"/>
      <c r="B892" s="20"/>
      <c r="C892" s="20"/>
      <c r="D892" s="20"/>
      <c r="E892" s="20"/>
      <c r="F892" s="21"/>
      <c r="G892" s="45"/>
      <c r="H892" s="20"/>
      <c r="I892" s="20"/>
      <c r="J892" s="20"/>
      <c r="K892" s="20"/>
      <c r="L892" s="21"/>
      <c r="M892" s="33" t="str">
        <f>IFERROR(__xludf.DUMMYFUNCTION("IFS(W892=""Achat"",IFERROR(VALUE(X892),VALUE(REGEXREPLACE(T(X892),""[^0-9]"",""""))),W892=""Vente"",-IFERROR(VALUE(X892),VALUE(REGEXREPLACE(T(X892),""[^0-9]"",""""))),Y892=""Change"",0,Y892&lt;&gt;""Change"","""")"),"")</f>
        <v/>
      </c>
      <c r="N892" s="34" t="str">
        <f>IFERROR(__xludf.DUMMYFUNCTION("IF(Account!$F892&lt;&gt;"""", VALUE(REGEXREPLACE($I892, ""\,"", ""."")), """")"),"")</f>
        <v/>
      </c>
      <c r="O892" s="35" t="str">
        <f>IF(Account!$F892&lt;&gt;"", DATEVALUE(MID($A892,4,3) &amp; LEFT($A892,3) &amp; RIGHT($A892,4)) + TIMEVALUE($B892), "")</f>
        <v/>
      </c>
      <c r="P892" s="36" t="str">
        <f>IF(Account!$F892&lt;&gt;"", DATEVALUE(MID($C892,4,3) &amp; LEFT($C892,3) &amp; RIGHT($C892,4)), "")</f>
        <v/>
      </c>
      <c r="Q892" s="37" t="str">
        <f t="array" ref="Q892">IF($R892&lt;&gt;"",IFERROR(INDEX(ISIN!$B:$B,MATCH($R892,ISIN!$C:$C,0))),)</f>
        <v/>
      </c>
      <c r="R892" s="38" t="str">
        <f t="array" ref="R892">IF($E892&lt;&gt;"",IFERROR(INDEX(ISIN!$C:$C,MATCH($E892,ISIN!$A:$A,0)),IFERROR(INDEX($R893:$R1200,MATCH($K892,$K893:$K1200,0)))),IF(AND($Y892="change",$H892="EUR"),IF($O892=$O893,$R893,IF($O892=$O891,$R891)),IFERROR(INDEX($R893:$R1200,MATCH(SUBSTITUTE($I892,"-","",1),$K893:$K1200,0)))))</f>
        <v/>
      </c>
      <c r="S892" s="37" t="str">
        <f t="shared" si="1"/>
        <v/>
      </c>
      <c r="T892" s="39" t="str">
        <f t="shared" si="2"/>
        <v/>
      </c>
      <c r="U892" s="40" t="str">
        <f t="shared" si="3"/>
        <v/>
      </c>
      <c r="V892" s="34" t="str">
        <f t="shared" si="4"/>
        <v/>
      </c>
      <c r="W892" s="41" t="str">
        <f>IFERROR(__xludf.DUMMYFUNCTION(" IF(Account!$F892&lt;&gt;"""", SPLIT(Account!$F892, "" ""), """")"),"")</f>
        <v/>
      </c>
      <c r="X892" s="42"/>
      <c r="Y892" s="42"/>
      <c r="Z892" s="42"/>
      <c r="AA892" s="42"/>
      <c r="AB892" s="42"/>
      <c r="AC892" s="42"/>
      <c r="AD892" s="42"/>
      <c r="AE892" s="42"/>
      <c r="AF892" s="42"/>
      <c r="AG892" s="42"/>
      <c r="AH892" s="42"/>
      <c r="AI892" s="42"/>
      <c r="AJ892" s="42"/>
      <c r="AK892" s="42"/>
    </row>
    <row r="893">
      <c r="A893" s="20"/>
      <c r="B893" s="20"/>
      <c r="C893" s="20"/>
      <c r="D893" s="20"/>
      <c r="E893" s="20"/>
      <c r="F893" s="21"/>
      <c r="G893" s="45"/>
      <c r="H893" s="20"/>
      <c r="I893" s="20"/>
      <c r="J893" s="20"/>
      <c r="K893" s="20"/>
      <c r="L893" s="21"/>
      <c r="M893" s="33" t="str">
        <f>IFERROR(__xludf.DUMMYFUNCTION("IFS(W893=""Achat"",IFERROR(VALUE(X893),VALUE(REGEXREPLACE(T(X893),""[^0-9]"",""""))),W893=""Vente"",-IFERROR(VALUE(X893),VALUE(REGEXREPLACE(T(X893),""[^0-9]"",""""))),Y893=""Change"",0,Y893&lt;&gt;""Change"","""")"),"")</f>
        <v/>
      </c>
      <c r="N893" s="34" t="str">
        <f>IFERROR(__xludf.DUMMYFUNCTION("IF(Account!$F893&lt;&gt;"""", VALUE(REGEXREPLACE($I893, ""\,"", ""."")), """")"),"")</f>
        <v/>
      </c>
      <c r="O893" s="35" t="str">
        <f>IF(Account!$F893&lt;&gt;"", DATEVALUE(MID($A893,4,3) &amp; LEFT($A893,3) &amp; RIGHT($A893,4)) + TIMEVALUE($B893), "")</f>
        <v/>
      </c>
      <c r="P893" s="36" t="str">
        <f>IF(Account!$F893&lt;&gt;"", DATEVALUE(MID($C893,4,3) &amp; LEFT($C893,3) &amp; RIGHT($C893,4)), "")</f>
        <v/>
      </c>
      <c r="Q893" s="37" t="str">
        <f t="array" ref="Q893">IF($R893&lt;&gt;"",IFERROR(INDEX(ISIN!$B:$B,MATCH($R893,ISIN!$C:$C,0))),)</f>
        <v/>
      </c>
      <c r="R893" s="38" t="str">
        <f t="array" ref="R893">IF($E893&lt;&gt;"",IFERROR(INDEX(ISIN!$C:$C,MATCH($E893,ISIN!$A:$A,0)),IFERROR(INDEX($R894:$R1200,MATCH($K893,$K894:$K1200,0)))),IF(AND($Y893="change",$H893="EUR"),IF($O893=$O894,$R894,IF($O893=$O892,$R892)),IFERROR(INDEX($R894:$R1200,MATCH(SUBSTITUTE($I893,"-","",1),$K894:$K1200,0)))))</f>
        <v/>
      </c>
      <c r="S893" s="37" t="str">
        <f t="shared" si="1"/>
        <v/>
      </c>
      <c r="T893" s="39" t="str">
        <f t="shared" si="2"/>
        <v/>
      </c>
      <c r="U893" s="40" t="str">
        <f t="shared" si="3"/>
        <v/>
      </c>
      <c r="V893" s="34" t="str">
        <f t="shared" si="4"/>
        <v/>
      </c>
      <c r="W893" s="41" t="str">
        <f>IFERROR(__xludf.DUMMYFUNCTION(" IF(Account!$F893&lt;&gt;"""", SPLIT(Account!$F893, "" ""), """")"),"")</f>
        <v/>
      </c>
      <c r="X893" s="42"/>
      <c r="Y893" s="42"/>
      <c r="Z893" s="42"/>
      <c r="AA893" s="42"/>
      <c r="AB893" s="42"/>
      <c r="AC893" s="42"/>
      <c r="AD893" s="42"/>
      <c r="AE893" s="42"/>
      <c r="AF893" s="42"/>
      <c r="AG893" s="42"/>
      <c r="AH893" s="42"/>
      <c r="AI893" s="42"/>
      <c r="AJ893" s="42"/>
      <c r="AK893" s="42"/>
    </row>
    <row r="894">
      <c r="A894" s="20"/>
      <c r="B894" s="20"/>
      <c r="C894" s="20"/>
      <c r="D894" s="20"/>
      <c r="E894" s="20"/>
      <c r="F894" s="21"/>
      <c r="G894" s="45"/>
      <c r="H894" s="20"/>
      <c r="I894" s="20"/>
      <c r="J894" s="20"/>
      <c r="K894" s="20"/>
      <c r="L894" s="21"/>
      <c r="M894" s="33" t="str">
        <f>IFERROR(__xludf.DUMMYFUNCTION("IFS(W894=""Achat"",IFERROR(VALUE(X894),VALUE(REGEXREPLACE(T(X894),""[^0-9]"",""""))),W894=""Vente"",-IFERROR(VALUE(X894),VALUE(REGEXREPLACE(T(X894),""[^0-9]"",""""))),Y894=""Change"",0,Y894&lt;&gt;""Change"","""")"),"")</f>
        <v/>
      </c>
      <c r="N894" s="34" t="str">
        <f>IFERROR(__xludf.DUMMYFUNCTION("IF(Account!$F894&lt;&gt;"""", VALUE(REGEXREPLACE($I894, ""\,"", ""."")), """")"),"")</f>
        <v/>
      </c>
      <c r="O894" s="35" t="str">
        <f>IF(Account!$F894&lt;&gt;"", DATEVALUE(MID($A894,4,3) &amp; LEFT($A894,3) &amp; RIGHT($A894,4)) + TIMEVALUE($B894), "")</f>
        <v/>
      </c>
      <c r="P894" s="36" t="str">
        <f>IF(Account!$F894&lt;&gt;"", DATEVALUE(MID($C894,4,3) &amp; LEFT($C894,3) &amp; RIGHT($C894,4)), "")</f>
        <v/>
      </c>
      <c r="Q894" s="37" t="str">
        <f t="array" ref="Q894">IF($R894&lt;&gt;"",IFERROR(INDEX(ISIN!$B:$B,MATCH($R894,ISIN!$C:$C,0))),)</f>
        <v/>
      </c>
      <c r="R894" s="38" t="str">
        <f t="array" ref="R894">IF($E894&lt;&gt;"",IFERROR(INDEX(ISIN!$C:$C,MATCH($E894,ISIN!$A:$A,0)),IFERROR(INDEX($R895:$R1200,MATCH($K894,$K895:$K1200,0)))),IF(AND($Y894="change",$H894="EUR"),IF($O894=$O895,$R895,IF($O894=$O893,$R893)),IFERROR(INDEX($R895:$R1200,MATCH(SUBSTITUTE($I894,"-","",1),$K895:$K1200,0)))))</f>
        <v/>
      </c>
      <c r="S894" s="37" t="str">
        <f t="shared" si="1"/>
        <v/>
      </c>
      <c r="T894" s="39" t="str">
        <f t="shared" si="2"/>
        <v/>
      </c>
      <c r="U894" s="40" t="str">
        <f t="shared" si="3"/>
        <v/>
      </c>
      <c r="V894" s="34" t="str">
        <f t="shared" si="4"/>
        <v/>
      </c>
      <c r="W894" s="41" t="str">
        <f>IFERROR(__xludf.DUMMYFUNCTION(" IF(Account!$F894&lt;&gt;"""", SPLIT(Account!$F894, "" ""), """")"),"")</f>
        <v/>
      </c>
      <c r="X894" s="42"/>
      <c r="Y894" s="42"/>
      <c r="Z894" s="42"/>
      <c r="AA894" s="42"/>
      <c r="AB894" s="42"/>
      <c r="AC894" s="42"/>
      <c r="AD894" s="42"/>
      <c r="AE894" s="42"/>
      <c r="AF894" s="42"/>
      <c r="AG894" s="42"/>
      <c r="AH894" s="42"/>
      <c r="AI894" s="42"/>
      <c r="AJ894" s="42"/>
      <c r="AK894" s="42"/>
    </row>
    <row r="895">
      <c r="A895" s="20"/>
      <c r="B895" s="20"/>
      <c r="C895" s="20"/>
      <c r="D895" s="20"/>
      <c r="E895" s="20"/>
      <c r="F895" s="21"/>
      <c r="G895" s="45"/>
      <c r="H895" s="20"/>
      <c r="I895" s="20"/>
      <c r="J895" s="20"/>
      <c r="K895" s="20"/>
      <c r="L895" s="21"/>
      <c r="M895" s="33" t="str">
        <f>IFERROR(__xludf.DUMMYFUNCTION("IFS(W895=""Achat"",IFERROR(VALUE(X895),VALUE(REGEXREPLACE(T(X895),""[^0-9]"",""""))),W895=""Vente"",-IFERROR(VALUE(X895),VALUE(REGEXREPLACE(T(X895),""[^0-9]"",""""))),Y895=""Change"",0,Y895&lt;&gt;""Change"","""")"),"")</f>
        <v/>
      </c>
      <c r="N895" s="34" t="str">
        <f>IFERROR(__xludf.DUMMYFUNCTION("IF(Account!$F895&lt;&gt;"""", VALUE(REGEXREPLACE($I895, ""\,"", ""."")), """")"),"")</f>
        <v/>
      </c>
      <c r="O895" s="35" t="str">
        <f>IF(Account!$F895&lt;&gt;"", DATEVALUE(MID($A895,4,3) &amp; LEFT($A895,3) &amp; RIGHT($A895,4)) + TIMEVALUE($B895), "")</f>
        <v/>
      </c>
      <c r="P895" s="36" t="str">
        <f>IF(Account!$F895&lt;&gt;"", DATEVALUE(MID($C895,4,3) &amp; LEFT($C895,3) &amp; RIGHT($C895,4)), "")</f>
        <v/>
      </c>
      <c r="Q895" s="37" t="str">
        <f t="array" ref="Q895">IF($R895&lt;&gt;"",IFERROR(INDEX(ISIN!$B:$B,MATCH($R895,ISIN!$C:$C,0))),)</f>
        <v/>
      </c>
      <c r="R895" s="38" t="str">
        <f t="array" ref="R895">IF($E895&lt;&gt;"",IFERROR(INDEX(ISIN!$C:$C,MATCH($E895,ISIN!$A:$A,0)),IFERROR(INDEX($R896:$R1200,MATCH($K895,$K896:$K1200,0)))),IF(AND($Y895="change",$H895="EUR"),IF($O895=$O896,$R896,IF($O895=$O894,$R894)),IFERROR(INDEX($R896:$R1200,MATCH(SUBSTITUTE($I895,"-","",1),$K896:$K1200,0)))))</f>
        <v/>
      </c>
      <c r="S895" s="37" t="str">
        <f t="shared" si="1"/>
        <v/>
      </c>
      <c r="T895" s="39" t="str">
        <f t="shared" si="2"/>
        <v/>
      </c>
      <c r="U895" s="40" t="str">
        <f t="shared" si="3"/>
        <v/>
      </c>
      <c r="V895" s="34" t="str">
        <f t="shared" si="4"/>
        <v/>
      </c>
      <c r="W895" s="41" t="str">
        <f>IFERROR(__xludf.DUMMYFUNCTION(" IF(Account!$F895&lt;&gt;"""", SPLIT(Account!$F895, "" ""), """")"),"")</f>
        <v/>
      </c>
      <c r="X895" s="42"/>
      <c r="Y895" s="42"/>
      <c r="Z895" s="42"/>
      <c r="AA895" s="42"/>
      <c r="AB895" s="42"/>
      <c r="AC895" s="42"/>
      <c r="AD895" s="42"/>
      <c r="AE895" s="42"/>
      <c r="AF895" s="42"/>
      <c r="AG895" s="42"/>
      <c r="AH895" s="42"/>
      <c r="AI895" s="42"/>
      <c r="AJ895" s="42"/>
      <c r="AK895" s="42"/>
    </row>
    <row r="896">
      <c r="A896" s="20"/>
      <c r="B896" s="20"/>
      <c r="C896" s="20"/>
      <c r="D896" s="20"/>
      <c r="E896" s="20"/>
      <c r="F896" s="21"/>
      <c r="G896" s="45"/>
      <c r="H896" s="20"/>
      <c r="I896" s="20"/>
      <c r="J896" s="20"/>
      <c r="K896" s="20"/>
      <c r="L896" s="21"/>
      <c r="M896" s="33" t="str">
        <f>IFERROR(__xludf.DUMMYFUNCTION("IFS(W896=""Achat"",IFERROR(VALUE(X896),VALUE(REGEXREPLACE(T(X896),""[^0-9]"",""""))),W896=""Vente"",-IFERROR(VALUE(X896),VALUE(REGEXREPLACE(T(X896),""[^0-9]"",""""))),Y896=""Change"",0,Y896&lt;&gt;""Change"","""")"),"")</f>
        <v/>
      </c>
      <c r="N896" s="34" t="str">
        <f>IFERROR(__xludf.DUMMYFUNCTION("IF(Account!$F896&lt;&gt;"""", VALUE(REGEXREPLACE($I896, ""\,"", ""."")), """")"),"")</f>
        <v/>
      </c>
      <c r="O896" s="35" t="str">
        <f>IF(Account!$F896&lt;&gt;"", DATEVALUE(MID($A896,4,3) &amp; LEFT($A896,3) &amp; RIGHT($A896,4)) + TIMEVALUE($B896), "")</f>
        <v/>
      </c>
      <c r="P896" s="36" t="str">
        <f>IF(Account!$F896&lt;&gt;"", DATEVALUE(MID($C896,4,3) &amp; LEFT($C896,3) &amp; RIGHT($C896,4)), "")</f>
        <v/>
      </c>
      <c r="Q896" s="37" t="str">
        <f t="array" ref="Q896">IF($R896&lt;&gt;"",IFERROR(INDEX(ISIN!$B:$B,MATCH($R896,ISIN!$C:$C,0))),)</f>
        <v/>
      </c>
      <c r="R896" s="38" t="str">
        <f t="array" ref="R896">IF($E896&lt;&gt;"",IFERROR(INDEX(ISIN!$C:$C,MATCH($E896,ISIN!$A:$A,0)),IFERROR(INDEX($R897:$R1200,MATCH($K896,$K897:$K1200,0)))),IF(AND($Y896="change",$H896="EUR"),IF($O896=$O897,$R897,IF($O896=$O895,$R895)),IFERROR(INDEX($R897:$R1200,MATCH(SUBSTITUTE($I896,"-","",1),$K897:$K1200,0)))))</f>
        <v/>
      </c>
      <c r="S896" s="37" t="str">
        <f t="shared" si="1"/>
        <v/>
      </c>
      <c r="T896" s="39" t="str">
        <f t="shared" si="2"/>
        <v/>
      </c>
      <c r="U896" s="40" t="str">
        <f t="shared" si="3"/>
        <v/>
      </c>
      <c r="V896" s="34" t="str">
        <f t="shared" si="4"/>
        <v/>
      </c>
      <c r="W896" s="41" t="str">
        <f>IFERROR(__xludf.DUMMYFUNCTION(" IF(Account!$F896&lt;&gt;"""", SPLIT(Account!$F896, "" ""), """")"),"")</f>
        <v/>
      </c>
      <c r="X896" s="42"/>
      <c r="Y896" s="42"/>
      <c r="Z896" s="42"/>
      <c r="AA896" s="42"/>
      <c r="AB896" s="42"/>
      <c r="AC896" s="42"/>
      <c r="AD896" s="42"/>
      <c r="AE896" s="42"/>
      <c r="AF896" s="42"/>
      <c r="AG896" s="42"/>
      <c r="AH896" s="42"/>
      <c r="AI896" s="42"/>
      <c r="AJ896" s="42"/>
      <c r="AK896" s="42"/>
    </row>
    <row r="897">
      <c r="A897" s="20"/>
      <c r="B897" s="20"/>
      <c r="C897" s="20"/>
      <c r="D897" s="20"/>
      <c r="E897" s="20"/>
      <c r="F897" s="21"/>
      <c r="G897" s="20"/>
      <c r="H897" s="20"/>
      <c r="I897" s="20"/>
      <c r="J897" s="20"/>
      <c r="K897" s="20"/>
      <c r="L897" s="21"/>
      <c r="M897" s="33" t="str">
        <f>IFERROR(__xludf.DUMMYFUNCTION("IFS(W897=""Achat"",IFERROR(VALUE(X897),VALUE(REGEXREPLACE(T(X897),""[^0-9]"",""""))),W897=""Vente"",-IFERROR(VALUE(X897),VALUE(REGEXREPLACE(T(X897),""[^0-9]"",""""))),Y897=""Change"",0,Y897&lt;&gt;""Change"","""")"),"")</f>
        <v/>
      </c>
      <c r="N897" s="34" t="str">
        <f>IFERROR(__xludf.DUMMYFUNCTION("IF(Account!$F897&lt;&gt;"""", VALUE(REGEXREPLACE($I897, ""\,"", ""."")), """")"),"")</f>
        <v/>
      </c>
      <c r="O897" s="35" t="str">
        <f>IF(Account!$F897&lt;&gt;"", DATEVALUE(MID($A897,4,3) &amp; LEFT($A897,3) &amp; RIGHT($A897,4)) + TIMEVALUE($B897), "")</f>
        <v/>
      </c>
      <c r="P897" s="36" t="str">
        <f>IF(Account!$F897&lt;&gt;"", DATEVALUE(MID($C897,4,3) &amp; LEFT($C897,3) &amp; RIGHT($C897,4)), "")</f>
        <v/>
      </c>
      <c r="Q897" s="37" t="str">
        <f t="array" ref="Q897">IF($R897&lt;&gt;"",IFERROR(INDEX(ISIN!$B:$B,MATCH($R897,ISIN!$C:$C,0))),)</f>
        <v/>
      </c>
      <c r="R897" s="38" t="str">
        <f t="array" ref="R897">IF($E897&lt;&gt;"",IFERROR(INDEX(ISIN!$C:$C,MATCH($E897,ISIN!$A:$A,0)),IFERROR(INDEX($R898:$R1200,MATCH($K897,$K898:$K1200,0)))),IF(AND($Y897="change",$H897="EUR"),IF($O897=$O898,$R898,IF($O897=$O896,$R896)),IFERROR(INDEX($R898:$R1200,MATCH(SUBSTITUTE($I897,"-","",1),$K898:$K1200,0)))))</f>
        <v/>
      </c>
      <c r="S897" s="37" t="str">
        <f t="shared" si="1"/>
        <v/>
      </c>
      <c r="T897" s="39" t="str">
        <f t="shared" si="2"/>
        <v/>
      </c>
      <c r="U897" s="40" t="str">
        <f t="shared" si="3"/>
        <v/>
      </c>
      <c r="V897" s="34" t="str">
        <f t="shared" si="4"/>
        <v/>
      </c>
      <c r="W897" s="41" t="str">
        <f>IFERROR(__xludf.DUMMYFUNCTION(" IF(Account!$F897&lt;&gt;"""", SPLIT(Account!$F897, "" ""), """")"),"")</f>
        <v/>
      </c>
      <c r="X897" s="42"/>
      <c r="Y897" s="42"/>
      <c r="Z897" s="42"/>
      <c r="AA897" s="42"/>
      <c r="AB897" s="42"/>
      <c r="AC897" s="42"/>
      <c r="AD897" s="42"/>
      <c r="AE897" s="42"/>
      <c r="AF897" s="42"/>
      <c r="AG897" s="42"/>
      <c r="AH897" s="42"/>
      <c r="AI897" s="42"/>
      <c r="AJ897" s="42"/>
      <c r="AK897" s="42"/>
    </row>
    <row r="898">
      <c r="A898" s="20"/>
      <c r="B898" s="20"/>
      <c r="C898" s="20"/>
      <c r="D898" s="20"/>
      <c r="E898" s="20"/>
      <c r="F898" s="21"/>
      <c r="G898" s="45"/>
      <c r="H898" s="20"/>
      <c r="I898" s="20"/>
      <c r="J898" s="20"/>
      <c r="K898" s="20"/>
      <c r="L898" s="21"/>
      <c r="M898" s="33" t="str">
        <f>IFERROR(__xludf.DUMMYFUNCTION("IFS(W898=""Achat"",IFERROR(VALUE(X898),VALUE(REGEXREPLACE(T(X898),""[^0-9]"",""""))),W898=""Vente"",-IFERROR(VALUE(X898),VALUE(REGEXREPLACE(T(X898),""[^0-9]"",""""))),Y898=""Change"",0,Y898&lt;&gt;""Change"","""")"),"")</f>
        <v/>
      </c>
      <c r="N898" s="34" t="str">
        <f>IFERROR(__xludf.DUMMYFUNCTION("IF(Account!$F898&lt;&gt;"""", VALUE(REGEXREPLACE($I898, ""\,"", ""."")), """")"),"")</f>
        <v/>
      </c>
      <c r="O898" s="35" t="str">
        <f>IF(Account!$F898&lt;&gt;"", DATEVALUE(MID($A898,4,3) &amp; LEFT($A898,3) &amp; RIGHT($A898,4)) + TIMEVALUE($B898), "")</f>
        <v/>
      </c>
      <c r="P898" s="36" t="str">
        <f>IF(Account!$F898&lt;&gt;"", DATEVALUE(MID($C898,4,3) &amp; LEFT($C898,3) &amp; RIGHT($C898,4)), "")</f>
        <v/>
      </c>
      <c r="Q898" s="37" t="str">
        <f t="array" ref="Q898">IF($R898&lt;&gt;"",IFERROR(INDEX(ISIN!$B:$B,MATCH($R898,ISIN!$C:$C,0))),)</f>
        <v/>
      </c>
      <c r="R898" s="38" t="str">
        <f t="array" ref="R898">IF($E898&lt;&gt;"",IFERROR(INDEX(ISIN!$C:$C,MATCH($E898,ISIN!$A:$A,0)),IFERROR(INDEX($R899:$R1200,MATCH($K898,$K899:$K1200,0)))),IF(AND($Y898="change",$H898="EUR"),IF($O898=$O899,$R899,IF($O898=$O897,$R897)),IFERROR(INDEX($R899:$R1200,MATCH(SUBSTITUTE($I898,"-","",1),$K899:$K1200,0)))))</f>
        <v/>
      </c>
      <c r="S898" s="37" t="str">
        <f t="shared" si="1"/>
        <v/>
      </c>
      <c r="T898" s="39" t="str">
        <f t="shared" si="2"/>
        <v/>
      </c>
      <c r="U898" s="40" t="str">
        <f t="shared" si="3"/>
        <v/>
      </c>
      <c r="V898" s="34" t="str">
        <f t="shared" si="4"/>
        <v/>
      </c>
      <c r="W898" s="41" t="str">
        <f>IFERROR(__xludf.DUMMYFUNCTION(" IF(Account!$F898&lt;&gt;"""", SPLIT(Account!$F898, "" ""), """")"),"")</f>
        <v/>
      </c>
      <c r="X898" s="42"/>
      <c r="Y898" s="42"/>
      <c r="Z898" s="42"/>
      <c r="AA898" s="42"/>
      <c r="AB898" s="42"/>
      <c r="AC898" s="42"/>
      <c r="AD898" s="42"/>
      <c r="AE898" s="42"/>
      <c r="AF898" s="42"/>
      <c r="AG898" s="42"/>
      <c r="AH898" s="42"/>
      <c r="AI898" s="42"/>
      <c r="AJ898" s="42"/>
      <c r="AK898" s="42"/>
    </row>
    <row r="899">
      <c r="A899" s="20"/>
      <c r="B899" s="20"/>
      <c r="C899" s="20"/>
      <c r="D899" s="20"/>
      <c r="E899" s="20"/>
      <c r="F899" s="21"/>
      <c r="G899" s="45"/>
      <c r="H899" s="20"/>
      <c r="I899" s="20"/>
      <c r="J899" s="20"/>
      <c r="K899" s="20"/>
      <c r="L899" s="21"/>
      <c r="M899" s="33" t="str">
        <f>IFERROR(__xludf.DUMMYFUNCTION("IFS(W899=""Achat"",IFERROR(VALUE(X899),VALUE(REGEXREPLACE(T(X899),""[^0-9]"",""""))),W899=""Vente"",-IFERROR(VALUE(X899),VALUE(REGEXREPLACE(T(X899),""[^0-9]"",""""))),Y899=""Change"",0,Y899&lt;&gt;""Change"","""")"),"")</f>
        <v/>
      </c>
      <c r="N899" s="34" t="str">
        <f>IFERROR(__xludf.DUMMYFUNCTION("IF(Account!$F899&lt;&gt;"""", VALUE(REGEXREPLACE($I899, ""\,"", ""."")), """")"),"")</f>
        <v/>
      </c>
      <c r="O899" s="35" t="str">
        <f>IF(Account!$F899&lt;&gt;"", DATEVALUE(MID($A899,4,3) &amp; LEFT($A899,3) &amp; RIGHT($A899,4)) + TIMEVALUE($B899), "")</f>
        <v/>
      </c>
      <c r="P899" s="36" t="str">
        <f>IF(Account!$F899&lt;&gt;"", DATEVALUE(MID($C899,4,3) &amp; LEFT($C899,3) &amp; RIGHT($C899,4)), "")</f>
        <v/>
      </c>
      <c r="Q899" s="37" t="str">
        <f t="array" ref="Q899">IF($R899&lt;&gt;"",IFERROR(INDEX(ISIN!$B:$B,MATCH($R899,ISIN!$C:$C,0))),)</f>
        <v/>
      </c>
      <c r="R899" s="38" t="str">
        <f t="array" ref="R899">IF($E899&lt;&gt;"",IFERROR(INDEX(ISIN!$C:$C,MATCH($E899,ISIN!$A:$A,0)),IFERROR(INDEX($R900:$R1200,MATCH($K899,$K900:$K1200,0)))),IF(AND($Y899="change",$H899="EUR"),IF($O899=$O900,$R900,IF($O899=$O898,$R898)),IFERROR(INDEX($R900:$R1200,MATCH(SUBSTITUTE($I899,"-","",1),$K900:$K1200,0)))))</f>
        <v/>
      </c>
      <c r="S899" s="37" t="str">
        <f t="shared" si="1"/>
        <v/>
      </c>
      <c r="T899" s="39" t="str">
        <f t="shared" si="2"/>
        <v/>
      </c>
      <c r="U899" s="40" t="str">
        <f t="shared" si="3"/>
        <v/>
      </c>
      <c r="V899" s="34" t="str">
        <f t="shared" si="4"/>
        <v/>
      </c>
      <c r="W899" s="41" t="str">
        <f>IFERROR(__xludf.DUMMYFUNCTION(" IF(Account!$F899&lt;&gt;"""", SPLIT(Account!$F899, "" ""), """")"),"")</f>
        <v/>
      </c>
      <c r="X899" s="42"/>
      <c r="Y899" s="42"/>
      <c r="Z899" s="42"/>
      <c r="AA899" s="42"/>
      <c r="AB899" s="42"/>
      <c r="AC899" s="42"/>
      <c r="AD899" s="42"/>
      <c r="AE899" s="42"/>
      <c r="AF899" s="42"/>
      <c r="AG899" s="42"/>
      <c r="AH899" s="42"/>
      <c r="AI899" s="42"/>
      <c r="AJ899" s="42"/>
      <c r="AK899" s="42"/>
    </row>
    <row r="900">
      <c r="A900" s="20"/>
      <c r="B900" s="20"/>
      <c r="C900" s="20"/>
      <c r="D900" s="20"/>
      <c r="E900" s="20"/>
      <c r="F900" s="21"/>
      <c r="G900" s="45"/>
      <c r="H900" s="45"/>
      <c r="I900" s="45"/>
      <c r="J900" s="20"/>
      <c r="K900" s="20"/>
      <c r="L900" s="46"/>
      <c r="M900" s="33" t="str">
        <f>IFERROR(__xludf.DUMMYFUNCTION("IFS(W900=""Achat"",IFERROR(VALUE(X900),VALUE(REGEXREPLACE(T(X900),""[^0-9]"",""""))),W900=""Vente"",-IFERROR(VALUE(X900),VALUE(REGEXREPLACE(T(X900),""[^0-9]"",""""))),Y900=""Change"",0,Y900&lt;&gt;""Change"","""")"),"")</f>
        <v/>
      </c>
      <c r="N900" s="34" t="str">
        <f>IFERROR(__xludf.DUMMYFUNCTION("IF(Account!$F900&lt;&gt;"""", VALUE(REGEXREPLACE($I900, ""\,"", ""."")), """")"),"")</f>
        <v/>
      </c>
      <c r="O900" s="35" t="str">
        <f>IF(Account!$F900&lt;&gt;"", DATEVALUE(MID($A900,4,3) &amp; LEFT($A900,3) &amp; RIGHT($A900,4)) + TIMEVALUE($B900), "")</f>
        <v/>
      </c>
      <c r="P900" s="36" t="str">
        <f>IF(Account!$F900&lt;&gt;"", DATEVALUE(MID($C900,4,3) &amp; LEFT($C900,3) &amp; RIGHT($C900,4)), "")</f>
        <v/>
      </c>
      <c r="Q900" s="37" t="str">
        <f t="array" ref="Q900">IF($R900&lt;&gt;"",IFERROR(INDEX(ISIN!$B:$B,MATCH($R900,ISIN!$C:$C,0))),)</f>
        <v/>
      </c>
      <c r="R900" s="38" t="str">
        <f t="array" ref="R900">IF($E900&lt;&gt;"",IFERROR(INDEX(ISIN!$C:$C,MATCH($E900,ISIN!$A:$A,0)),IFERROR(INDEX($R901:$R1200,MATCH($K900,$K901:$K1200,0)))),IF(AND($Y900="change",$H900="EUR"),IF($O900=$O901,$R901,IF($O900=$O899,$R899)),IFERROR(INDEX($R901:$R1200,MATCH(SUBSTITUTE($I900,"-","",1),$K901:$K1200,0)))))</f>
        <v/>
      </c>
      <c r="S900" s="37" t="str">
        <f t="shared" si="1"/>
        <v/>
      </c>
      <c r="T900" s="39" t="str">
        <f t="shared" si="2"/>
        <v/>
      </c>
      <c r="U900" s="40" t="str">
        <f t="shared" si="3"/>
        <v/>
      </c>
      <c r="V900" s="34" t="str">
        <f t="shared" si="4"/>
        <v/>
      </c>
      <c r="W900" s="41" t="str">
        <f>IFERROR(__xludf.DUMMYFUNCTION(" IF(Account!$F900&lt;&gt;"""", SPLIT(Account!$F900, "" ""), """")"),"")</f>
        <v/>
      </c>
      <c r="X900" s="42"/>
      <c r="Y900" s="42"/>
      <c r="Z900" s="42"/>
      <c r="AA900" s="42"/>
      <c r="AB900" s="42"/>
      <c r="AC900" s="42"/>
      <c r="AD900" s="42"/>
      <c r="AE900" s="42"/>
      <c r="AF900" s="42"/>
      <c r="AG900" s="42"/>
      <c r="AH900" s="42"/>
      <c r="AI900" s="42"/>
      <c r="AJ900" s="42"/>
      <c r="AK900" s="42"/>
    </row>
    <row r="901">
      <c r="A901" s="20"/>
      <c r="B901" s="20"/>
      <c r="C901" s="20"/>
      <c r="D901" s="45"/>
      <c r="E901" s="45"/>
      <c r="F901" s="21"/>
      <c r="G901" s="20"/>
      <c r="H901" s="20"/>
      <c r="I901" s="20"/>
      <c r="J901" s="20"/>
      <c r="K901" s="20"/>
      <c r="L901" s="46"/>
      <c r="M901" s="33" t="str">
        <f>IFERROR(__xludf.DUMMYFUNCTION("IFS(W901=""Achat"",IFERROR(VALUE(X901),VALUE(REGEXREPLACE(T(X901),""[^0-9]"",""""))),W901=""Vente"",-IFERROR(VALUE(X901),VALUE(REGEXREPLACE(T(X901),""[^0-9]"",""""))),Y901=""Change"",0,Y901&lt;&gt;""Change"","""")"),"")</f>
        <v/>
      </c>
      <c r="N901" s="34" t="str">
        <f>IFERROR(__xludf.DUMMYFUNCTION("IF(Account!$F901&lt;&gt;"""", VALUE(REGEXREPLACE($I901, ""\,"", ""."")), """")"),"")</f>
        <v/>
      </c>
      <c r="O901" s="35" t="str">
        <f>IF(Account!$F901&lt;&gt;"", DATEVALUE(MID($A901,4,3) &amp; LEFT($A901,3) &amp; RIGHT($A901,4)) + TIMEVALUE($B901), "")</f>
        <v/>
      </c>
      <c r="P901" s="36" t="str">
        <f>IF(Account!$F901&lt;&gt;"", DATEVALUE(MID($C901,4,3) &amp; LEFT($C901,3) &amp; RIGHT($C901,4)), "")</f>
        <v/>
      </c>
      <c r="Q901" s="37" t="str">
        <f t="array" ref="Q901">IF($R901&lt;&gt;"",IFERROR(INDEX(ISIN!$B:$B,MATCH($R901,ISIN!$C:$C,0))),)</f>
        <v/>
      </c>
      <c r="R901" s="38" t="str">
        <f t="array" ref="R901">IF($E901&lt;&gt;"",IFERROR(INDEX(ISIN!$C:$C,MATCH($E901,ISIN!$A:$A,0)),IFERROR(INDEX($R902:$R1200,MATCH($K901,$K902:$K1200,0)))),IF(AND($Y901="change",$H901="EUR"),IF($O901=$O902,$R902,IF($O901=$O900,$R900)),IFERROR(INDEX($R902:$R1200,MATCH(SUBSTITUTE($I901,"-","",1),$K902:$K1200,0)))))</f>
        <v/>
      </c>
      <c r="S901" s="37" t="str">
        <f t="shared" si="1"/>
        <v/>
      </c>
      <c r="T901" s="39" t="str">
        <f t="shared" si="2"/>
        <v/>
      </c>
      <c r="U901" s="40" t="str">
        <f t="shared" si="3"/>
        <v/>
      </c>
      <c r="V901" s="34" t="str">
        <f t="shared" si="4"/>
        <v/>
      </c>
      <c r="W901" s="41" t="str">
        <f>IFERROR(__xludf.DUMMYFUNCTION(" IF(Account!$F901&lt;&gt;"""", SPLIT(Account!$F901, "" ""), """")"),"")</f>
        <v/>
      </c>
      <c r="X901" s="42"/>
      <c r="Y901" s="42"/>
      <c r="Z901" s="42"/>
      <c r="AA901" s="42"/>
      <c r="AB901" s="42"/>
      <c r="AC901" s="42"/>
      <c r="AD901" s="42"/>
      <c r="AE901" s="42"/>
      <c r="AF901" s="42"/>
      <c r="AG901" s="42"/>
      <c r="AH901" s="42"/>
      <c r="AI901" s="42"/>
      <c r="AJ901" s="42"/>
      <c r="AK901" s="42"/>
    </row>
    <row r="902">
      <c r="A902" s="20"/>
      <c r="B902" s="20"/>
      <c r="C902" s="20"/>
      <c r="D902" s="45"/>
      <c r="E902" s="45"/>
      <c r="F902" s="21"/>
      <c r="G902" s="45"/>
      <c r="H902" s="20"/>
      <c r="I902" s="20"/>
      <c r="J902" s="20"/>
      <c r="K902" s="20"/>
      <c r="L902" s="46"/>
      <c r="M902" s="33" t="str">
        <f>IFERROR(__xludf.DUMMYFUNCTION("IFS(W902=""Achat"",IFERROR(VALUE(X902),VALUE(REGEXREPLACE(T(X902),""[^0-9]"",""""))),W902=""Vente"",-IFERROR(VALUE(X902),VALUE(REGEXREPLACE(T(X902),""[^0-9]"",""""))),Y902=""Change"",0,Y902&lt;&gt;""Change"","""")"),"")</f>
        <v/>
      </c>
      <c r="N902" s="34" t="str">
        <f>IFERROR(__xludf.DUMMYFUNCTION("IF(Account!$F902&lt;&gt;"""", VALUE(REGEXREPLACE($I902, ""\,"", ""."")), """")"),"")</f>
        <v/>
      </c>
      <c r="O902" s="35" t="str">
        <f>IF(Account!$F902&lt;&gt;"", DATEVALUE(MID($A902,4,3) &amp; LEFT($A902,3) &amp; RIGHT($A902,4)) + TIMEVALUE($B902), "")</f>
        <v/>
      </c>
      <c r="P902" s="36" t="str">
        <f>IF(Account!$F902&lt;&gt;"", DATEVALUE(MID($C902,4,3) &amp; LEFT($C902,3) &amp; RIGHT($C902,4)), "")</f>
        <v/>
      </c>
      <c r="Q902" s="37" t="str">
        <f t="array" ref="Q902">IF($R902&lt;&gt;"",IFERROR(INDEX(ISIN!$B:$B,MATCH($R902,ISIN!$C:$C,0))),)</f>
        <v/>
      </c>
      <c r="R902" s="38" t="str">
        <f t="array" ref="R902">IF($E902&lt;&gt;"",IFERROR(INDEX(ISIN!$C:$C,MATCH($E902,ISIN!$A:$A,0)),IFERROR(INDEX($R903:$R1200,MATCH($K902,$K903:$K1200,0)))),IF(AND($Y902="change",$H902="EUR"),IF($O902=$O903,$R903,IF($O902=$O901,$R901)),IFERROR(INDEX($R903:$R1200,MATCH(SUBSTITUTE($I902,"-","",1),$K903:$K1200,0)))))</f>
        <v/>
      </c>
      <c r="S902" s="37" t="str">
        <f t="shared" si="1"/>
        <v/>
      </c>
      <c r="T902" s="39" t="str">
        <f t="shared" si="2"/>
        <v/>
      </c>
      <c r="U902" s="40" t="str">
        <f t="shared" si="3"/>
        <v/>
      </c>
      <c r="V902" s="34" t="str">
        <f t="shared" si="4"/>
        <v/>
      </c>
      <c r="W902" s="41" t="str">
        <f>IFERROR(__xludf.DUMMYFUNCTION(" IF(Account!$F902&lt;&gt;"""", SPLIT(Account!$F902, "" ""), """")"),"")</f>
        <v/>
      </c>
      <c r="X902" s="42"/>
      <c r="Y902" s="42"/>
      <c r="Z902" s="42"/>
      <c r="AA902" s="42"/>
      <c r="AB902" s="42"/>
      <c r="AC902" s="42"/>
      <c r="AD902" s="42"/>
      <c r="AE902" s="42"/>
      <c r="AF902" s="42"/>
      <c r="AG902" s="42"/>
      <c r="AH902" s="42"/>
      <c r="AI902" s="42"/>
      <c r="AJ902" s="42"/>
      <c r="AK902" s="42"/>
    </row>
    <row r="903">
      <c r="A903" s="20"/>
      <c r="B903" s="20"/>
      <c r="C903" s="20"/>
      <c r="D903" s="20"/>
      <c r="E903" s="20"/>
      <c r="F903" s="21"/>
      <c r="G903" s="45"/>
      <c r="H903" s="45"/>
      <c r="I903" s="45"/>
      <c r="J903" s="20"/>
      <c r="K903" s="20"/>
      <c r="L903" s="46"/>
      <c r="M903" s="33" t="str">
        <f>IFERROR(__xludf.DUMMYFUNCTION("IFS(W903=""Achat"",IFERROR(VALUE(X903),VALUE(REGEXREPLACE(T(X903),""[^0-9]"",""""))),W903=""Vente"",-IFERROR(VALUE(X903),VALUE(REGEXREPLACE(T(X903),""[^0-9]"",""""))),Y903=""Change"",0,Y903&lt;&gt;""Change"","""")"),"")</f>
        <v/>
      </c>
      <c r="N903" s="34" t="str">
        <f>IFERROR(__xludf.DUMMYFUNCTION("IF(Account!$F903&lt;&gt;"""", VALUE(REGEXREPLACE($I903, ""\,"", ""."")), """")"),"")</f>
        <v/>
      </c>
      <c r="O903" s="35" t="str">
        <f>IF(Account!$F903&lt;&gt;"", DATEVALUE(MID($A903,4,3) &amp; LEFT($A903,3) &amp; RIGHT($A903,4)) + TIMEVALUE($B903), "")</f>
        <v/>
      </c>
      <c r="P903" s="36" t="str">
        <f>IF(Account!$F903&lt;&gt;"", DATEVALUE(MID($C903,4,3) &amp; LEFT($C903,3) &amp; RIGHT($C903,4)), "")</f>
        <v/>
      </c>
      <c r="Q903" s="37" t="str">
        <f t="array" ref="Q903">IF($R903&lt;&gt;"",IFERROR(INDEX(ISIN!$B:$B,MATCH($R903,ISIN!$C:$C,0))),)</f>
        <v/>
      </c>
      <c r="R903" s="38" t="str">
        <f t="array" ref="R903">IF($E903&lt;&gt;"",IFERROR(INDEX(ISIN!$C:$C,MATCH($E903,ISIN!$A:$A,0)),IFERROR(INDEX($R904:$R1200,MATCH($K903,$K904:$K1200,0)))),IF(AND($Y903="change",$H903="EUR"),IF($O903=$O904,$R904,IF($O903=$O902,$R902)),IFERROR(INDEX($R904:$R1200,MATCH(SUBSTITUTE($I903,"-","",1),$K904:$K1200,0)))))</f>
        <v/>
      </c>
      <c r="S903" s="37" t="str">
        <f t="shared" si="1"/>
        <v/>
      </c>
      <c r="T903" s="39" t="str">
        <f t="shared" si="2"/>
        <v/>
      </c>
      <c r="U903" s="40" t="str">
        <f t="shared" si="3"/>
        <v/>
      </c>
      <c r="V903" s="34" t="str">
        <f t="shared" si="4"/>
        <v/>
      </c>
      <c r="W903" s="41" t="str">
        <f>IFERROR(__xludf.DUMMYFUNCTION(" IF(Account!$F903&lt;&gt;"""", SPLIT(Account!$F903, "" ""), """")"),"")</f>
        <v/>
      </c>
      <c r="X903" s="42"/>
      <c r="Y903" s="42"/>
      <c r="Z903" s="42"/>
      <c r="AA903" s="42"/>
      <c r="AB903" s="42"/>
      <c r="AC903" s="42"/>
      <c r="AD903" s="42"/>
      <c r="AE903" s="42"/>
      <c r="AF903" s="42"/>
      <c r="AG903" s="42"/>
      <c r="AH903" s="42"/>
      <c r="AI903" s="42"/>
      <c r="AJ903" s="42"/>
      <c r="AK903" s="42"/>
    </row>
    <row r="904">
      <c r="A904" s="20"/>
      <c r="B904" s="20"/>
      <c r="C904" s="20"/>
      <c r="D904" s="20"/>
      <c r="E904" s="20"/>
      <c r="F904" s="21"/>
      <c r="G904" s="45"/>
      <c r="H904" s="20"/>
      <c r="I904" s="20"/>
      <c r="J904" s="20"/>
      <c r="K904" s="20"/>
      <c r="L904" s="46"/>
      <c r="M904" s="33" t="str">
        <f>IFERROR(__xludf.DUMMYFUNCTION("IFS(W904=""Achat"",IFERROR(VALUE(X904),VALUE(REGEXREPLACE(T(X904),""[^0-9]"",""""))),W904=""Vente"",-IFERROR(VALUE(X904),VALUE(REGEXREPLACE(T(X904),""[^0-9]"",""""))),Y904=""Change"",0,Y904&lt;&gt;""Change"","""")"),"")</f>
        <v/>
      </c>
      <c r="N904" s="34" t="str">
        <f>IFERROR(__xludf.DUMMYFUNCTION("IF(Account!$F904&lt;&gt;"""", VALUE(REGEXREPLACE($I904, ""\,"", ""."")), """")"),"")</f>
        <v/>
      </c>
      <c r="O904" s="35" t="str">
        <f>IF(Account!$F904&lt;&gt;"", DATEVALUE(MID($A904,4,3) &amp; LEFT($A904,3) &amp; RIGHT($A904,4)) + TIMEVALUE($B904), "")</f>
        <v/>
      </c>
      <c r="P904" s="36" t="str">
        <f>IF(Account!$F904&lt;&gt;"", DATEVALUE(MID($C904,4,3) &amp; LEFT($C904,3) &amp; RIGHT($C904,4)), "")</f>
        <v/>
      </c>
      <c r="Q904" s="37" t="str">
        <f t="array" ref="Q904">IF($R904&lt;&gt;"",IFERROR(INDEX(ISIN!$B:$B,MATCH($R904,ISIN!$C:$C,0))),)</f>
        <v/>
      </c>
      <c r="R904" s="38" t="str">
        <f t="array" ref="R904">IF($E904&lt;&gt;"",IFERROR(INDEX(ISIN!$C:$C,MATCH($E904,ISIN!$A:$A,0)),IFERROR(INDEX($R905:$R1200,MATCH($K904,$K905:$K1200,0)))),IF(AND($Y904="change",$H904="EUR"),IF($O904=$O905,$R905,IF($O904=$O903,$R903)),IFERROR(INDEX($R905:$R1200,MATCH(SUBSTITUTE($I904,"-","",1),$K905:$K1200,0)))))</f>
        <v/>
      </c>
      <c r="S904" s="37" t="str">
        <f t="shared" si="1"/>
        <v/>
      </c>
      <c r="T904" s="39" t="str">
        <f t="shared" si="2"/>
        <v/>
      </c>
      <c r="U904" s="40" t="str">
        <f t="shared" si="3"/>
        <v/>
      </c>
      <c r="V904" s="34" t="str">
        <f t="shared" si="4"/>
        <v/>
      </c>
      <c r="W904" s="41" t="str">
        <f>IFERROR(__xludf.DUMMYFUNCTION(" IF(Account!$F904&lt;&gt;"""", SPLIT(Account!$F904, "" ""), """")"),"")</f>
        <v/>
      </c>
      <c r="X904" s="42"/>
      <c r="Y904" s="42"/>
      <c r="Z904" s="42"/>
      <c r="AA904" s="42"/>
      <c r="AB904" s="42"/>
      <c r="AC904" s="42"/>
      <c r="AD904" s="42"/>
      <c r="AE904" s="42"/>
      <c r="AF904" s="42"/>
      <c r="AG904" s="42"/>
      <c r="AH904" s="42"/>
      <c r="AI904" s="42"/>
      <c r="AJ904" s="42"/>
      <c r="AK904" s="42"/>
    </row>
    <row r="905">
      <c r="A905" s="20"/>
      <c r="B905" s="20"/>
      <c r="C905" s="20"/>
      <c r="D905" s="20"/>
      <c r="E905" s="20"/>
      <c r="F905" s="21"/>
      <c r="G905" s="45"/>
      <c r="H905" s="20"/>
      <c r="I905" s="20"/>
      <c r="J905" s="20"/>
      <c r="K905" s="20"/>
      <c r="L905" s="46"/>
      <c r="M905" s="33" t="str">
        <f>IFERROR(__xludf.DUMMYFUNCTION("IFS(W905=""Achat"",IFERROR(VALUE(X905),VALUE(REGEXREPLACE(T(X905),""[^0-9]"",""""))),W905=""Vente"",-IFERROR(VALUE(X905),VALUE(REGEXREPLACE(T(X905),""[^0-9]"",""""))),Y905=""Change"",0,Y905&lt;&gt;""Change"","""")"),"")</f>
        <v/>
      </c>
      <c r="N905" s="34" t="str">
        <f>IFERROR(__xludf.DUMMYFUNCTION("IF(Account!$F905&lt;&gt;"""", VALUE(REGEXREPLACE($I905, ""\,"", ""."")), """")"),"")</f>
        <v/>
      </c>
      <c r="O905" s="35" t="str">
        <f>IF(Account!$F905&lt;&gt;"", DATEVALUE(MID($A905,4,3) &amp; LEFT($A905,3) &amp; RIGHT($A905,4)) + TIMEVALUE($B905), "")</f>
        <v/>
      </c>
      <c r="P905" s="36" t="str">
        <f>IF(Account!$F905&lt;&gt;"", DATEVALUE(MID($C905,4,3) &amp; LEFT($C905,3) &amp; RIGHT($C905,4)), "")</f>
        <v/>
      </c>
      <c r="Q905" s="37" t="str">
        <f t="array" ref="Q905">IF($R905&lt;&gt;"",IFERROR(INDEX(ISIN!$B:$B,MATCH($R905,ISIN!$C:$C,0))),)</f>
        <v/>
      </c>
      <c r="R905" s="38" t="str">
        <f t="array" ref="R905">IF($E905&lt;&gt;"",IFERROR(INDEX(ISIN!$C:$C,MATCH($E905,ISIN!$A:$A,0)),IFERROR(INDEX($R906:$R1200,MATCH($K905,$K906:$K1200,0)))),IF(AND($Y905="change",$H905="EUR"),IF($O905=$O906,$R906,IF($O905=$O904,$R904)),IFERROR(INDEX($R906:$R1200,MATCH(SUBSTITUTE($I905,"-","",1),$K906:$K1200,0)))))</f>
        <v/>
      </c>
      <c r="S905" s="37" t="str">
        <f t="shared" si="1"/>
        <v/>
      </c>
      <c r="T905" s="39" t="str">
        <f t="shared" si="2"/>
        <v/>
      </c>
      <c r="U905" s="40" t="str">
        <f t="shared" si="3"/>
        <v/>
      </c>
      <c r="V905" s="34" t="str">
        <f t="shared" si="4"/>
        <v/>
      </c>
      <c r="W905" s="41" t="str">
        <f>IFERROR(__xludf.DUMMYFUNCTION(" IF(Account!$F905&lt;&gt;"""", SPLIT(Account!$F905, "" ""), """")"),"")</f>
        <v/>
      </c>
      <c r="X905" s="42"/>
      <c r="Y905" s="42"/>
      <c r="Z905" s="42"/>
      <c r="AA905" s="42"/>
      <c r="AB905" s="42"/>
      <c r="AC905" s="42"/>
      <c r="AD905" s="42"/>
      <c r="AE905" s="42"/>
      <c r="AF905" s="42"/>
      <c r="AG905" s="42"/>
      <c r="AH905" s="42"/>
      <c r="AI905" s="42"/>
      <c r="AJ905" s="42"/>
      <c r="AK905" s="42"/>
    </row>
    <row r="906">
      <c r="A906" s="20"/>
      <c r="B906" s="20"/>
      <c r="C906" s="20"/>
      <c r="D906" s="20"/>
      <c r="E906" s="20"/>
      <c r="F906" s="21"/>
      <c r="G906" s="45"/>
      <c r="H906" s="20"/>
      <c r="I906" s="20"/>
      <c r="J906" s="20"/>
      <c r="K906" s="20"/>
      <c r="L906" s="21"/>
      <c r="M906" s="33" t="str">
        <f>IFERROR(__xludf.DUMMYFUNCTION("IFS(W906=""Achat"",IFERROR(VALUE(X906),VALUE(REGEXREPLACE(T(X906),""[^0-9]"",""""))),W906=""Vente"",-IFERROR(VALUE(X906),VALUE(REGEXREPLACE(T(X906),""[^0-9]"",""""))),Y906=""Change"",0,Y906&lt;&gt;""Change"","""")"),"")</f>
        <v/>
      </c>
      <c r="N906" s="34" t="str">
        <f>IFERROR(__xludf.DUMMYFUNCTION("IF(Account!$F906&lt;&gt;"""", VALUE(REGEXREPLACE($I906, ""\,"", ""."")), """")"),"")</f>
        <v/>
      </c>
      <c r="O906" s="35" t="str">
        <f>IF(Account!$F906&lt;&gt;"", DATEVALUE(MID($A906,4,3) &amp; LEFT($A906,3) &amp; RIGHT($A906,4)) + TIMEVALUE($B906), "")</f>
        <v/>
      </c>
      <c r="P906" s="36" t="str">
        <f>IF(Account!$F906&lt;&gt;"", DATEVALUE(MID($C906,4,3) &amp; LEFT($C906,3) &amp; RIGHT($C906,4)), "")</f>
        <v/>
      </c>
      <c r="Q906" s="37" t="str">
        <f t="array" ref="Q906">IF($R906&lt;&gt;"",IFERROR(INDEX(ISIN!$B:$B,MATCH($R906,ISIN!$C:$C,0))),)</f>
        <v/>
      </c>
      <c r="R906" s="38" t="str">
        <f t="array" ref="R906">IF($E906&lt;&gt;"",IFERROR(INDEX(ISIN!$C:$C,MATCH($E906,ISIN!$A:$A,0)),IFERROR(INDEX($R907:$R1200,MATCH($K906,$K907:$K1200,0)))),IF(AND($Y906="change",$H906="EUR"),IF($O906=$O907,$R907,IF($O906=$O905,$R905)),IFERROR(INDEX($R907:$R1200,MATCH(SUBSTITUTE($I906,"-","",1),$K907:$K1200,0)))))</f>
        <v/>
      </c>
      <c r="S906" s="37" t="str">
        <f t="shared" si="1"/>
        <v/>
      </c>
      <c r="T906" s="39" t="str">
        <f t="shared" si="2"/>
        <v/>
      </c>
      <c r="U906" s="40" t="str">
        <f t="shared" si="3"/>
        <v/>
      </c>
      <c r="V906" s="34" t="str">
        <f t="shared" si="4"/>
        <v/>
      </c>
      <c r="W906" s="41" t="str">
        <f>IFERROR(__xludf.DUMMYFUNCTION(" IF(Account!$F906&lt;&gt;"""", SPLIT(Account!$F906, "" ""), """")"),"")</f>
        <v/>
      </c>
      <c r="X906" s="42"/>
      <c r="Y906" s="42"/>
      <c r="Z906" s="42"/>
      <c r="AA906" s="42"/>
      <c r="AB906" s="42"/>
      <c r="AC906" s="42"/>
      <c r="AD906" s="42"/>
      <c r="AE906" s="42"/>
      <c r="AF906" s="42"/>
      <c r="AG906" s="42"/>
      <c r="AH906" s="42"/>
      <c r="AI906" s="42"/>
      <c r="AJ906" s="42"/>
      <c r="AK906" s="42"/>
    </row>
    <row r="907">
      <c r="A907" s="20"/>
      <c r="B907" s="20"/>
      <c r="C907" s="20"/>
      <c r="D907" s="20"/>
      <c r="E907" s="20"/>
      <c r="F907" s="21"/>
      <c r="G907" s="45"/>
      <c r="H907" s="20"/>
      <c r="I907" s="20"/>
      <c r="J907" s="20"/>
      <c r="K907" s="20"/>
      <c r="L907" s="21"/>
      <c r="M907" s="33" t="str">
        <f>IFERROR(__xludf.DUMMYFUNCTION("IFS(W907=""Achat"",IFERROR(VALUE(X907),VALUE(REGEXREPLACE(T(X907),""[^0-9]"",""""))),W907=""Vente"",-IFERROR(VALUE(X907),VALUE(REGEXREPLACE(T(X907),""[^0-9]"",""""))),Y907=""Change"",0,Y907&lt;&gt;""Change"","""")"),"")</f>
        <v/>
      </c>
      <c r="N907" s="34" t="str">
        <f>IFERROR(__xludf.DUMMYFUNCTION("IF(Account!$F907&lt;&gt;"""", VALUE(REGEXREPLACE($I907, ""\,"", ""."")), """")"),"")</f>
        <v/>
      </c>
      <c r="O907" s="35" t="str">
        <f>IF(Account!$F907&lt;&gt;"", DATEVALUE(MID($A907,4,3) &amp; LEFT($A907,3) &amp; RIGHT($A907,4)) + TIMEVALUE($B907), "")</f>
        <v/>
      </c>
      <c r="P907" s="36" t="str">
        <f>IF(Account!$F907&lt;&gt;"", DATEVALUE(MID($C907,4,3) &amp; LEFT($C907,3) &amp; RIGHT($C907,4)), "")</f>
        <v/>
      </c>
      <c r="Q907" s="37" t="str">
        <f t="array" ref="Q907">IF($R907&lt;&gt;"",IFERROR(INDEX(ISIN!$B:$B,MATCH($R907,ISIN!$C:$C,0))),)</f>
        <v/>
      </c>
      <c r="R907" s="38" t="str">
        <f t="array" ref="R907">IF($E907&lt;&gt;"",IFERROR(INDEX(ISIN!$C:$C,MATCH($E907,ISIN!$A:$A,0)),IFERROR(INDEX($R908:$R1200,MATCH($K907,$K908:$K1200,0)))),IF(AND($Y907="change",$H907="EUR"),IF($O907=$O908,$R908,IF($O907=$O906,$R906)),IFERROR(INDEX($R908:$R1200,MATCH(SUBSTITUTE($I907,"-","",1),$K908:$K1200,0)))))</f>
        <v/>
      </c>
      <c r="S907" s="37" t="str">
        <f t="shared" si="1"/>
        <v/>
      </c>
      <c r="T907" s="39" t="str">
        <f t="shared" si="2"/>
        <v/>
      </c>
      <c r="U907" s="40" t="str">
        <f t="shared" si="3"/>
        <v/>
      </c>
      <c r="V907" s="34" t="str">
        <f t="shared" si="4"/>
        <v/>
      </c>
      <c r="W907" s="41" t="str">
        <f>IFERROR(__xludf.DUMMYFUNCTION(" IF(Account!$F907&lt;&gt;"""", SPLIT(Account!$F907, "" ""), """")"),"")</f>
        <v/>
      </c>
      <c r="X907" s="42"/>
      <c r="Y907" s="42"/>
      <c r="Z907" s="42"/>
      <c r="AA907" s="42"/>
      <c r="AB907" s="42"/>
      <c r="AC907" s="42"/>
      <c r="AD907" s="42"/>
      <c r="AE907" s="42"/>
      <c r="AF907" s="42"/>
      <c r="AG907" s="42"/>
      <c r="AH907" s="42"/>
      <c r="AI907" s="42"/>
      <c r="AJ907" s="42"/>
      <c r="AK907" s="42"/>
    </row>
    <row r="908">
      <c r="A908" s="20"/>
      <c r="B908" s="20"/>
      <c r="C908" s="20"/>
      <c r="D908" s="20"/>
      <c r="E908" s="20"/>
      <c r="F908" s="21"/>
      <c r="G908" s="20"/>
      <c r="H908" s="20"/>
      <c r="I908" s="20"/>
      <c r="J908" s="20"/>
      <c r="K908" s="20"/>
      <c r="L908" s="21"/>
      <c r="M908" s="33" t="str">
        <f>IFERROR(__xludf.DUMMYFUNCTION("IFS(W908=""Achat"",IFERROR(VALUE(X908),VALUE(REGEXREPLACE(T(X908),""[^0-9]"",""""))),W908=""Vente"",-IFERROR(VALUE(X908),VALUE(REGEXREPLACE(T(X908),""[^0-9]"",""""))),Y908=""Change"",0,Y908&lt;&gt;""Change"","""")"),"")</f>
        <v/>
      </c>
      <c r="N908" s="34" t="str">
        <f>IFERROR(__xludf.DUMMYFUNCTION("IF(Account!$F908&lt;&gt;"""", VALUE(REGEXREPLACE($I908, ""\,"", ""."")), """")"),"")</f>
        <v/>
      </c>
      <c r="O908" s="35" t="str">
        <f>IF(Account!$F908&lt;&gt;"", DATEVALUE(MID($A908,4,3) &amp; LEFT($A908,3) &amp; RIGHT($A908,4)) + TIMEVALUE($B908), "")</f>
        <v/>
      </c>
      <c r="P908" s="36" t="str">
        <f>IF(Account!$F908&lt;&gt;"", DATEVALUE(MID($C908,4,3) &amp; LEFT($C908,3) &amp; RIGHT($C908,4)), "")</f>
        <v/>
      </c>
      <c r="Q908" s="37" t="str">
        <f t="array" ref="Q908">IF($R908&lt;&gt;"",IFERROR(INDEX(ISIN!$B:$B,MATCH($R908,ISIN!$C:$C,0))),)</f>
        <v/>
      </c>
      <c r="R908" s="38" t="str">
        <f t="array" ref="R908">IF($E908&lt;&gt;"",IFERROR(INDEX(ISIN!$C:$C,MATCH($E908,ISIN!$A:$A,0)),IFERROR(INDEX($R909:$R1200,MATCH($K908,$K909:$K1200,0)))),IF(AND($Y908="change",$H908="EUR"),IF($O908=$O909,$R909,IF($O908=$O907,$R907)),IFERROR(INDEX($R909:$R1200,MATCH(SUBSTITUTE($I908,"-","",1),$K909:$K1200,0)))))</f>
        <v/>
      </c>
      <c r="S908" s="37" t="str">
        <f t="shared" si="1"/>
        <v/>
      </c>
      <c r="T908" s="39" t="str">
        <f t="shared" si="2"/>
        <v/>
      </c>
      <c r="U908" s="40" t="str">
        <f t="shared" si="3"/>
        <v/>
      </c>
      <c r="V908" s="34" t="str">
        <f t="shared" si="4"/>
        <v/>
      </c>
      <c r="W908" s="41" t="str">
        <f>IFERROR(__xludf.DUMMYFUNCTION(" IF(Account!$F908&lt;&gt;"""", SPLIT(Account!$F908, "" ""), """")"),"")</f>
        <v/>
      </c>
      <c r="X908" s="42"/>
      <c r="Y908" s="42"/>
      <c r="Z908" s="42"/>
      <c r="AA908" s="42"/>
      <c r="AB908" s="42"/>
      <c r="AC908" s="42"/>
      <c r="AD908" s="42"/>
      <c r="AE908" s="42"/>
      <c r="AF908" s="42"/>
      <c r="AG908" s="42"/>
      <c r="AH908" s="42"/>
      <c r="AI908" s="42"/>
      <c r="AJ908" s="42"/>
      <c r="AK908" s="42"/>
    </row>
    <row r="909">
      <c r="A909" s="20"/>
      <c r="B909" s="20"/>
      <c r="C909" s="20"/>
      <c r="D909" s="20"/>
      <c r="E909" s="20"/>
      <c r="F909" s="21"/>
      <c r="G909" s="45"/>
      <c r="H909" s="20"/>
      <c r="I909" s="20"/>
      <c r="J909" s="20"/>
      <c r="K909" s="20"/>
      <c r="L909" s="21"/>
      <c r="M909" s="33" t="str">
        <f>IFERROR(__xludf.DUMMYFUNCTION("IFS(W909=""Achat"",IFERROR(VALUE(X909),VALUE(REGEXREPLACE(T(X909),""[^0-9]"",""""))),W909=""Vente"",-IFERROR(VALUE(X909),VALUE(REGEXREPLACE(T(X909),""[^0-9]"",""""))),Y909=""Change"",0,Y909&lt;&gt;""Change"","""")"),"")</f>
        <v/>
      </c>
      <c r="N909" s="34" t="str">
        <f>IFERROR(__xludf.DUMMYFUNCTION("IF(Account!$F909&lt;&gt;"""", VALUE(REGEXREPLACE($I909, ""\,"", ""."")), """")"),"")</f>
        <v/>
      </c>
      <c r="O909" s="35" t="str">
        <f>IF(Account!$F909&lt;&gt;"", DATEVALUE(MID($A909,4,3) &amp; LEFT($A909,3) &amp; RIGHT($A909,4)) + TIMEVALUE($B909), "")</f>
        <v/>
      </c>
      <c r="P909" s="36" t="str">
        <f>IF(Account!$F909&lt;&gt;"", DATEVALUE(MID($C909,4,3) &amp; LEFT($C909,3) &amp; RIGHT($C909,4)), "")</f>
        <v/>
      </c>
      <c r="Q909" s="37" t="str">
        <f t="array" ref="Q909">IF($R909&lt;&gt;"",IFERROR(INDEX(ISIN!$B:$B,MATCH($R909,ISIN!$C:$C,0))),)</f>
        <v/>
      </c>
      <c r="R909" s="38" t="str">
        <f t="array" ref="R909">IF($E909&lt;&gt;"",IFERROR(INDEX(ISIN!$C:$C,MATCH($E909,ISIN!$A:$A,0)),IFERROR(INDEX($R910:$R1200,MATCH($K909,$K910:$K1200,0)))),IF(AND($Y909="change",$H909="EUR"),IF($O909=$O910,$R910,IF($O909=$O908,$R908)),IFERROR(INDEX($R910:$R1200,MATCH(SUBSTITUTE($I909,"-","",1),$K910:$K1200,0)))))</f>
        <v/>
      </c>
      <c r="S909" s="37" t="str">
        <f t="shared" si="1"/>
        <v/>
      </c>
      <c r="T909" s="39" t="str">
        <f t="shared" si="2"/>
        <v/>
      </c>
      <c r="U909" s="40" t="str">
        <f t="shared" si="3"/>
        <v/>
      </c>
      <c r="V909" s="34" t="str">
        <f t="shared" si="4"/>
        <v/>
      </c>
      <c r="W909" s="41" t="str">
        <f>IFERROR(__xludf.DUMMYFUNCTION(" IF(Account!$F909&lt;&gt;"""", SPLIT(Account!$F909, "" ""), """")"),"")</f>
        <v/>
      </c>
      <c r="X909" s="42"/>
      <c r="Y909" s="42"/>
      <c r="Z909" s="42"/>
      <c r="AA909" s="42"/>
      <c r="AB909" s="42"/>
      <c r="AC909" s="42"/>
      <c r="AD909" s="42"/>
      <c r="AE909" s="42"/>
      <c r="AF909" s="42"/>
      <c r="AG909" s="42"/>
      <c r="AH909" s="42"/>
      <c r="AI909" s="42"/>
      <c r="AJ909" s="42"/>
      <c r="AK909" s="42"/>
    </row>
    <row r="910">
      <c r="A910" s="20"/>
      <c r="B910" s="20"/>
      <c r="C910" s="20"/>
      <c r="D910" s="20"/>
      <c r="E910" s="20"/>
      <c r="F910" s="21"/>
      <c r="G910" s="45"/>
      <c r="H910" s="20"/>
      <c r="I910" s="20"/>
      <c r="J910" s="20"/>
      <c r="K910" s="20"/>
      <c r="L910" s="21"/>
      <c r="M910" s="33" t="str">
        <f>IFERROR(__xludf.DUMMYFUNCTION("IFS(W910=""Achat"",IFERROR(VALUE(X910),VALUE(REGEXREPLACE(T(X910),""[^0-9]"",""""))),W910=""Vente"",-IFERROR(VALUE(X910),VALUE(REGEXREPLACE(T(X910),""[^0-9]"",""""))),Y910=""Change"",0,Y910&lt;&gt;""Change"","""")"),"")</f>
        <v/>
      </c>
      <c r="N910" s="34" t="str">
        <f>IFERROR(__xludf.DUMMYFUNCTION("IF(Account!$F910&lt;&gt;"""", VALUE(REGEXREPLACE($I910, ""\,"", ""."")), """")"),"")</f>
        <v/>
      </c>
      <c r="O910" s="35" t="str">
        <f>IF(Account!$F910&lt;&gt;"", DATEVALUE(MID($A910,4,3) &amp; LEFT($A910,3) &amp; RIGHT($A910,4)) + TIMEVALUE($B910), "")</f>
        <v/>
      </c>
      <c r="P910" s="36" t="str">
        <f>IF(Account!$F910&lt;&gt;"", DATEVALUE(MID($C910,4,3) &amp; LEFT($C910,3) &amp; RIGHT($C910,4)), "")</f>
        <v/>
      </c>
      <c r="Q910" s="37" t="str">
        <f t="array" ref="Q910">IF($R910&lt;&gt;"",IFERROR(INDEX(ISIN!$B:$B,MATCH($R910,ISIN!$C:$C,0))),)</f>
        <v/>
      </c>
      <c r="R910" s="38" t="str">
        <f t="array" ref="R910">IF($E910&lt;&gt;"",IFERROR(INDEX(ISIN!$C:$C,MATCH($E910,ISIN!$A:$A,0)),IFERROR(INDEX($R911:$R1200,MATCH($K910,$K911:$K1200,0)))),IF(AND($Y910="change",$H910="EUR"),IF($O910=$O911,$R911,IF($O910=$O909,$R909)),IFERROR(INDEX($R911:$R1200,MATCH(SUBSTITUTE($I910,"-","",1),$K911:$K1200,0)))))</f>
        <v/>
      </c>
      <c r="S910" s="37" t="str">
        <f t="shared" si="1"/>
        <v/>
      </c>
      <c r="T910" s="39" t="str">
        <f t="shared" si="2"/>
        <v/>
      </c>
      <c r="U910" s="40" t="str">
        <f t="shared" si="3"/>
        <v/>
      </c>
      <c r="V910" s="34" t="str">
        <f t="shared" si="4"/>
        <v/>
      </c>
      <c r="W910" s="41" t="str">
        <f>IFERROR(__xludf.DUMMYFUNCTION(" IF(Account!$F910&lt;&gt;"""", SPLIT(Account!$F910, "" ""), """")"),"")</f>
        <v/>
      </c>
      <c r="X910" s="42"/>
      <c r="Y910" s="42"/>
      <c r="Z910" s="42"/>
      <c r="AA910" s="42"/>
      <c r="AB910" s="42"/>
      <c r="AC910" s="42"/>
      <c r="AD910" s="42"/>
      <c r="AE910" s="42"/>
      <c r="AF910" s="42"/>
      <c r="AG910" s="42"/>
      <c r="AH910" s="42"/>
      <c r="AI910" s="42"/>
      <c r="AJ910" s="42"/>
      <c r="AK910" s="42"/>
    </row>
    <row r="911">
      <c r="A911" s="20"/>
      <c r="B911" s="20"/>
      <c r="C911" s="20"/>
      <c r="D911" s="20"/>
      <c r="E911" s="20"/>
      <c r="F911" s="21"/>
      <c r="G911" s="20"/>
      <c r="H911" s="20"/>
      <c r="I911" s="20"/>
      <c r="J911" s="20"/>
      <c r="K911" s="20"/>
      <c r="L911" s="21"/>
      <c r="M911" s="33" t="str">
        <f>IFERROR(__xludf.DUMMYFUNCTION("IFS(W911=""Achat"",IFERROR(VALUE(X911),VALUE(REGEXREPLACE(T(X911),""[^0-9]"",""""))),W911=""Vente"",-IFERROR(VALUE(X911),VALUE(REGEXREPLACE(T(X911),""[^0-9]"",""""))),Y911=""Change"",0,Y911&lt;&gt;""Change"","""")"),"")</f>
        <v/>
      </c>
      <c r="N911" s="34" t="str">
        <f>IFERROR(__xludf.DUMMYFUNCTION("IF(Account!$F911&lt;&gt;"""", VALUE(REGEXREPLACE($I911, ""\,"", ""."")), """")"),"")</f>
        <v/>
      </c>
      <c r="O911" s="35" t="str">
        <f>IF(Account!$F911&lt;&gt;"", DATEVALUE(MID($A911,4,3) &amp; LEFT($A911,3) &amp; RIGHT($A911,4)) + TIMEVALUE($B911), "")</f>
        <v/>
      </c>
      <c r="P911" s="36" t="str">
        <f>IF(Account!$F911&lt;&gt;"", DATEVALUE(MID($C911,4,3) &amp; LEFT($C911,3) &amp; RIGHT($C911,4)), "")</f>
        <v/>
      </c>
      <c r="Q911" s="37" t="str">
        <f t="array" ref="Q911">IF($R911&lt;&gt;"",IFERROR(INDEX(ISIN!$B:$B,MATCH($R911,ISIN!$C:$C,0))),)</f>
        <v/>
      </c>
      <c r="R911" s="38" t="str">
        <f t="array" ref="R911">IF($E911&lt;&gt;"",IFERROR(INDEX(ISIN!$C:$C,MATCH($E911,ISIN!$A:$A,0)),IFERROR(INDEX($R912:$R1200,MATCH($K911,$K912:$K1200,0)))),IF(AND($Y911="change",$H911="EUR"),IF($O911=$O912,$R912,IF($O911=$O910,$R910)),IFERROR(INDEX($R912:$R1200,MATCH(SUBSTITUTE($I911,"-","",1),$K912:$K1200,0)))))</f>
        <v/>
      </c>
      <c r="S911" s="37" t="str">
        <f t="shared" si="1"/>
        <v/>
      </c>
      <c r="T911" s="39" t="str">
        <f t="shared" si="2"/>
        <v/>
      </c>
      <c r="U911" s="40" t="str">
        <f t="shared" si="3"/>
        <v/>
      </c>
      <c r="V911" s="34" t="str">
        <f t="shared" si="4"/>
        <v/>
      </c>
      <c r="W911" s="41" t="str">
        <f>IFERROR(__xludf.DUMMYFUNCTION(" IF(Account!$F911&lt;&gt;"""", SPLIT(Account!$F911, "" ""), """")"),"")</f>
        <v/>
      </c>
      <c r="X911" s="42"/>
      <c r="Y911" s="42"/>
      <c r="Z911" s="42"/>
      <c r="AA911" s="42"/>
      <c r="AB911" s="42"/>
      <c r="AC911" s="42"/>
      <c r="AD911" s="42"/>
      <c r="AE911" s="42"/>
      <c r="AF911" s="42"/>
      <c r="AG911" s="42"/>
      <c r="AH911" s="42"/>
      <c r="AI911" s="42"/>
      <c r="AJ911" s="42"/>
      <c r="AK911" s="42"/>
    </row>
    <row r="912">
      <c r="A912" s="20"/>
      <c r="B912" s="20"/>
      <c r="C912" s="20"/>
      <c r="D912" s="20"/>
      <c r="E912" s="20"/>
      <c r="F912" s="21"/>
      <c r="G912" s="45"/>
      <c r="H912" s="20"/>
      <c r="I912" s="20"/>
      <c r="J912" s="20"/>
      <c r="K912" s="20"/>
      <c r="L912" s="21"/>
      <c r="M912" s="33" t="str">
        <f>IFERROR(__xludf.DUMMYFUNCTION("IFS(W912=""Achat"",IFERROR(VALUE(X912),VALUE(REGEXREPLACE(T(X912),""[^0-9]"",""""))),W912=""Vente"",-IFERROR(VALUE(X912),VALUE(REGEXREPLACE(T(X912),""[^0-9]"",""""))),Y912=""Change"",0,Y912&lt;&gt;""Change"","""")"),"")</f>
        <v/>
      </c>
      <c r="N912" s="34" t="str">
        <f>IFERROR(__xludf.DUMMYFUNCTION("IF(Account!$F912&lt;&gt;"""", VALUE(REGEXREPLACE($I912, ""\,"", ""."")), """")"),"")</f>
        <v/>
      </c>
      <c r="O912" s="35" t="str">
        <f>IF(Account!$F912&lt;&gt;"", DATEVALUE(MID($A912,4,3) &amp; LEFT($A912,3) &amp; RIGHT($A912,4)) + TIMEVALUE($B912), "")</f>
        <v/>
      </c>
      <c r="P912" s="36" t="str">
        <f>IF(Account!$F912&lt;&gt;"", DATEVALUE(MID($C912,4,3) &amp; LEFT($C912,3) &amp; RIGHT($C912,4)), "")</f>
        <v/>
      </c>
      <c r="Q912" s="37" t="str">
        <f t="array" ref="Q912">IF($R912&lt;&gt;"",IFERROR(INDEX(ISIN!$B:$B,MATCH($R912,ISIN!$C:$C,0))),)</f>
        <v/>
      </c>
      <c r="R912" s="38" t="str">
        <f t="array" ref="R912">IF($E912&lt;&gt;"",IFERROR(INDEX(ISIN!$C:$C,MATCH($E912,ISIN!$A:$A,0)),IFERROR(INDEX($R913:$R1200,MATCH($K912,$K913:$K1200,0)))),IF(AND($Y912="change",$H912="EUR"),IF($O912=$O913,$R913,IF($O912=$O911,$R911)),IFERROR(INDEX($R913:$R1200,MATCH(SUBSTITUTE($I912,"-","",1),$K913:$K1200,0)))))</f>
        <v/>
      </c>
      <c r="S912" s="37" t="str">
        <f t="shared" si="1"/>
        <v/>
      </c>
      <c r="T912" s="39" t="str">
        <f t="shared" si="2"/>
        <v/>
      </c>
      <c r="U912" s="40" t="str">
        <f t="shared" si="3"/>
        <v/>
      </c>
      <c r="V912" s="34" t="str">
        <f t="shared" si="4"/>
        <v/>
      </c>
      <c r="W912" s="41" t="str">
        <f>IFERROR(__xludf.DUMMYFUNCTION(" IF(Account!$F912&lt;&gt;"""", SPLIT(Account!$F912, "" ""), """")"),"")</f>
        <v/>
      </c>
      <c r="X912" s="42"/>
      <c r="Y912" s="42"/>
      <c r="Z912" s="42"/>
      <c r="AA912" s="42"/>
      <c r="AB912" s="42"/>
      <c r="AC912" s="42"/>
      <c r="AD912" s="42"/>
      <c r="AE912" s="42"/>
      <c r="AF912" s="42"/>
      <c r="AG912" s="42"/>
      <c r="AH912" s="42"/>
      <c r="AI912" s="42"/>
      <c r="AJ912" s="42"/>
      <c r="AK912" s="42"/>
    </row>
    <row r="913">
      <c r="A913" s="20"/>
      <c r="B913" s="20"/>
      <c r="C913" s="20"/>
      <c r="D913" s="20"/>
      <c r="E913" s="20"/>
      <c r="F913" s="21"/>
      <c r="G913" s="45"/>
      <c r="H913" s="20"/>
      <c r="I913" s="20"/>
      <c r="J913" s="20"/>
      <c r="K913" s="20"/>
      <c r="L913" s="21"/>
      <c r="M913" s="33" t="str">
        <f>IFERROR(__xludf.DUMMYFUNCTION("IFS(W913=""Achat"",IFERROR(VALUE(X913),VALUE(REGEXREPLACE(T(X913),""[^0-9]"",""""))),W913=""Vente"",-IFERROR(VALUE(X913),VALUE(REGEXREPLACE(T(X913),""[^0-9]"",""""))),Y913=""Change"",0,Y913&lt;&gt;""Change"","""")"),"")</f>
        <v/>
      </c>
      <c r="N913" s="34" t="str">
        <f>IFERROR(__xludf.DUMMYFUNCTION("IF(Account!$F913&lt;&gt;"""", VALUE(REGEXREPLACE($I913, ""\,"", ""."")), """")"),"")</f>
        <v/>
      </c>
      <c r="O913" s="35" t="str">
        <f>IF(Account!$F913&lt;&gt;"", DATEVALUE(MID($A913,4,3) &amp; LEFT($A913,3) &amp; RIGHT($A913,4)) + TIMEVALUE($B913), "")</f>
        <v/>
      </c>
      <c r="P913" s="36" t="str">
        <f>IF(Account!$F913&lt;&gt;"", DATEVALUE(MID($C913,4,3) &amp; LEFT($C913,3) &amp; RIGHT($C913,4)), "")</f>
        <v/>
      </c>
      <c r="Q913" s="37" t="str">
        <f t="array" ref="Q913">IF($R913&lt;&gt;"",IFERROR(INDEX(ISIN!$B:$B,MATCH($R913,ISIN!$C:$C,0))),)</f>
        <v/>
      </c>
      <c r="R913" s="38" t="str">
        <f t="array" ref="R913">IF($E913&lt;&gt;"",IFERROR(INDEX(ISIN!$C:$C,MATCH($E913,ISIN!$A:$A,0)),IFERROR(INDEX($R914:$R1200,MATCH($K913,$K914:$K1200,0)))),IF(AND($Y913="change",$H913="EUR"),IF($O913=$O914,$R914,IF($O913=$O912,$R912)),IFERROR(INDEX($R914:$R1200,MATCH(SUBSTITUTE($I913,"-","",1),$K914:$K1200,0)))))</f>
        <v/>
      </c>
      <c r="S913" s="37" t="str">
        <f t="shared" si="1"/>
        <v/>
      </c>
      <c r="T913" s="39" t="str">
        <f t="shared" si="2"/>
        <v/>
      </c>
      <c r="U913" s="40" t="str">
        <f t="shared" si="3"/>
        <v/>
      </c>
      <c r="V913" s="34" t="str">
        <f t="shared" si="4"/>
        <v/>
      </c>
      <c r="W913" s="41" t="str">
        <f>IFERROR(__xludf.DUMMYFUNCTION(" IF(Account!$F913&lt;&gt;"""", SPLIT(Account!$F913, "" ""), """")"),"")</f>
        <v/>
      </c>
      <c r="X913" s="42"/>
      <c r="Y913" s="42"/>
      <c r="Z913" s="42"/>
      <c r="AA913" s="42"/>
      <c r="AB913" s="42"/>
      <c r="AC913" s="42"/>
      <c r="AD913" s="42"/>
      <c r="AE913" s="42"/>
      <c r="AF913" s="42"/>
      <c r="AG913" s="42"/>
      <c r="AH913" s="42"/>
      <c r="AI913" s="42"/>
      <c r="AJ913" s="42"/>
      <c r="AK913" s="42"/>
    </row>
    <row r="914">
      <c r="A914" s="20"/>
      <c r="B914" s="20"/>
      <c r="C914" s="20"/>
      <c r="D914" s="20"/>
      <c r="E914" s="20"/>
      <c r="F914" s="21"/>
      <c r="G914" s="45"/>
      <c r="H914" s="20"/>
      <c r="I914" s="20"/>
      <c r="J914" s="20"/>
      <c r="K914" s="20"/>
      <c r="L914" s="21"/>
      <c r="M914" s="33" t="str">
        <f>IFERROR(__xludf.DUMMYFUNCTION("IFS(W914=""Achat"",IFERROR(VALUE(X914),VALUE(REGEXREPLACE(T(X914),""[^0-9]"",""""))),W914=""Vente"",-IFERROR(VALUE(X914),VALUE(REGEXREPLACE(T(X914),""[^0-9]"",""""))),Y914=""Change"",0,Y914&lt;&gt;""Change"","""")"),"")</f>
        <v/>
      </c>
      <c r="N914" s="34" t="str">
        <f>IFERROR(__xludf.DUMMYFUNCTION("IF(Account!$F914&lt;&gt;"""", VALUE(REGEXREPLACE($I914, ""\,"", ""."")), """")"),"")</f>
        <v/>
      </c>
      <c r="O914" s="35" t="str">
        <f>IF(Account!$F914&lt;&gt;"", DATEVALUE(MID($A914,4,3) &amp; LEFT($A914,3) &amp; RIGHT($A914,4)) + TIMEVALUE($B914), "")</f>
        <v/>
      </c>
      <c r="P914" s="36" t="str">
        <f>IF(Account!$F914&lt;&gt;"", DATEVALUE(MID($C914,4,3) &amp; LEFT($C914,3) &amp; RIGHT($C914,4)), "")</f>
        <v/>
      </c>
      <c r="Q914" s="37" t="str">
        <f t="array" ref="Q914">IF($R914&lt;&gt;"",IFERROR(INDEX(ISIN!$B:$B,MATCH($R914,ISIN!$C:$C,0))),)</f>
        <v/>
      </c>
      <c r="R914" s="38" t="str">
        <f t="array" ref="R914">IF($E914&lt;&gt;"",IFERROR(INDEX(ISIN!$C:$C,MATCH($E914,ISIN!$A:$A,0)),IFERROR(INDEX($R915:$R1200,MATCH($K914,$K915:$K1200,0)))),IF(AND($Y914="change",$H914="EUR"),IF($O914=$O915,$R915,IF($O914=$O913,$R913)),IFERROR(INDEX($R915:$R1200,MATCH(SUBSTITUTE($I914,"-","",1),$K915:$K1200,0)))))</f>
        <v/>
      </c>
      <c r="S914" s="37" t="str">
        <f t="shared" si="1"/>
        <v/>
      </c>
      <c r="T914" s="39" t="str">
        <f t="shared" si="2"/>
        <v/>
      </c>
      <c r="U914" s="40" t="str">
        <f t="shared" si="3"/>
        <v/>
      </c>
      <c r="V914" s="34" t="str">
        <f t="shared" si="4"/>
        <v/>
      </c>
      <c r="W914" s="41" t="str">
        <f>IFERROR(__xludf.DUMMYFUNCTION(" IF(Account!$F914&lt;&gt;"""", SPLIT(Account!$F914, "" ""), """")"),"")</f>
        <v/>
      </c>
      <c r="X914" s="42"/>
      <c r="Y914" s="42"/>
      <c r="Z914" s="42"/>
      <c r="AA914" s="42"/>
      <c r="AB914" s="42"/>
      <c r="AC914" s="42"/>
      <c r="AD914" s="42"/>
      <c r="AE914" s="42"/>
      <c r="AF914" s="42"/>
      <c r="AG914" s="42"/>
      <c r="AH914" s="42"/>
      <c r="AI914" s="42"/>
      <c r="AJ914" s="42"/>
      <c r="AK914" s="42"/>
    </row>
    <row r="915">
      <c r="A915" s="20"/>
      <c r="B915" s="20"/>
      <c r="C915" s="20"/>
      <c r="D915" s="20"/>
      <c r="E915" s="20"/>
      <c r="F915" s="21"/>
      <c r="G915" s="45"/>
      <c r="H915" s="20"/>
      <c r="I915" s="20"/>
      <c r="J915" s="20"/>
      <c r="K915" s="20"/>
      <c r="L915" s="21"/>
      <c r="M915" s="33" t="str">
        <f>IFERROR(__xludf.DUMMYFUNCTION("IFS(W915=""Achat"",IFERROR(VALUE(X915),VALUE(REGEXREPLACE(T(X915),""[^0-9]"",""""))),W915=""Vente"",-IFERROR(VALUE(X915),VALUE(REGEXREPLACE(T(X915),""[^0-9]"",""""))),Y915=""Change"",0,Y915&lt;&gt;""Change"","""")"),"")</f>
        <v/>
      </c>
      <c r="N915" s="34" t="str">
        <f>IFERROR(__xludf.DUMMYFUNCTION("IF(Account!$F915&lt;&gt;"""", VALUE(REGEXREPLACE($I915, ""\,"", ""."")), """")"),"")</f>
        <v/>
      </c>
      <c r="O915" s="35" t="str">
        <f>IF(Account!$F915&lt;&gt;"", DATEVALUE(MID($A915,4,3) &amp; LEFT($A915,3) &amp; RIGHT($A915,4)) + TIMEVALUE($B915), "")</f>
        <v/>
      </c>
      <c r="P915" s="36" t="str">
        <f>IF(Account!$F915&lt;&gt;"", DATEVALUE(MID($C915,4,3) &amp; LEFT($C915,3) &amp; RIGHT($C915,4)), "")</f>
        <v/>
      </c>
      <c r="Q915" s="37" t="str">
        <f t="array" ref="Q915">IF($R915&lt;&gt;"",IFERROR(INDEX(ISIN!$B:$B,MATCH($R915,ISIN!$C:$C,0))),)</f>
        <v/>
      </c>
      <c r="R915" s="38" t="str">
        <f t="array" ref="R915">IF($E915&lt;&gt;"",IFERROR(INDEX(ISIN!$C:$C,MATCH($E915,ISIN!$A:$A,0)),IFERROR(INDEX($R916:$R1200,MATCH($K915,$K916:$K1200,0)))),IF(AND($Y915="change",$H915="EUR"),IF($O915=$O916,$R916,IF($O915=$O914,$R914)),IFERROR(INDEX($R916:$R1200,MATCH(SUBSTITUTE($I915,"-","",1),$K916:$K1200,0)))))</f>
        <v/>
      </c>
      <c r="S915" s="37" t="str">
        <f t="shared" si="1"/>
        <v/>
      </c>
      <c r="T915" s="39" t="str">
        <f t="shared" si="2"/>
        <v/>
      </c>
      <c r="U915" s="40" t="str">
        <f t="shared" si="3"/>
        <v/>
      </c>
      <c r="V915" s="34" t="str">
        <f t="shared" si="4"/>
        <v/>
      </c>
      <c r="W915" s="41" t="str">
        <f>IFERROR(__xludf.DUMMYFUNCTION(" IF(Account!$F915&lt;&gt;"""", SPLIT(Account!$F915, "" ""), """")"),"")</f>
        <v/>
      </c>
      <c r="X915" s="42"/>
      <c r="Y915" s="42"/>
      <c r="Z915" s="42"/>
      <c r="AA915" s="42"/>
      <c r="AB915" s="42"/>
      <c r="AC915" s="42"/>
      <c r="AD915" s="42"/>
      <c r="AE915" s="42"/>
      <c r="AF915" s="42"/>
      <c r="AG915" s="42"/>
      <c r="AH915" s="42"/>
      <c r="AI915" s="42"/>
      <c r="AJ915" s="42"/>
      <c r="AK915" s="42"/>
    </row>
    <row r="916">
      <c r="A916" s="20"/>
      <c r="B916" s="20"/>
      <c r="C916" s="20"/>
      <c r="D916" s="20"/>
      <c r="E916" s="20"/>
      <c r="F916" s="21"/>
      <c r="G916" s="45"/>
      <c r="H916" s="20"/>
      <c r="I916" s="20"/>
      <c r="J916" s="20"/>
      <c r="K916" s="20"/>
      <c r="L916" s="21"/>
      <c r="M916" s="33" t="str">
        <f>IFERROR(__xludf.DUMMYFUNCTION("IFS(W916=""Achat"",IFERROR(VALUE(X916),VALUE(REGEXREPLACE(T(X916),""[^0-9]"",""""))),W916=""Vente"",-IFERROR(VALUE(X916),VALUE(REGEXREPLACE(T(X916),""[^0-9]"",""""))),Y916=""Change"",0,Y916&lt;&gt;""Change"","""")"),"")</f>
        <v/>
      </c>
      <c r="N916" s="34" t="str">
        <f>IFERROR(__xludf.DUMMYFUNCTION("IF(Account!$F916&lt;&gt;"""", VALUE(REGEXREPLACE($I916, ""\,"", ""."")), """")"),"")</f>
        <v/>
      </c>
      <c r="O916" s="35" t="str">
        <f>IF(Account!$F916&lt;&gt;"", DATEVALUE(MID($A916,4,3) &amp; LEFT($A916,3) &amp; RIGHT($A916,4)) + TIMEVALUE($B916), "")</f>
        <v/>
      </c>
      <c r="P916" s="36" t="str">
        <f>IF(Account!$F916&lt;&gt;"", DATEVALUE(MID($C916,4,3) &amp; LEFT($C916,3) &amp; RIGHT($C916,4)), "")</f>
        <v/>
      </c>
      <c r="Q916" s="37" t="str">
        <f t="array" ref="Q916">IF($R916&lt;&gt;"",IFERROR(INDEX(ISIN!$B:$B,MATCH($R916,ISIN!$C:$C,0))),)</f>
        <v/>
      </c>
      <c r="R916" s="38" t="str">
        <f t="array" ref="R916">IF($E916&lt;&gt;"",IFERROR(INDEX(ISIN!$C:$C,MATCH($E916,ISIN!$A:$A,0)),IFERROR(INDEX($R917:$R1200,MATCH($K916,$K917:$K1200,0)))),IF(AND($Y916="change",$H916="EUR"),IF($O916=$O917,$R917,IF($O916=$O915,$R915)),IFERROR(INDEX($R917:$R1200,MATCH(SUBSTITUTE($I916,"-","",1),$K917:$K1200,0)))))</f>
        <v/>
      </c>
      <c r="S916" s="37" t="str">
        <f t="shared" si="1"/>
        <v/>
      </c>
      <c r="T916" s="39" t="str">
        <f t="shared" si="2"/>
        <v/>
      </c>
      <c r="U916" s="40" t="str">
        <f t="shared" si="3"/>
        <v/>
      </c>
      <c r="V916" s="34" t="str">
        <f t="shared" si="4"/>
        <v/>
      </c>
      <c r="W916" s="41" t="str">
        <f>IFERROR(__xludf.DUMMYFUNCTION(" IF(Account!$F916&lt;&gt;"""", SPLIT(Account!$F916, "" ""), """")"),"")</f>
        <v/>
      </c>
      <c r="X916" s="42"/>
      <c r="Y916" s="42"/>
      <c r="Z916" s="42"/>
      <c r="AA916" s="42"/>
      <c r="AB916" s="42"/>
      <c r="AC916" s="42"/>
      <c r="AD916" s="42"/>
      <c r="AE916" s="42"/>
      <c r="AF916" s="42"/>
      <c r="AG916" s="42"/>
      <c r="AH916" s="42"/>
      <c r="AI916" s="42"/>
      <c r="AJ916" s="42"/>
      <c r="AK916" s="42"/>
    </row>
    <row r="917">
      <c r="A917" s="20"/>
      <c r="B917" s="20"/>
      <c r="C917" s="20"/>
      <c r="D917" s="20"/>
      <c r="E917" s="20"/>
      <c r="F917" s="21"/>
      <c r="G917" s="20"/>
      <c r="H917" s="20"/>
      <c r="I917" s="20"/>
      <c r="J917" s="20"/>
      <c r="K917" s="20"/>
      <c r="L917" s="21"/>
      <c r="M917" s="33" t="str">
        <f>IFERROR(__xludf.DUMMYFUNCTION("IFS(W917=""Achat"",IFERROR(VALUE(X917),VALUE(REGEXREPLACE(T(X917),""[^0-9]"",""""))),W917=""Vente"",-IFERROR(VALUE(X917),VALUE(REGEXREPLACE(T(X917),""[^0-9]"",""""))),Y917=""Change"",0,Y917&lt;&gt;""Change"","""")"),"")</f>
        <v/>
      </c>
      <c r="N917" s="34" t="str">
        <f>IFERROR(__xludf.DUMMYFUNCTION("IF(Account!$F917&lt;&gt;"""", VALUE(REGEXREPLACE($I917, ""\,"", ""."")), """")"),"")</f>
        <v/>
      </c>
      <c r="O917" s="35" t="str">
        <f>IF(Account!$F917&lt;&gt;"", DATEVALUE(MID($A917,4,3) &amp; LEFT($A917,3) &amp; RIGHT($A917,4)) + TIMEVALUE($B917), "")</f>
        <v/>
      </c>
      <c r="P917" s="36" t="str">
        <f>IF(Account!$F917&lt;&gt;"", DATEVALUE(MID($C917,4,3) &amp; LEFT($C917,3) &amp; RIGHT($C917,4)), "")</f>
        <v/>
      </c>
      <c r="Q917" s="37" t="str">
        <f t="array" ref="Q917">IF($R917&lt;&gt;"",IFERROR(INDEX(ISIN!$B:$B,MATCH($R917,ISIN!$C:$C,0))),)</f>
        <v/>
      </c>
      <c r="R917" s="38" t="str">
        <f t="array" ref="R917">IF($E917&lt;&gt;"",IFERROR(INDEX(ISIN!$C:$C,MATCH($E917,ISIN!$A:$A,0)),IFERROR(INDEX($R918:$R1200,MATCH($K917,$K918:$K1200,0)))),IF(AND($Y917="change",$H917="EUR"),IF($O917=$O918,$R918,IF($O917=$O916,$R916)),IFERROR(INDEX($R918:$R1200,MATCH(SUBSTITUTE($I917,"-","",1),$K918:$K1200,0)))))</f>
        <v/>
      </c>
      <c r="S917" s="37" t="str">
        <f t="shared" si="1"/>
        <v/>
      </c>
      <c r="T917" s="39" t="str">
        <f t="shared" si="2"/>
        <v/>
      </c>
      <c r="U917" s="40" t="str">
        <f t="shared" si="3"/>
        <v/>
      </c>
      <c r="V917" s="34" t="str">
        <f t="shared" si="4"/>
        <v/>
      </c>
      <c r="W917" s="41" t="str">
        <f>IFERROR(__xludf.DUMMYFUNCTION(" IF(Account!$F917&lt;&gt;"""", SPLIT(Account!$F917, "" ""), """")"),"")</f>
        <v/>
      </c>
      <c r="X917" s="42"/>
      <c r="Y917" s="42"/>
      <c r="Z917" s="42"/>
      <c r="AA917" s="42"/>
      <c r="AB917" s="42"/>
      <c r="AC917" s="42"/>
      <c r="AD917" s="42"/>
      <c r="AE917" s="42"/>
      <c r="AF917" s="42"/>
      <c r="AG917" s="42"/>
      <c r="AH917" s="42"/>
      <c r="AI917" s="42"/>
      <c r="AJ917" s="42"/>
      <c r="AK917" s="42"/>
    </row>
    <row r="918">
      <c r="A918" s="20"/>
      <c r="B918" s="20"/>
      <c r="C918" s="20"/>
      <c r="D918" s="20"/>
      <c r="E918" s="20"/>
      <c r="F918" s="21"/>
      <c r="G918" s="45"/>
      <c r="H918" s="20"/>
      <c r="I918" s="20"/>
      <c r="J918" s="20"/>
      <c r="K918" s="20"/>
      <c r="L918" s="21"/>
      <c r="M918" s="33" t="str">
        <f>IFERROR(__xludf.DUMMYFUNCTION("IFS(W918=""Achat"",IFERROR(VALUE(X918),VALUE(REGEXREPLACE(T(X918),""[^0-9]"",""""))),W918=""Vente"",-IFERROR(VALUE(X918),VALUE(REGEXREPLACE(T(X918),""[^0-9]"",""""))),Y918=""Change"",0,Y918&lt;&gt;""Change"","""")"),"")</f>
        <v/>
      </c>
      <c r="N918" s="34" t="str">
        <f>IFERROR(__xludf.DUMMYFUNCTION("IF(Account!$F918&lt;&gt;"""", VALUE(REGEXREPLACE($I918, ""\,"", ""."")), """")"),"")</f>
        <v/>
      </c>
      <c r="O918" s="35" t="str">
        <f>IF(Account!$F918&lt;&gt;"", DATEVALUE(MID($A918,4,3) &amp; LEFT($A918,3) &amp; RIGHT($A918,4)) + TIMEVALUE($B918), "")</f>
        <v/>
      </c>
      <c r="P918" s="36" t="str">
        <f>IF(Account!$F918&lt;&gt;"", DATEVALUE(MID($C918,4,3) &amp; LEFT($C918,3) &amp; RIGHT($C918,4)), "")</f>
        <v/>
      </c>
      <c r="Q918" s="37" t="str">
        <f t="array" ref="Q918">IF($R918&lt;&gt;"",IFERROR(INDEX(ISIN!$B:$B,MATCH($R918,ISIN!$C:$C,0))),)</f>
        <v/>
      </c>
      <c r="R918" s="38" t="str">
        <f t="array" ref="R918">IF($E918&lt;&gt;"",IFERROR(INDEX(ISIN!$C:$C,MATCH($E918,ISIN!$A:$A,0)),IFERROR(INDEX($R919:$R1200,MATCH($K918,$K919:$K1200,0)))),IF(AND($Y918="change",$H918="EUR"),IF($O918=$O919,$R919,IF($O918=$O917,$R917)),IFERROR(INDEX($R919:$R1200,MATCH(SUBSTITUTE($I918,"-","",1),$K919:$K1200,0)))))</f>
        <v/>
      </c>
      <c r="S918" s="37" t="str">
        <f t="shared" si="1"/>
        <v/>
      </c>
      <c r="T918" s="39" t="str">
        <f t="shared" si="2"/>
        <v/>
      </c>
      <c r="U918" s="40" t="str">
        <f t="shared" si="3"/>
        <v/>
      </c>
      <c r="V918" s="34" t="str">
        <f t="shared" si="4"/>
        <v/>
      </c>
      <c r="W918" s="41" t="str">
        <f>IFERROR(__xludf.DUMMYFUNCTION(" IF(Account!$F918&lt;&gt;"""", SPLIT(Account!$F918, "" ""), """")"),"")</f>
        <v/>
      </c>
      <c r="X918" s="42"/>
      <c r="Y918" s="42"/>
      <c r="Z918" s="42"/>
      <c r="AA918" s="42"/>
      <c r="AB918" s="42"/>
      <c r="AC918" s="42"/>
      <c r="AD918" s="42"/>
      <c r="AE918" s="42"/>
      <c r="AF918" s="42"/>
      <c r="AG918" s="42"/>
      <c r="AH918" s="42"/>
      <c r="AI918" s="42"/>
      <c r="AJ918" s="42"/>
      <c r="AK918" s="42"/>
    </row>
    <row r="919">
      <c r="A919" s="20"/>
      <c r="B919" s="20"/>
      <c r="C919" s="20"/>
      <c r="D919" s="20"/>
      <c r="E919" s="20"/>
      <c r="F919" s="21"/>
      <c r="G919" s="45"/>
      <c r="H919" s="20"/>
      <c r="I919" s="20"/>
      <c r="J919" s="20"/>
      <c r="K919" s="20"/>
      <c r="L919" s="21"/>
      <c r="M919" s="33" t="str">
        <f>IFERROR(__xludf.DUMMYFUNCTION("IFS(W919=""Achat"",IFERROR(VALUE(X919),VALUE(REGEXREPLACE(T(X919),""[^0-9]"",""""))),W919=""Vente"",-IFERROR(VALUE(X919),VALUE(REGEXREPLACE(T(X919),""[^0-9]"",""""))),Y919=""Change"",0,Y919&lt;&gt;""Change"","""")"),"")</f>
        <v/>
      </c>
      <c r="N919" s="34" t="str">
        <f>IFERROR(__xludf.DUMMYFUNCTION("IF(Account!$F919&lt;&gt;"""", VALUE(REGEXREPLACE($I919, ""\,"", ""."")), """")"),"")</f>
        <v/>
      </c>
      <c r="O919" s="35" t="str">
        <f>IF(Account!$F919&lt;&gt;"", DATEVALUE(MID($A919,4,3) &amp; LEFT($A919,3) &amp; RIGHT($A919,4)) + TIMEVALUE($B919), "")</f>
        <v/>
      </c>
      <c r="P919" s="36" t="str">
        <f>IF(Account!$F919&lt;&gt;"", DATEVALUE(MID($C919,4,3) &amp; LEFT($C919,3) &amp; RIGHT($C919,4)), "")</f>
        <v/>
      </c>
      <c r="Q919" s="37" t="str">
        <f t="array" ref="Q919">IF($R919&lt;&gt;"",IFERROR(INDEX(ISIN!$B:$B,MATCH($R919,ISIN!$C:$C,0))),)</f>
        <v/>
      </c>
      <c r="R919" s="38" t="str">
        <f t="array" ref="R919">IF($E919&lt;&gt;"",IFERROR(INDEX(ISIN!$C:$C,MATCH($E919,ISIN!$A:$A,0)),IFERROR(INDEX($R920:$R1200,MATCH($K919,$K920:$K1200,0)))),IF(AND($Y919="change",$H919="EUR"),IF($O919=$O920,$R920,IF($O919=$O918,$R918)),IFERROR(INDEX($R920:$R1200,MATCH(SUBSTITUTE($I919,"-","",1),$K920:$K1200,0)))))</f>
        <v/>
      </c>
      <c r="S919" s="37" t="str">
        <f t="shared" si="1"/>
        <v/>
      </c>
      <c r="T919" s="39" t="str">
        <f t="shared" si="2"/>
        <v/>
      </c>
      <c r="U919" s="40" t="str">
        <f t="shared" si="3"/>
        <v/>
      </c>
      <c r="V919" s="34" t="str">
        <f t="shared" si="4"/>
        <v/>
      </c>
      <c r="W919" s="41" t="str">
        <f>IFERROR(__xludf.DUMMYFUNCTION(" IF(Account!$F919&lt;&gt;"""", SPLIT(Account!$F919, "" ""), """")"),"")</f>
        <v/>
      </c>
      <c r="X919" s="42"/>
      <c r="Y919" s="42"/>
      <c r="Z919" s="42"/>
      <c r="AA919" s="42"/>
      <c r="AB919" s="42"/>
      <c r="AC919" s="42"/>
      <c r="AD919" s="42"/>
      <c r="AE919" s="42"/>
      <c r="AF919" s="42"/>
      <c r="AG919" s="42"/>
      <c r="AH919" s="42"/>
      <c r="AI919" s="42"/>
      <c r="AJ919" s="42"/>
      <c r="AK919" s="42"/>
    </row>
    <row r="920">
      <c r="A920" s="20"/>
      <c r="B920" s="20"/>
      <c r="C920" s="20"/>
      <c r="D920" s="45"/>
      <c r="E920" s="45"/>
      <c r="F920" s="21"/>
      <c r="G920" s="45"/>
      <c r="H920" s="20"/>
      <c r="I920" s="20"/>
      <c r="J920" s="20"/>
      <c r="K920" s="20"/>
      <c r="L920" s="46"/>
      <c r="M920" s="33" t="str">
        <f>IFERROR(__xludf.DUMMYFUNCTION("IFS(W920=""Achat"",IFERROR(VALUE(X920),VALUE(REGEXREPLACE(T(X920),""[^0-9]"",""""))),W920=""Vente"",-IFERROR(VALUE(X920),VALUE(REGEXREPLACE(T(X920),""[^0-9]"",""""))),Y920=""Change"",0,Y920&lt;&gt;""Change"","""")"),"")</f>
        <v/>
      </c>
      <c r="N920" s="34" t="str">
        <f>IFERROR(__xludf.DUMMYFUNCTION("IF(Account!$F920&lt;&gt;"""", VALUE(REGEXREPLACE($I920, ""\,"", ""."")), """")"),"")</f>
        <v/>
      </c>
      <c r="O920" s="35" t="str">
        <f>IF(Account!$F920&lt;&gt;"", DATEVALUE(MID($A920,4,3) &amp; LEFT($A920,3) &amp; RIGHT($A920,4)) + TIMEVALUE($B920), "")</f>
        <v/>
      </c>
      <c r="P920" s="36" t="str">
        <f>IF(Account!$F920&lt;&gt;"", DATEVALUE(MID($C920,4,3) &amp; LEFT($C920,3) &amp; RIGHT($C920,4)), "")</f>
        <v/>
      </c>
      <c r="Q920" s="37" t="str">
        <f t="array" ref="Q920">IF($R920&lt;&gt;"",IFERROR(INDEX(ISIN!$B:$B,MATCH($R920,ISIN!$C:$C,0))),)</f>
        <v/>
      </c>
      <c r="R920" s="38" t="str">
        <f t="array" ref="R920">IF($E920&lt;&gt;"",IFERROR(INDEX(ISIN!$C:$C,MATCH($E920,ISIN!$A:$A,0)),IFERROR(INDEX($R921:$R1200,MATCH($K920,$K921:$K1200,0)))),IF(AND($Y920="change",$H920="EUR"),IF($O920=$O921,$R921,IF($O920=$O919,$R919)),IFERROR(INDEX($R921:$R1200,MATCH(SUBSTITUTE($I920,"-","",1),$K921:$K1200,0)))))</f>
        <v/>
      </c>
      <c r="S920" s="37" t="str">
        <f t="shared" si="1"/>
        <v/>
      </c>
      <c r="T920" s="39" t="str">
        <f t="shared" si="2"/>
        <v/>
      </c>
      <c r="U920" s="40" t="str">
        <f t="shared" si="3"/>
        <v/>
      </c>
      <c r="V920" s="34" t="str">
        <f t="shared" si="4"/>
        <v/>
      </c>
      <c r="W920" s="41" t="str">
        <f>IFERROR(__xludf.DUMMYFUNCTION(" IF(Account!$F920&lt;&gt;"""", SPLIT(Account!$F920, "" ""), """")"),"")</f>
        <v/>
      </c>
      <c r="X920" s="42"/>
      <c r="Y920" s="42"/>
      <c r="Z920" s="42"/>
      <c r="AA920" s="42"/>
      <c r="AB920" s="42"/>
      <c r="AC920" s="42"/>
      <c r="AD920" s="42"/>
      <c r="AE920" s="42"/>
      <c r="AF920" s="42"/>
      <c r="AG920" s="42"/>
      <c r="AH920" s="42"/>
      <c r="AI920" s="42"/>
      <c r="AJ920" s="42"/>
      <c r="AK920" s="42"/>
    </row>
    <row r="921">
      <c r="A921" s="20"/>
      <c r="B921" s="20"/>
      <c r="C921" s="20"/>
      <c r="D921" s="45"/>
      <c r="E921" s="45"/>
      <c r="F921" s="21"/>
      <c r="G921" s="45"/>
      <c r="H921" s="20"/>
      <c r="I921" s="20"/>
      <c r="J921" s="20"/>
      <c r="K921" s="20"/>
      <c r="L921" s="46"/>
      <c r="M921" s="33" t="str">
        <f>IFERROR(__xludf.DUMMYFUNCTION("IFS(W921=""Achat"",IFERROR(VALUE(X921),VALUE(REGEXREPLACE(T(X921),""[^0-9]"",""""))),W921=""Vente"",-IFERROR(VALUE(X921),VALUE(REGEXREPLACE(T(X921),""[^0-9]"",""""))),Y921=""Change"",0,Y921&lt;&gt;""Change"","""")"),"")</f>
        <v/>
      </c>
      <c r="N921" s="34" t="str">
        <f>IFERROR(__xludf.DUMMYFUNCTION("IF(Account!$F921&lt;&gt;"""", VALUE(REGEXREPLACE($I921, ""\,"", ""."")), """")"),"")</f>
        <v/>
      </c>
      <c r="O921" s="35" t="str">
        <f>IF(Account!$F921&lt;&gt;"", DATEVALUE(MID($A921,4,3) &amp; LEFT($A921,3) &amp; RIGHT($A921,4)) + TIMEVALUE($B921), "")</f>
        <v/>
      </c>
      <c r="P921" s="36" t="str">
        <f>IF(Account!$F921&lt;&gt;"", DATEVALUE(MID($C921,4,3) &amp; LEFT($C921,3) &amp; RIGHT($C921,4)), "")</f>
        <v/>
      </c>
      <c r="Q921" s="37" t="str">
        <f t="array" ref="Q921">IF($R921&lt;&gt;"",IFERROR(INDEX(ISIN!$B:$B,MATCH($R921,ISIN!$C:$C,0))),)</f>
        <v/>
      </c>
      <c r="R921" s="38" t="str">
        <f t="array" ref="R921">IF($E921&lt;&gt;"",IFERROR(INDEX(ISIN!$C:$C,MATCH($E921,ISIN!$A:$A,0)),IFERROR(INDEX($R922:$R1200,MATCH($K921,$K922:$K1200,0)))),IF(AND($Y921="change",$H921="EUR"),IF($O921=$O922,$R922,IF($O921=$O920,$R920)),IFERROR(INDEX($R922:$R1200,MATCH(SUBSTITUTE($I921,"-","",1),$K922:$K1200,0)))))</f>
        <v/>
      </c>
      <c r="S921" s="37" t="str">
        <f t="shared" si="1"/>
        <v/>
      </c>
      <c r="T921" s="39" t="str">
        <f t="shared" si="2"/>
        <v/>
      </c>
      <c r="U921" s="40" t="str">
        <f t="shared" si="3"/>
        <v/>
      </c>
      <c r="V921" s="34" t="str">
        <f t="shared" si="4"/>
        <v/>
      </c>
      <c r="W921" s="41" t="str">
        <f>IFERROR(__xludf.DUMMYFUNCTION(" IF(Account!$F921&lt;&gt;"""", SPLIT(Account!$F921, "" ""), """")"),"")</f>
        <v/>
      </c>
      <c r="X921" s="42"/>
      <c r="Y921" s="42"/>
      <c r="Z921" s="42"/>
      <c r="AA921" s="42"/>
      <c r="AB921" s="42"/>
      <c r="AC921" s="42"/>
      <c r="AD921" s="42"/>
      <c r="AE921" s="42"/>
      <c r="AF921" s="42"/>
      <c r="AG921" s="42"/>
      <c r="AH921" s="42"/>
      <c r="AI921" s="42"/>
      <c r="AJ921" s="42"/>
      <c r="AK921" s="42"/>
    </row>
    <row r="922">
      <c r="A922" s="20"/>
      <c r="B922" s="20"/>
      <c r="C922" s="20"/>
      <c r="D922" s="45"/>
      <c r="E922" s="45"/>
      <c r="F922" s="21"/>
      <c r="G922" s="45"/>
      <c r="H922" s="20"/>
      <c r="I922" s="20"/>
      <c r="J922" s="20"/>
      <c r="K922" s="20"/>
      <c r="L922" s="46"/>
      <c r="M922" s="33" t="str">
        <f>IFERROR(__xludf.DUMMYFUNCTION("IFS(W922=""Achat"",IFERROR(VALUE(X922),VALUE(REGEXREPLACE(T(X922),""[^0-9]"",""""))),W922=""Vente"",-IFERROR(VALUE(X922),VALUE(REGEXREPLACE(T(X922),""[^0-9]"",""""))),Y922=""Change"",0,Y922&lt;&gt;""Change"","""")"),"")</f>
        <v/>
      </c>
      <c r="N922" s="34" t="str">
        <f>IFERROR(__xludf.DUMMYFUNCTION("IF(Account!$F922&lt;&gt;"""", VALUE(REGEXREPLACE($I922, ""\,"", ""."")), """")"),"")</f>
        <v/>
      </c>
      <c r="O922" s="35" t="str">
        <f>IF(Account!$F922&lt;&gt;"", DATEVALUE(MID($A922,4,3) &amp; LEFT($A922,3) &amp; RIGHT($A922,4)) + TIMEVALUE($B922), "")</f>
        <v/>
      </c>
      <c r="P922" s="36" t="str">
        <f>IF(Account!$F922&lt;&gt;"", DATEVALUE(MID($C922,4,3) &amp; LEFT($C922,3) &amp; RIGHT($C922,4)), "")</f>
        <v/>
      </c>
      <c r="Q922" s="37" t="str">
        <f t="array" ref="Q922">IF($R922&lt;&gt;"",IFERROR(INDEX(ISIN!$B:$B,MATCH($R922,ISIN!$C:$C,0))),)</f>
        <v/>
      </c>
      <c r="R922" s="38" t="str">
        <f t="array" ref="R922">IF($E922&lt;&gt;"",IFERROR(INDEX(ISIN!$C:$C,MATCH($E922,ISIN!$A:$A,0)),IFERROR(INDEX($R923:$R1200,MATCH($K922,$K923:$K1200,0)))),IF(AND($Y922="change",$H922="EUR"),IF($O922=$O923,$R923,IF($O922=$O921,$R921)),IFERROR(INDEX($R923:$R1200,MATCH(SUBSTITUTE($I922,"-","",1),$K923:$K1200,0)))))</f>
        <v/>
      </c>
      <c r="S922" s="37" t="str">
        <f t="shared" si="1"/>
        <v/>
      </c>
      <c r="T922" s="39" t="str">
        <f t="shared" si="2"/>
        <v/>
      </c>
      <c r="U922" s="40" t="str">
        <f t="shared" si="3"/>
        <v/>
      </c>
      <c r="V922" s="34" t="str">
        <f t="shared" si="4"/>
        <v/>
      </c>
      <c r="W922" s="41" t="str">
        <f>IFERROR(__xludf.DUMMYFUNCTION(" IF(Account!$F922&lt;&gt;"""", SPLIT(Account!$F922, "" ""), """")"),"")</f>
        <v/>
      </c>
      <c r="X922" s="42"/>
      <c r="Y922" s="42"/>
      <c r="Z922" s="42"/>
      <c r="AA922" s="42"/>
      <c r="AB922" s="42"/>
      <c r="AC922" s="42"/>
      <c r="AD922" s="42"/>
      <c r="AE922" s="42"/>
      <c r="AF922" s="42"/>
      <c r="AG922" s="42"/>
      <c r="AH922" s="42"/>
      <c r="AI922" s="42"/>
      <c r="AJ922" s="42"/>
      <c r="AK922" s="42"/>
    </row>
    <row r="923">
      <c r="A923" s="20"/>
      <c r="B923" s="20"/>
      <c r="C923" s="20"/>
      <c r="D923" s="20"/>
      <c r="E923" s="20"/>
      <c r="F923" s="21"/>
      <c r="G923" s="45"/>
      <c r="H923" s="45"/>
      <c r="I923" s="45"/>
      <c r="J923" s="20"/>
      <c r="K923" s="20"/>
      <c r="L923" s="46"/>
      <c r="M923" s="33" t="str">
        <f>IFERROR(__xludf.DUMMYFUNCTION("IFS(W923=""Achat"",IFERROR(VALUE(X923),VALUE(REGEXREPLACE(T(X923),""[^0-9]"",""""))),W923=""Vente"",-IFERROR(VALUE(X923),VALUE(REGEXREPLACE(T(X923),""[^0-9]"",""""))),Y923=""Change"",0,Y923&lt;&gt;""Change"","""")"),"")</f>
        <v/>
      </c>
      <c r="N923" s="34" t="str">
        <f>IFERROR(__xludf.DUMMYFUNCTION("IF(Account!$F923&lt;&gt;"""", VALUE(REGEXREPLACE($I923, ""\,"", ""."")), """")"),"")</f>
        <v/>
      </c>
      <c r="O923" s="35" t="str">
        <f>IF(Account!$F923&lt;&gt;"", DATEVALUE(MID($A923,4,3) &amp; LEFT($A923,3) &amp; RIGHT($A923,4)) + TIMEVALUE($B923), "")</f>
        <v/>
      </c>
      <c r="P923" s="36" t="str">
        <f>IF(Account!$F923&lt;&gt;"", DATEVALUE(MID($C923,4,3) &amp; LEFT($C923,3) &amp; RIGHT($C923,4)), "")</f>
        <v/>
      </c>
      <c r="Q923" s="37" t="str">
        <f t="array" ref="Q923">IF($R923&lt;&gt;"",IFERROR(INDEX(ISIN!$B:$B,MATCH($R923,ISIN!$C:$C,0))),)</f>
        <v/>
      </c>
      <c r="R923" s="38" t="str">
        <f t="array" ref="R923">IF($E923&lt;&gt;"",IFERROR(INDEX(ISIN!$C:$C,MATCH($E923,ISIN!$A:$A,0)),IFERROR(INDEX($R924:$R1200,MATCH($K923,$K924:$K1200,0)))),IF(AND($Y923="change",$H923="EUR"),IF($O923=$O924,$R924,IF($O923=$O922,$R922)),IFERROR(INDEX($R924:$R1200,MATCH(SUBSTITUTE($I923,"-","",1),$K924:$K1200,0)))))</f>
        <v/>
      </c>
      <c r="S923" s="37" t="str">
        <f t="shared" si="1"/>
        <v/>
      </c>
      <c r="T923" s="39" t="str">
        <f t="shared" si="2"/>
        <v/>
      </c>
      <c r="U923" s="40" t="str">
        <f t="shared" si="3"/>
        <v/>
      </c>
      <c r="V923" s="34" t="str">
        <f t="shared" si="4"/>
        <v/>
      </c>
      <c r="W923" s="41" t="str">
        <f>IFERROR(__xludf.DUMMYFUNCTION(" IF(Account!$F923&lt;&gt;"""", SPLIT(Account!$F923, "" ""), """")"),"")</f>
        <v/>
      </c>
      <c r="X923" s="42"/>
      <c r="Y923" s="42"/>
      <c r="Z923" s="42"/>
      <c r="AA923" s="42"/>
      <c r="AB923" s="42"/>
      <c r="AC923" s="42"/>
      <c r="AD923" s="42"/>
      <c r="AE923" s="42"/>
      <c r="AF923" s="42"/>
      <c r="AG923" s="42"/>
      <c r="AH923" s="42"/>
      <c r="AI923" s="42"/>
      <c r="AJ923" s="42"/>
      <c r="AK923" s="42"/>
    </row>
    <row r="924">
      <c r="A924" s="20"/>
      <c r="B924" s="20"/>
      <c r="C924" s="20"/>
      <c r="D924" s="45"/>
      <c r="E924" s="45"/>
      <c r="F924" s="21"/>
      <c r="G924" s="20"/>
      <c r="H924" s="20"/>
      <c r="I924" s="20"/>
      <c r="J924" s="20"/>
      <c r="K924" s="20"/>
      <c r="L924" s="46"/>
      <c r="M924" s="33" t="str">
        <f>IFERROR(__xludf.DUMMYFUNCTION("IFS(W924=""Achat"",IFERROR(VALUE(X924),VALUE(REGEXREPLACE(T(X924),""[^0-9]"",""""))),W924=""Vente"",-IFERROR(VALUE(X924),VALUE(REGEXREPLACE(T(X924),""[^0-9]"",""""))),Y924=""Change"",0,Y924&lt;&gt;""Change"","""")"),"")</f>
        <v/>
      </c>
      <c r="N924" s="34" t="str">
        <f>IFERROR(__xludf.DUMMYFUNCTION("IF(Account!$F924&lt;&gt;"""", VALUE(REGEXREPLACE($I924, ""\,"", ""."")), """")"),"")</f>
        <v/>
      </c>
      <c r="O924" s="35" t="str">
        <f>IF(Account!$F924&lt;&gt;"", DATEVALUE(MID($A924,4,3) &amp; LEFT($A924,3) &amp; RIGHT($A924,4)) + TIMEVALUE($B924), "")</f>
        <v/>
      </c>
      <c r="P924" s="36" t="str">
        <f>IF(Account!$F924&lt;&gt;"", DATEVALUE(MID($C924,4,3) &amp; LEFT($C924,3) &amp; RIGHT($C924,4)), "")</f>
        <v/>
      </c>
      <c r="Q924" s="37" t="str">
        <f t="array" ref="Q924">IF($R924&lt;&gt;"",IFERROR(INDEX(ISIN!$B:$B,MATCH($R924,ISIN!$C:$C,0))),)</f>
        <v/>
      </c>
      <c r="R924" s="38" t="str">
        <f t="array" ref="R924">IF($E924&lt;&gt;"",IFERROR(INDEX(ISIN!$C:$C,MATCH($E924,ISIN!$A:$A,0)),IFERROR(INDEX($R925:$R1200,MATCH($K924,$K925:$K1200,0)))),IF(AND($Y924="change",$H924="EUR"),IF($O924=$O925,$R925,IF($O924=$O923,$R923)),IFERROR(INDEX($R925:$R1200,MATCH(SUBSTITUTE($I924,"-","",1),$K925:$K1200,0)))))</f>
        <v/>
      </c>
      <c r="S924" s="37" t="str">
        <f t="shared" si="1"/>
        <v/>
      </c>
      <c r="T924" s="39" t="str">
        <f t="shared" si="2"/>
        <v/>
      </c>
      <c r="U924" s="40" t="str">
        <f t="shared" si="3"/>
        <v/>
      </c>
      <c r="V924" s="34" t="str">
        <f t="shared" si="4"/>
        <v/>
      </c>
      <c r="W924" s="41" t="str">
        <f>IFERROR(__xludf.DUMMYFUNCTION(" IF(Account!$F924&lt;&gt;"""", SPLIT(Account!$F924, "" ""), """")"),"")</f>
        <v/>
      </c>
      <c r="X924" s="42"/>
      <c r="Y924" s="42"/>
      <c r="Z924" s="42"/>
      <c r="AA924" s="42"/>
      <c r="AB924" s="42"/>
      <c r="AC924" s="42"/>
      <c r="AD924" s="42"/>
      <c r="AE924" s="42"/>
      <c r="AF924" s="42"/>
      <c r="AG924" s="42"/>
      <c r="AH924" s="42"/>
      <c r="AI924" s="42"/>
      <c r="AJ924" s="42"/>
      <c r="AK924" s="42"/>
    </row>
    <row r="925">
      <c r="A925" s="20"/>
      <c r="B925" s="20"/>
      <c r="C925" s="20"/>
      <c r="D925" s="45"/>
      <c r="E925" s="45"/>
      <c r="F925" s="21"/>
      <c r="G925" s="45"/>
      <c r="H925" s="20"/>
      <c r="I925" s="20"/>
      <c r="J925" s="20"/>
      <c r="K925" s="20"/>
      <c r="L925" s="46"/>
      <c r="M925" s="33" t="str">
        <f>IFERROR(__xludf.DUMMYFUNCTION("IFS(W925=""Achat"",IFERROR(VALUE(X925),VALUE(REGEXREPLACE(T(X925),""[^0-9]"",""""))),W925=""Vente"",-IFERROR(VALUE(X925),VALUE(REGEXREPLACE(T(X925),""[^0-9]"",""""))),Y925=""Change"",0,Y925&lt;&gt;""Change"","""")"),"")</f>
        <v/>
      </c>
      <c r="N925" s="34" t="str">
        <f>IFERROR(__xludf.DUMMYFUNCTION("IF(Account!$F925&lt;&gt;"""", VALUE(REGEXREPLACE($I925, ""\,"", ""."")), """")"),"")</f>
        <v/>
      </c>
      <c r="O925" s="35" t="str">
        <f>IF(Account!$F925&lt;&gt;"", DATEVALUE(MID($A925,4,3) &amp; LEFT($A925,3) &amp; RIGHT($A925,4)) + TIMEVALUE($B925), "")</f>
        <v/>
      </c>
      <c r="P925" s="36" t="str">
        <f>IF(Account!$F925&lt;&gt;"", DATEVALUE(MID($C925,4,3) &amp; LEFT($C925,3) &amp; RIGHT($C925,4)), "")</f>
        <v/>
      </c>
      <c r="Q925" s="37" t="str">
        <f t="array" ref="Q925">IF($R925&lt;&gt;"",IFERROR(INDEX(ISIN!$B:$B,MATCH($R925,ISIN!$C:$C,0))),)</f>
        <v/>
      </c>
      <c r="R925" s="38" t="str">
        <f t="array" ref="R925">IF($E925&lt;&gt;"",IFERROR(INDEX(ISIN!$C:$C,MATCH($E925,ISIN!$A:$A,0)),IFERROR(INDEX($R926:$R1200,MATCH($K925,$K926:$K1200,0)))),IF(AND($Y925="change",$H925="EUR"),IF($O925=$O926,$R926,IF($O925=$O924,$R924)),IFERROR(INDEX($R926:$R1200,MATCH(SUBSTITUTE($I925,"-","",1),$K926:$K1200,0)))))</f>
        <v/>
      </c>
      <c r="S925" s="37" t="str">
        <f t="shared" si="1"/>
        <v/>
      </c>
      <c r="T925" s="39" t="str">
        <f t="shared" si="2"/>
        <v/>
      </c>
      <c r="U925" s="40" t="str">
        <f t="shared" si="3"/>
        <v/>
      </c>
      <c r="V925" s="34" t="str">
        <f t="shared" si="4"/>
        <v/>
      </c>
      <c r="W925" s="41" t="str">
        <f>IFERROR(__xludf.DUMMYFUNCTION(" IF(Account!$F925&lt;&gt;"""", SPLIT(Account!$F925, "" ""), """")"),"")</f>
        <v/>
      </c>
      <c r="X925" s="42"/>
      <c r="Y925" s="42"/>
      <c r="Z925" s="42"/>
      <c r="AA925" s="42"/>
      <c r="AB925" s="42"/>
      <c r="AC925" s="42"/>
      <c r="AD925" s="42"/>
      <c r="AE925" s="42"/>
      <c r="AF925" s="42"/>
      <c r="AG925" s="42"/>
      <c r="AH925" s="42"/>
      <c r="AI925" s="42"/>
      <c r="AJ925" s="42"/>
      <c r="AK925" s="42"/>
    </row>
    <row r="926">
      <c r="A926" s="20"/>
      <c r="B926" s="20"/>
      <c r="C926" s="20"/>
      <c r="D926" s="20"/>
      <c r="E926" s="20"/>
      <c r="F926" s="21"/>
      <c r="G926" s="45"/>
      <c r="H926" s="45"/>
      <c r="I926" s="45"/>
      <c r="J926" s="20"/>
      <c r="K926" s="20"/>
      <c r="L926" s="46"/>
      <c r="M926" s="33" t="str">
        <f>IFERROR(__xludf.DUMMYFUNCTION("IFS(W926=""Achat"",IFERROR(VALUE(X926),VALUE(REGEXREPLACE(T(X926),""[^0-9]"",""""))),W926=""Vente"",-IFERROR(VALUE(X926),VALUE(REGEXREPLACE(T(X926),""[^0-9]"",""""))),Y926=""Change"",0,Y926&lt;&gt;""Change"","""")"),"")</f>
        <v/>
      </c>
      <c r="N926" s="34" t="str">
        <f>IFERROR(__xludf.DUMMYFUNCTION("IF(Account!$F926&lt;&gt;"""", VALUE(REGEXREPLACE($I926, ""\,"", ""."")), """")"),"")</f>
        <v/>
      </c>
      <c r="O926" s="35" t="str">
        <f>IF(Account!$F926&lt;&gt;"", DATEVALUE(MID($A926,4,3) &amp; LEFT($A926,3) &amp; RIGHT($A926,4)) + TIMEVALUE($B926), "")</f>
        <v/>
      </c>
      <c r="P926" s="36" t="str">
        <f>IF(Account!$F926&lt;&gt;"", DATEVALUE(MID($C926,4,3) &amp; LEFT($C926,3) &amp; RIGHT($C926,4)), "")</f>
        <v/>
      </c>
      <c r="Q926" s="37" t="str">
        <f t="array" ref="Q926">IF($R926&lt;&gt;"",IFERROR(INDEX(ISIN!$B:$B,MATCH($R926,ISIN!$C:$C,0))),)</f>
        <v/>
      </c>
      <c r="R926" s="38" t="str">
        <f t="array" ref="R926">IF($E926&lt;&gt;"",IFERROR(INDEX(ISIN!$C:$C,MATCH($E926,ISIN!$A:$A,0)),IFERROR(INDEX($R927:$R1200,MATCH($K926,$K927:$K1200,0)))),IF(AND($Y926="change",$H926="EUR"),IF($O926=$O927,$R927,IF($O926=$O925,$R925)),IFERROR(INDEX($R927:$R1200,MATCH(SUBSTITUTE($I926,"-","",1),$K927:$K1200,0)))))</f>
        <v/>
      </c>
      <c r="S926" s="37" t="str">
        <f t="shared" si="1"/>
        <v/>
      </c>
      <c r="T926" s="39" t="str">
        <f t="shared" si="2"/>
        <v/>
      </c>
      <c r="U926" s="40" t="str">
        <f t="shared" si="3"/>
        <v/>
      </c>
      <c r="V926" s="34" t="str">
        <f t="shared" si="4"/>
        <v/>
      </c>
      <c r="W926" s="41" t="str">
        <f>IFERROR(__xludf.DUMMYFUNCTION(" IF(Account!$F926&lt;&gt;"""", SPLIT(Account!$F926, "" ""), """")"),"")</f>
        <v/>
      </c>
      <c r="X926" s="42"/>
      <c r="Y926" s="42"/>
      <c r="Z926" s="42"/>
      <c r="AA926" s="42"/>
      <c r="AB926" s="42"/>
      <c r="AC926" s="42"/>
      <c r="AD926" s="42"/>
      <c r="AE926" s="42"/>
      <c r="AF926" s="42"/>
      <c r="AG926" s="42"/>
      <c r="AH926" s="42"/>
      <c r="AI926" s="42"/>
      <c r="AJ926" s="42"/>
      <c r="AK926" s="42"/>
    </row>
    <row r="927">
      <c r="A927" s="20"/>
      <c r="B927" s="20"/>
      <c r="C927" s="20"/>
      <c r="D927" s="20"/>
      <c r="E927" s="20"/>
      <c r="F927" s="21"/>
      <c r="G927" s="45"/>
      <c r="H927" s="20"/>
      <c r="I927" s="20"/>
      <c r="J927" s="20"/>
      <c r="K927" s="20"/>
      <c r="L927" s="46"/>
      <c r="M927" s="33" t="str">
        <f>IFERROR(__xludf.DUMMYFUNCTION("IFS(W927=""Achat"",IFERROR(VALUE(X927),VALUE(REGEXREPLACE(T(X927),""[^0-9]"",""""))),W927=""Vente"",-IFERROR(VALUE(X927),VALUE(REGEXREPLACE(T(X927),""[^0-9]"",""""))),Y927=""Change"",0,Y927&lt;&gt;""Change"","""")"),"")</f>
        <v/>
      </c>
      <c r="N927" s="34" t="str">
        <f>IFERROR(__xludf.DUMMYFUNCTION("IF(Account!$F927&lt;&gt;"""", VALUE(REGEXREPLACE($I927, ""\,"", ""."")), """")"),"")</f>
        <v/>
      </c>
      <c r="O927" s="35" t="str">
        <f>IF(Account!$F927&lt;&gt;"", DATEVALUE(MID($A927,4,3) &amp; LEFT($A927,3) &amp; RIGHT($A927,4)) + TIMEVALUE($B927), "")</f>
        <v/>
      </c>
      <c r="P927" s="36" t="str">
        <f>IF(Account!$F927&lt;&gt;"", DATEVALUE(MID($C927,4,3) &amp; LEFT($C927,3) &amp; RIGHT($C927,4)), "")</f>
        <v/>
      </c>
      <c r="Q927" s="37" t="str">
        <f t="array" ref="Q927">IF($R927&lt;&gt;"",IFERROR(INDEX(ISIN!$B:$B,MATCH($R927,ISIN!$C:$C,0))),)</f>
        <v/>
      </c>
      <c r="R927" s="38" t="str">
        <f t="array" ref="R927">IF($E927&lt;&gt;"",IFERROR(INDEX(ISIN!$C:$C,MATCH($E927,ISIN!$A:$A,0)),IFERROR(INDEX($R928:$R1200,MATCH($K927,$K928:$K1200,0)))),IF(AND($Y927="change",$H927="EUR"),IF($O927=$O928,$R928,IF($O927=$O926,$R926)),IFERROR(INDEX($R928:$R1200,MATCH(SUBSTITUTE($I927,"-","",1),$K928:$K1200,0)))))</f>
        <v/>
      </c>
      <c r="S927" s="37" t="str">
        <f t="shared" si="1"/>
        <v/>
      </c>
      <c r="T927" s="39" t="str">
        <f t="shared" si="2"/>
        <v/>
      </c>
      <c r="U927" s="40" t="str">
        <f t="shared" si="3"/>
        <v/>
      </c>
      <c r="V927" s="34" t="str">
        <f t="shared" si="4"/>
        <v/>
      </c>
      <c r="W927" s="41" t="str">
        <f>IFERROR(__xludf.DUMMYFUNCTION(" IF(Account!$F927&lt;&gt;"""", SPLIT(Account!$F927, "" ""), """")"),"")</f>
        <v/>
      </c>
      <c r="X927" s="42"/>
      <c r="Y927" s="42"/>
      <c r="Z927" s="42"/>
      <c r="AA927" s="42"/>
      <c r="AB927" s="42"/>
      <c r="AC927" s="42"/>
      <c r="AD927" s="42"/>
      <c r="AE927" s="42"/>
      <c r="AF927" s="42"/>
      <c r="AG927" s="42"/>
      <c r="AH927" s="42"/>
      <c r="AI927" s="42"/>
      <c r="AJ927" s="42"/>
      <c r="AK927" s="42"/>
    </row>
    <row r="928">
      <c r="A928" s="20"/>
      <c r="B928" s="20"/>
      <c r="C928" s="20"/>
      <c r="D928" s="20"/>
      <c r="E928" s="20"/>
      <c r="F928" s="21"/>
      <c r="G928" s="45"/>
      <c r="H928" s="20"/>
      <c r="I928" s="20"/>
      <c r="J928" s="20"/>
      <c r="K928" s="20"/>
      <c r="L928" s="46"/>
      <c r="M928" s="33" t="str">
        <f>IFERROR(__xludf.DUMMYFUNCTION("IFS(W928=""Achat"",IFERROR(VALUE(X928),VALUE(REGEXREPLACE(T(X928),""[^0-9]"",""""))),W928=""Vente"",-IFERROR(VALUE(X928),VALUE(REGEXREPLACE(T(X928),""[^0-9]"",""""))),Y928=""Change"",0,Y928&lt;&gt;""Change"","""")"),"")</f>
        <v/>
      </c>
      <c r="N928" s="34" t="str">
        <f>IFERROR(__xludf.DUMMYFUNCTION("IF(Account!$F928&lt;&gt;"""", VALUE(REGEXREPLACE($I928, ""\,"", ""."")), """")"),"")</f>
        <v/>
      </c>
      <c r="O928" s="35" t="str">
        <f>IF(Account!$F928&lt;&gt;"", DATEVALUE(MID($A928,4,3) &amp; LEFT($A928,3) &amp; RIGHT($A928,4)) + TIMEVALUE($B928), "")</f>
        <v/>
      </c>
      <c r="P928" s="36" t="str">
        <f>IF(Account!$F928&lt;&gt;"", DATEVALUE(MID($C928,4,3) &amp; LEFT($C928,3) &amp; RIGHT($C928,4)), "")</f>
        <v/>
      </c>
      <c r="Q928" s="37" t="str">
        <f t="array" ref="Q928">IF($R928&lt;&gt;"",IFERROR(INDEX(ISIN!$B:$B,MATCH($R928,ISIN!$C:$C,0))),)</f>
        <v/>
      </c>
      <c r="R928" s="38" t="str">
        <f t="array" ref="R928">IF($E928&lt;&gt;"",IFERROR(INDEX(ISIN!$C:$C,MATCH($E928,ISIN!$A:$A,0)),IFERROR(INDEX($R929:$R1200,MATCH($K928,$K929:$K1200,0)))),IF(AND($Y928="change",$H928="EUR"),IF($O928=$O929,$R929,IF($O928=$O927,$R927)),IFERROR(INDEX($R929:$R1200,MATCH(SUBSTITUTE($I928,"-","",1),$K929:$K1200,0)))))</f>
        <v/>
      </c>
      <c r="S928" s="37" t="str">
        <f t="shared" si="1"/>
        <v/>
      </c>
      <c r="T928" s="39" t="str">
        <f t="shared" si="2"/>
        <v/>
      </c>
      <c r="U928" s="40" t="str">
        <f t="shared" si="3"/>
        <v/>
      </c>
      <c r="V928" s="34" t="str">
        <f t="shared" si="4"/>
        <v/>
      </c>
      <c r="W928" s="41" t="str">
        <f>IFERROR(__xludf.DUMMYFUNCTION(" IF(Account!$F928&lt;&gt;"""", SPLIT(Account!$F928, "" ""), """")"),"")</f>
        <v/>
      </c>
      <c r="X928" s="42"/>
      <c r="Y928" s="42"/>
      <c r="Z928" s="42"/>
      <c r="AA928" s="42"/>
      <c r="AB928" s="42"/>
      <c r="AC928" s="42"/>
      <c r="AD928" s="42"/>
      <c r="AE928" s="42"/>
      <c r="AF928" s="42"/>
      <c r="AG928" s="42"/>
      <c r="AH928" s="42"/>
      <c r="AI928" s="42"/>
      <c r="AJ928" s="42"/>
      <c r="AK928" s="42"/>
    </row>
    <row r="929">
      <c r="A929" s="20"/>
      <c r="B929" s="20"/>
      <c r="C929" s="20"/>
      <c r="D929" s="45"/>
      <c r="E929" s="45"/>
      <c r="F929" s="21"/>
      <c r="G929" s="20"/>
      <c r="H929" s="20"/>
      <c r="I929" s="20"/>
      <c r="J929" s="20"/>
      <c r="K929" s="20"/>
      <c r="L929" s="46"/>
      <c r="M929" s="33" t="str">
        <f>IFERROR(__xludf.DUMMYFUNCTION("IFS(W929=""Achat"",IFERROR(VALUE(X929),VALUE(REGEXREPLACE(T(X929),""[^0-9]"",""""))),W929=""Vente"",-IFERROR(VALUE(X929),VALUE(REGEXREPLACE(T(X929),""[^0-9]"",""""))),Y929=""Change"",0,Y929&lt;&gt;""Change"","""")"),"")</f>
        <v/>
      </c>
      <c r="N929" s="34" t="str">
        <f>IFERROR(__xludf.DUMMYFUNCTION("IF(Account!$F929&lt;&gt;"""", VALUE(REGEXREPLACE($I929, ""\,"", ""."")), """")"),"")</f>
        <v/>
      </c>
      <c r="O929" s="35" t="str">
        <f>IF(Account!$F929&lt;&gt;"", DATEVALUE(MID($A929,4,3) &amp; LEFT($A929,3) &amp; RIGHT($A929,4)) + TIMEVALUE($B929), "")</f>
        <v/>
      </c>
      <c r="P929" s="36" t="str">
        <f>IF(Account!$F929&lt;&gt;"", DATEVALUE(MID($C929,4,3) &amp; LEFT($C929,3) &amp; RIGHT($C929,4)), "")</f>
        <v/>
      </c>
      <c r="Q929" s="37" t="str">
        <f t="array" ref="Q929">IF($R929&lt;&gt;"",IFERROR(INDEX(ISIN!$B:$B,MATCH($R929,ISIN!$C:$C,0))),)</f>
        <v/>
      </c>
      <c r="R929" s="38" t="str">
        <f t="array" ref="R929">IF($E929&lt;&gt;"",IFERROR(INDEX(ISIN!$C:$C,MATCH($E929,ISIN!$A:$A,0)),IFERROR(INDEX($R930:$R1200,MATCH($K929,$K930:$K1200,0)))),IF(AND($Y929="change",$H929="EUR"),IF($O929=$O930,$R930,IF($O929=$O928,$R928)),IFERROR(INDEX($R930:$R1200,MATCH(SUBSTITUTE($I929,"-","",1),$K930:$K1200,0)))))</f>
        <v/>
      </c>
      <c r="S929" s="37" t="str">
        <f t="shared" si="1"/>
        <v/>
      </c>
      <c r="T929" s="39" t="str">
        <f t="shared" si="2"/>
        <v/>
      </c>
      <c r="U929" s="40" t="str">
        <f t="shared" si="3"/>
        <v/>
      </c>
      <c r="V929" s="34" t="str">
        <f t="shared" si="4"/>
        <v/>
      </c>
      <c r="W929" s="41" t="str">
        <f>IFERROR(__xludf.DUMMYFUNCTION(" IF(Account!$F929&lt;&gt;"""", SPLIT(Account!$F929, "" ""), """")"),"")</f>
        <v/>
      </c>
      <c r="X929" s="42"/>
      <c r="Y929" s="42"/>
      <c r="Z929" s="42"/>
      <c r="AA929" s="42"/>
      <c r="AB929" s="42"/>
      <c r="AC929" s="42"/>
      <c r="AD929" s="42"/>
      <c r="AE929" s="42"/>
      <c r="AF929" s="42"/>
      <c r="AG929" s="42"/>
      <c r="AH929" s="42"/>
      <c r="AI929" s="42"/>
      <c r="AJ929" s="42"/>
      <c r="AK929" s="42"/>
    </row>
    <row r="930">
      <c r="A930" s="20"/>
      <c r="B930" s="20"/>
      <c r="C930" s="20"/>
      <c r="D930" s="45"/>
      <c r="E930" s="45"/>
      <c r="F930" s="21"/>
      <c r="G930" s="45"/>
      <c r="H930" s="20"/>
      <c r="I930" s="20"/>
      <c r="J930" s="20"/>
      <c r="K930" s="20"/>
      <c r="L930" s="46"/>
      <c r="M930" s="33" t="str">
        <f>IFERROR(__xludf.DUMMYFUNCTION("IFS(W930=""Achat"",IFERROR(VALUE(X930),VALUE(REGEXREPLACE(T(X930),""[^0-9]"",""""))),W930=""Vente"",-IFERROR(VALUE(X930),VALUE(REGEXREPLACE(T(X930),""[^0-9]"",""""))),Y930=""Change"",0,Y930&lt;&gt;""Change"","""")"),"")</f>
        <v/>
      </c>
      <c r="N930" s="34" t="str">
        <f>IFERROR(__xludf.DUMMYFUNCTION("IF(Account!$F930&lt;&gt;"""", VALUE(REGEXREPLACE($I930, ""\,"", ""."")), """")"),"")</f>
        <v/>
      </c>
      <c r="O930" s="35" t="str">
        <f>IF(Account!$F930&lt;&gt;"", DATEVALUE(MID($A930,4,3) &amp; LEFT($A930,3) &amp; RIGHT($A930,4)) + TIMEVALUE($B930), "")</f>
        <v/>
      </c>
      <c r="P930" s="36" t="str">
        <f>IF(Account!$F930&lt;&gt;"", DATEVALUE(MID($C930,4,3) &amp; LEFT($C930,3) &amp; RIGHT($C930,4)), "")</f>
        <v/>
      </c>
      <c r="Q930" s="37" t="str">
        <f t="array" ref="Q930">IF($R930&lt;&gt;"",IFERROR(INDEX(ISIN!$B:$B,MATCH($R930,ISIN!$C:$C,0))),)</f>
        <v/>
      </c>
      <c r="R930" s="38" t="str">
        <f t="array" ref="R930">IF($E930&lt;&gt;"",IFERROR(INDEX(ISIN!$C:$C,MATCH($E930,ISIN!$A:$A,0)),IFERROR(INDEX($R931:$R1200,MATCH($K930,$K931:$K1200,0)))),IF(AND($Y930="change",$H930="EUR"),IF($O930=$O931,$R931,IF($O930=$O929,$R929)),IFERROR(INDEX($R931:$R1200,MATCH(SUBSTITUTE($I930,"-","",1),$K931:$K1200,0)))))</f>
        <v/>
      </c>
      <c r="S930" s="37" t="str">
        <f t="shared" si="1"/>
        <v/>
      </c>
      <c r="T930" s="39" t="str">
        <f t="shared" si="2"/>
        <v/>
      </c>
      <c r="U930" s="40" t="str">
        <f t="shared" si="3"/>
        <v/>
      </c>
      <c r="V930" s="34" t="str">
        <f t="shared" si="4"/>
        <v/>
      </c>
      <c r="W930" s="41" t="str">
        <f>IFERROR(__xludf.DUMMYFUNCTION(" IF(Account!$F930&lt;&gt;"""", SPLIT(Account!$F930, "" ""), """")"),"")</f>
        <v/>
      </c>
      <c r="X930" s="42"/>
      <c r="Y930" s="42"/>
      <c r="Z930" s="42"/>
      <c r="AA930" s="42"/>
      <c r="AB930" s="42"/>
      <c r="AC930" s="42"/>
      <c r="AD930" s="42"/>
      <c r="AE930" s="42"/>
      <c r="AF930" s="42"/>
      <c r="AG930" s="42"/>
      <c r="AH930" s="42"/>
      <c r="AI930" s="42"/>
      <c r="AJ930" s="42"/>
      <c r="AK930" s="42"/>
    </row>
    <row r="931">
      <c r="A931" s="20"/>
      <c r="B931" s="20"/>
      <c r="C931" s="20"/>
      <c r="D931" s="20"/>
      <c r="E931" s="20"/>
      <c r="F931" s="21"/>
      <c r="G931" s="45"/>
      <c r="H931" s="20"/>
      <c r="I931" s="20"/>
      <c r="J931" s="20"/>
      <c r="K931" s="20"/>
      <c r="L931" s="46"/>
      <c r="M931" s="33" t="str">
        <f>IFERROR(__xludf.DUMMYFUNCTION("IFS(W931=""Achat"",IFERROR(VALUE(X931),VALUE(REGEXREPLACE(T(X931),""[^0-9]"",""""))),W931=""Vente"",-IFERROR(VALUE(X931),VALUE(REGEXREPLACE(T(X931),""[^0-9]"",""""))),Y931=""Change"",0,Y931&lt;&gt;""Change"","""")"),"")</f>
        <v/>
      </c>
      <c r="N931" s="34" t="str">
        <f>IFERROR(__xludf.DUMMYFUNCTION("IF(Account!$F931&lt;&gt;"""", VALUE(REGEXREPLACE($I931, ""\,"", ""."")), """")"),"")</f>
        <v/>
      </c>
      <c r="O931" s="35" t="str">
        <f>IF(Account!$F931&lt;&gt;"", DATEVALUE(MID($A931,4,3) &amp; LEFT($A931,3) &amp; RIGHT($A931,4)) + TIMEVALUE($B931), "")</f>
        <v/>
      </c>
      <c r="P931" s="36" t="str">
        <f>IF(Account!$F931&lt;&gt;"", DATEVALUE(MID($C931,4,3) &amp; LEFT($C931,3) &amp; RIGHT($C931,4)), "")</f>
        <v/>
      </c>
      <c r="Q931" s="37" t="str">
        <f t="array" ref="Q931">IF($R931&lt;&gt;"",IFERROR(INDEX(ISIN!$B:$B,MATCH($R931,ISIN!$C:$C,0))),)</f>
        <v/>
      </c>
      <c r="R931" s="38" t="str">
        <f t="array" ref="R931">IF($E931&lt;&gt;"",IFERROR(INDEX(ISIN!$C:$C,MATCH($E931,ISIN!$A:$A,0)),IFERROR(INDEX($R932:$R1200,MATCH($K931,$K932:$K1200,0)))),IF(AND($Y931="change",$H931="EUR"),IF($O931=$O932,$R932,IF($O931=$O930,$R930)),IFERROR(INDEX($R932:$R1200,MATCH(SUBSTITUTE($I931,"-","",1),$K932:$K1200,0)))))</f>
        <v/>
      </c>
      <c r="S931" s="37" t="str">
        <f t="shared" si="1"/>
        <v/>
      </c>
      <c r="T931" s="39" t="str">
        <f t="shared" si="2"/>
        <v/>
      </c>
      <c r="U931" s="40" t="str">
        <f t="shared" si="3"/>
        <v/>
      </c>
      <c r="V931" s="34" t="str">
        <f t="shared" si="4"/>
        <v/>
      </c>
      <c r="W931" s="41" t="str">
        <f>IFERROR(__xludf.DUMMYFUNCTION(" IF(Account!$F931&lt;&gt;"""", SPLIT(Account!$F931, "" ""), """")"),"")</f>
        <v/>
      </c>
      <c r="X931" s="42"/>
      <c r="Y931" s="42"/>
      <c r="Z931" s="42"/>
      <c r="AA931" s="42"/>
      <c r="AB931" s="42"/>
      <c r="AC931" s="42"/>
      <c r="AD931" s="42"/>
      <c r="AE931" s="42"/>
      <c r="AF931" s="42"/>
      <c r="AG931" s="42"/>
      <c r="AH931" s="42"/>
      <c r="AI931" s="42"/>
      <c r="AJ931" s="42"/>
      <c r="AK931" s="42"/>
    </row>
    <row r="932">
      <c r="A932" s="20"/>
      <c r="B932" s="20"/>
      <c r="C932" s="20"/>
      <c r="D932" s="20"/>
      <c r="E932" s="20"/>
      <c r="F932" s="21"/>
      <c r="G932" s="45"/>
      <c r="H932" s="20"/>
      <c r="I932" s="20"/>
      <c r="J932" s="20"/>
      <c r="K932" s="20"/>
      <c r="L932" s="46"/>
      <c r="M932" s="33" t="str">
        <f>IFERROR(__xludf.DUMMYFUNCTION("IFS(W932=""Achat"",IFERROR(VALUE(X932),VALUE(REGEXREPLACE(T(X932),""[^0-9]"",""""))),W932=""Vente"",-IFERROR(VALUE(X932),VALUE(REGEXREPLACE(T(X932),""[^0-9]"",""""))),Y932=""Change"",0,Y932&lt;&gt;""Change"","""")"),"")</f>
        <v/>
      </c>
      <c r="N932" s="34" t="str">
        <f>IFERROR(__xludf.DUMMYFUNCTION("IF(Account!$F932&lt;&gt;"""", VALUE(REGEXREPLACE($I932, ""\,"", ""."")), """")"),"")</f>
        <v/>
      </c>
      <c r="O932" s="35" t="str">
        <f>IF(Account!$F932&lt;&gt;"", DATEVALUE(MID($A932,4,3) &amp; LEFT($A932,3) &amp; RIGHT($A932,4)) + TIMEVALUE($B932), "")</f>
        <v/>
      </c>
      <c r="P932" s="36" t="str">
        <f>IF(Account!$F932&lt;&gt;"", DATEVALUE(MID($C932,4,3) &amp; LEFT($C932,3) &amp; RIGHT($C932,4)), "")</f>
        <v/>
      </c>
      <c r="Q932" s="37" t="str">
        <f t="array" ref="Q932">IF($R932&lt;&gt;"",IFERROR(INDEX(ISIN!$B:$B,MATCH($R932,ISIN!$C:$C,0))),)</f>
        <v/>
      </c>
      <c r="R932" s="38" t="str">
        <f t="array" ref="R932">IF($E932&lt;&gt;"",IFERROR(INDEX(ISIN!$C:$C,MATCH($E932,ISIN!$A:$A,0)),IFERROR(INDEX($R933:$R1200,MATCH($K932,$K933:$K1200,0)))),IF(AND($Y932="change",$H932="EUR"),IF($O932=$O933,$R933,IF($O932=$O931,$R931)),IFERROR(INDEX($R933:$R1200,MATCH(SUBSTITUTE($I932,"-","",1),$K933:$K1200,0)))))</f>
        <v/>
      </c>
      <c r="S932" s="37" t="str">
        <f t="shared" si="1"/>
        <v/>
      </c>
      <c r="T932" s="39" t="str">
        <f t="shared" si="2"/>
        <v/>
      </c>
      <c r="U932" s="40" t="str">
        <f t="shared" si="3"/>
        <v/>
      </c>
      <c r="V932" s="34" t="str">
        <f t="shared" si="4"/>
        <v/>
      </c>
      <c r="W932" s="41" t="str">
        <f>IFERROR(__xludf.DUMMYFUNCTION(" IF(Account!$F932&lt;&gt;"""", SPLIT(Account!$F932, "" ""), """")"),"")</f>
        <v/>
      </c>
      <c r="X932" s="42"/>
      <c r="Y932" s="42"/>
      <c r="Z932" s="42"/>
      <c r="AA932" s="42"/>
      <c r="AB932" s="42"/>
      <c r="AC932" s="42"/>
      <c r="AD932" s="42"/>
      <c r="AE932" s="42"/>
      <c r="AF932" s="42"/>
      <c r="AG932" s="42"/>
      <c r="AH932" s="42"/>
      <c r="AI932" s="42"/>
      <c r="AJ932" s="42"/>
      <c r="AK932" s="42"/>
    </row>
    <row r="933">
      <c r="A933" s="20"/>
      <c r="B933" s="20"/>
      <c r="C933" s="20"/>
      <c r="D933" s="20"/>
      <c r="E933" s="20"/>
      <c r="F933" s="21"/>
      <c r="G933" s="20"/>
      <c r="H933" s="20"/>
      <c r="I933" s="20"/>
      <c r="J933" s="20"/>
      <c r="K933" s="20"/>
      <c r="L933" s="21"/>
      <c r="M933" s="33" t="str">
        <f>IFERROR(__xludf.DUMMYFUNCTION("IFS(W933=""Achat"",IFERROR(VALUE(X933),VALUE(REGEXREPLACE(T(X933),""[^0-9]"",""""))),W933=""Vente"",-IFERROR(VALUE(X933),VALUE(REGEXREPLACE(T(X933),""[^0-9]"",""""))),Y933=""Change"",0,Y933&lt;&gt;""Change"","""")"),"")</f>
        <v/>
      </c>
      <c r="N933" s="34" t="str">
        <f>IFERROR(__xludf.DUMMYFUNCTION("IF(Account!$F933&lt;&gt;"""", VALUE(REGEXREPLACE($I933, ""\,"", ""."")), """")"),"")</f>
        <v/>
      </c>
      <c r="O933" s="35" t="str">
        <f>IF(Account!$F933&lt;&gt;"", DATEVALUE(MID($A933,4,3) &amp; LEFT($A933,3) &amp; RIGHT($A933,4)) + TIMEVALUE($B933), "")</f>
        <v/>
      </c>
      <c r="P933" s="36" t="str">
        <f>IF(Account!$F933&lt;&gt;"", DATEVALUE(MID($C933,4,3) &amp; LEFT($C933,3) &amp; RIGHT($C933,4)), "")</f>
        <v/>
      </c>
      <c r="Q933" s="37" t="str">
        <f t="array" ref="Q933">IF($R933&lt;&gt;"",IFERROR(INDEX(ISIN!$B:$B,MATCH($R933,ISIN!$C:$C,0))),)</f>
        <v/>
      </c>
      <c r="R933" s="38" t="str">
        <f t="array" ref="R933">IF($E933&lt;&gt;"",IFERROR(INDEX(ISIN!$C:$C,MATCH($E933,ISIN!$A:$A,0)),IFERROR(INDEX($R934:$R1200,MATCH($K933,$K934:$K1200,0)))),IF(AND($Y933="change",$H933="EUR"),IF($O933=$O934,$R934,IF($O933=$O932,$R932)),IFERROR(INDEX($R934:$R1200,MATCH(SUBSTITUTE($I933,"-","",1),$K934:$K1200,0)))))</f>
        <v/>
      </c>
      <c r="S933" s="37" t="str">
        <f t="shared" si="1"/>
        <v/>
      </c>
      <c r="T933" s="39" t="str">
        <f t="shared" si="2"/>
        <v/>
      </c>
      <c r="U933" s="40" t="str">
        <f t="shared" si="3"/>
        <v/>
      </c>
      <c r="V933" s="34" t="str">
        <f t="shared" si="4"/>
        <v/>
      </c>
      <c r="W933" s="41" t="str">
        <f>IFERROR(__xludf.DUMMYFUNCTION(" IF(Account!$F933&lt;&gt;"""", SPLIT(Account!$F933, "" ""), """")"),"")</f>
        <v/>
      </c>
      <c r="X933" s="42"/>
      <c r="Y933" s="42"/>
      <c r="Z933" s="42"/>
      <c r="AA933" s="42"/>
      <c r="AB933" s="42"/>
      <c r="AC933" s="42"/>
      <c r="AD933" s="42"/>
      <c r="AE933" s="42"/>
      <c r="AF933" s="42"/>
      <c r="AG933" s="42"/>
      <c r="AH933" s="42"/>
      <c r="AI933" s="42"/>
      <c r="AJ933" s="42"/>
      <c r="AK933" s="42"/>
    </row>
    <row r="934">
      <c r="A934" s="20"/>
      <c r="B934" s="20"/>
      <c r="C934" s="20"/>
      <c r="D934" s="20"/>
      <c r="E934" s="20"/>
      <c r="F934" s="21"/>
      <c r="G934" s="45"/>
      <c r="H934" s="20"/>
      <c r="I934" s="20"/>
      <c r="J934" s="20"/>
      <c r="K934" s="20"/>
      <c r="L934" s="21"/>
      <c r="M934" s="33" t="str">
        <f>IFERROR(__xludf.DUMMYFUNCTION("IFS(W934=""Achat"",IFERROR(VALUE(X934),VALUE(REGEXREPLACE(T(X934),""[^0-9]"",""""))),W934=""Vente"",-IFERROR(VALUE(X934),VALUE(REGEXREPLACE(T(X934),""[^0-9]"",""""))),Y934=""Change"",0,Y934&lt;&gt;""Change"","""")"),"")</f>
        <v/>
      </c>
      <c r="N934" s="34" t="str">
        <f>IFERROR(__xludf.DUMMYFUNCTION("IF(Account!$F934&lt;&gt;"""", VALUE(REGEXREPLACE($I934, ""\,"", ""."")), """")"),"")</f>
        <v/>
      </c>
      <c r="O934" s="35" t="str">
        <f>IF(Account!$F934&lt;&gt;"", DATEVALUE(MID($A934,4,3) &amp; LEFT($A934,3) &amp; RIGHT($A934,4)) + TIMEVALUE($B934), "")</f>
        <v/>
      </c>
      <c r="P934" s="36" t="str">
        <f>IF(Account!$F934&lt;&gt;"", DATEVALUE(MID($C934,4,3) &amp; LEFT($C934,3) &amp; RIGHT($C934,4)), "")</f>
        <v/>
      </c>
      <c r="Q934" s="37" t="str">
        <f t="array" ref="Q934">IF($R934&lt;&gt;"",IFERROR(INDEX(ISIN!$B:$B,MATCH($R934,ISIN!$C:$C,0))),)</f>
        <v/>
      </c>
      <c r="R934" s="38" t="str">
        <f t="array" ref="R934">IF($E934&lt;&gt;"",IFERROR(INDEX(ISIN!$C:$C,MATCH($E934,ISIN!$A:$A,0)),IFERROR(INDEX($R935:$R1200,MATCH($K934,$K935:$K1200,0)))),IF(AND($Y934="change",$H934="EUR"),IF($O934=$O935,$R935,IF($O934=$O933,$R933)),IFERROR(INDEX($R935:$R1200,MATCH(SUBSTITUTE($I934,"-","",1),$K935:$K1200,0)))))</f>
        <v/>
      </c>
      <c r="S934" s="37" t="str">
        <f t="shared" si="1"/>
        <v/>
      </c>
      <c r="T934" s="39" t="str">
        <f t="shared" si="2"/>
        <v/>
      </c>
      <c r="U934" s="40" t="str">
        <f t="shared" si="3"/>
        <v/>
      </c>
      <c r="V934" s="34" t="str">
        <f t="shared" si="4"/>
        <v/>
      </c>
      <c r="W934" s="41" t="str">
        <f>IFERROR(__xludf.DUMMYFUNCTION(" IF(Account!$F934&lt;&gt;"""", SPLIT(Account!$F934, "" ""), """")"),"")</f>
        <v/>
      </c>
      <c r="X934" s="42"/>
      <c r="Y934" s="42"/>
      <c r="Z934" s="42"/>
      <c r="AA934" s="42"/>
      <c r="AB934" s="42"/>
      <c r="AC934" s="42"/>
      <c r="AD934" s="42"/>
      <c r="AE934" s="42"/>
      <c r="AF934" s="42"/>
      <c r="AG934" s="42"/>
      <c r="AH934" s="42"/>
      <c r="AI934" s="42"/>
      <c r="AJ934" s="42"/>
      <c r="AK934" s="42"/>
    </row>
    <row r="935">
      <c r="A935" s="20"/>
      <c r="B935" s="20"/>
      <c r="C935" s="20"/>
      <c r="D935" s="20"/>
      <c r="E935" s="20"/>
      <c r="F935" s="21"/>
      <c r="G935" s="45"/>
      <c r="H935" s="20"/>
      <c r="I935" s="20"/>
      <c r="J935" s="20"/>
      <c r="K935" s="20"/>
      <c r="L935" s="21"/>
      <c r="M935" s="33" t="str">
        <f>IFERROR(__xludf.DUMMYFUNCTION("IFS(W935=""Achat"",IFERROR(VALUE(X935),VALUE(REGEXREPLACE(T(X935),""[^0-9]"",""""))),W935=""Vente"",-IFERROR(VALUE(X935),VALUE(REGEXREPLACE(T(X935),""[^0-9]"",""""))),Y935=""Change"",0,Y935&lt;&gt;""Change"","""")"),"")</f>
        <v/>
      </c>
      <c r="N935" s="34" t="str">
        <f>IFERROR(__xludf.DUMMYFUNCTION("IF(Account!$F935&lt;&gt;"""", VALUE(REGEXREPLACE($I935, ""\,"", ""."")), """")"),"")</f>
        <v/>
      </c>
      <c r="O935" s="35" t="str">
        <f>IF(Account!$F935&lt;&gt;"", DATEVALUE(MID($A935,4,3) &amp; LEFT($A935,3) &amp; RIGHT($A935,4)) + TIMEVALUE($B935), "")</f>
        <v/>
      </c>
      <c r="P935" s="36" t="str">
        <f>IF(Account!$F935&lt;&gt;"", DATEVALUE(MID($C935,4,3) &amp; LEFT($C935,3) &amp; RIGHT($C935,4)), "")</f>
        <v/>
      </c>
      <c r="Q935" s="37" t="str">
        <f t="array" ref="Q935">IF($R935&lt;&gt;"",IFERROR(INDEX(ISIN!$B:$B,MATCH($R935,ISIN!$C:$C,0))),)</f>
        <v/>
      </c>
      <c r="R935" s="38" t="str">
        <f t="array" ref="R935">IF($E935&lt;&gt;"",IFERROR(INDEX(ISIN!$C:$C,MATCH($E935,ISIN!$A:$A,0)),IFERROR(INDEX($R936:$R1200,MATCH($K935,$K936:$K1200,0)))),IF(AND($Y935="change",$H935="EUR"),IF($O935=$O936,$R936,IF($O935=$O934,$R934)),IFERROR(INDEX($R936:$R1200,MATCH(SUBSTITUTE($I935,"-","",1),$K936:$K1200,0)))))</f>
        <v/>
      </c>
      <c r="S935" s="37" t="str">
        <f t="shared" si="1"/>
        <v/>
      </c>
      <c r="T935" s="39" t="str">
        <f t="shared" si="2"/>
        <v/>
      </c>
      <c r="U935" s="40" t="str">
        <f t="shared" si="3"/>
        <v/>
      </c>
      <c r="V935" s="34" t="str">
        <f t="shared" si="4"/>
        <v/>
      </c>
      <c r="W935" s="41" t="str">
        <f>IFERROR(__xludf.DUMMYFUNCTION(" IF(Account!$F935&lt;&gt;"""", SPLIT(Account!$F935, "" ""), """")"),"")</f>
        <v/>
      </c>
      <c r="X935" s="42"/>
      <c r="Y935" s="42"/>
      <c r="Z935" s="42"/>
      <c r="AA935" s="42"/>
      <c r="AB935" s="42"/>
      <c r="AC935" s="42"/>
      <c r="AD935" s="42"/>
      <c r="AE935" s="42"/>
      <c r="AF935" s="42"/>
      <c r="AG935" s="42"/>
      <c r="AH935" s="42"/>
      <c r="AI935" s="42"/>
      <c r="AJ935" s="42"/>
      <c r="AK935" s="42"/>
    </row>
    <row r="936">
      <c r="A936" s="20"/>
      <c r="B936" s="20"/>
      <c r="C936" s="20"/>
      <c r="D936" s="20"/>
      <c r="E936" s="20"/>
      <c r="F936" s="21"/>
      <c r="G936" s="45"/>
      <c r="H936" s="20"/>
      <c r="I936" s="20"/>
      <c r="J936" s="20"/>
      <c r="K936" s="20"/>
      <c r="L936" s="21"/>
      <c r="M936" s="33" t="str">
        <f>IFERROR(__xludf.DUMMYFUNCTION("IFS(W936=""Achat"",IFERROR(VALUE(X936),VALUE(REGEXREPLACE(T(X936),""[^0-9]"",""""))),W936=""Vente"",-IFERROR(VALUE(X936),VALUE(REGEXREPLACE(T(X936),""[^0-9]"",""""))),Y936=""Change"",0,Y936&lt;&gt;""Change"","""")"),"")</f>
        <v/>
      </c>
      <c r="N936" s="34" t="str">
        <f>IFERROR(__xludf.DUMMYFUNCTION("IF(Account!$F936&lt;&gt;"""", VALUE(REGEXREPLACE($I936, ""\,"", ""."")), """")"),"")</f>
        <v/>
      </c>
      <c r="O936" s="35" t="str">
        <f>IF(Account!$F936&lt;&gt;"", DATEVALUE(MID($A936,4,3) &amp; LEFT($A936,3) &amp; RIGHT($A936,4)) + TIMEVALUE($B936), "")</f>
        <v/>
      </c>
      <c r="P936" s="36" t="str">
        <f>IF(Account!$F936&lt;&gt;"", DATEVALUE(MID($C936,4,3) &amp; LEFT($C936,3) &amp; RIGHT($C936,4)), "")</f>
        <v/>
      </c>
      <c r="Q936" s="37" t="str">
        <f t="array" ref="Q936">IF($R936&lt;&gt;"",IFERROR(INDEX(ISIN!$B:$B,MATCH($R936,ISIN!$C:$C,0))),)</f>
        <v/>
      </c>
      <c r="R936" s="38" t="str">
        <f t="array" ref="R936">IF($E936&lt;&gt;"",IFERROR(INDEX(ISIN!$C:$C,MATCH($E936,ISIN!$A:$A,0)),IFERROR(INDEX($R937:$R1200,MATCH($K936,$K937:$K1200,0)))),IF(AND($Y936="change",$H936="EUR"),IF($O936=$O937,$R937,IF($O936=$O935,$R935)),IFERROR(INDEX($R937:$R1200,MATCH(SUBSTITUTE($I936,"-","",1),$K937:$K1200,0)))))</f>
        <v/>
      </c>
      <c r="S936" s="37" t="str">
        <f t="shared" si="1"/>
        <v/>
      </c>
      <c r="T936" s="39" t="str">
        <f t="shared" si="2"/>
        <v/>
      </c>
      <c r="U936" s="40" t="str">
        <f t="shared" si="3"/>
        <v/>
      </c>
      <c r="V936" s="34" t="str">
        <f t="shared" si="4"/>
        <v/>
      </c>
      <c r="W936" s="41" t="str">
        <f>IFERROR(__xludf.DUMMYFUNCTION(" IF(Account!$F936&lt;&gt;"""", SPLIT(Account!$F936, "" ""), """")"),"")</f>
        <v/>
      </c>
      <c r="X936" s="42"/>
      <c r="Y936" s="42"/>
      <c r="Z936" s="42"/>
      <c r="AA936" s="42"/>
      <c r="AB936" s="42"/>
      <c r="AC936" s="42"/>
      <c r="AD936" s="42"/>
      <c r="AE936" s="42"/>
      <c r="AF936" s="42"/>
      <c r="AG936" s="42"/>
      <c r="AH936" s="42"/>
      <c r="AI936" s="42"/>
      <c r="AJ936" s="42"/>
      <c r="AK936" s="42"/>
    </row>
    <row r="937">
      <c r="A937" s="20"/>
      <c r="B937" s="20"/>
      <c r="C937" s="20"/>
      <c r="D937" s="20"/>
      <c r="E937" s="20"/>
      <c r="F937" s="21"/>
      <c r="G937" s="45"/>
      <c r="H937" s="20"/>
      <c r="I937" s="20"/>
      <c r="J937" s="20"/>
      <c r="K937" s="20"/>
      <c r="L937" s="21"/>
      <c r="M937" s="33" t="str">
        <f>IFERROR(__xludf.DUMMYFUNCTION("IFS(W937=""Achat"",IFERROR(VALUE(X937),VALUE(REGEXREPLACE(T(X937),""[^0-9]"",""""))),W937=""Vente"",-IFERROR(VALUE(X937),VALUE(REGEXREPLACE(T(X937),""[^0-9]"",""""))),Y937=""Change"",0,Y937&lt;&gt;""Change"","""")"),"")</f>
        <v/>
      </c>
      <c r="N937" s="34" t="str">
        <f>IFERROR(__xludf.DUMMYFUNCTION("IF(Account!$F937&lt;&gt;"""", VALUE(REGEXREPLACE($I937, ""\,"", ""."")), """")"),"")</f>
        <v/>
      </c>
      <c r="O937" s="35" t="str">
        <f>IF(Account!$F937&lt;&gt;"", DATEVALUE(MID($A937,4,3) &amp; LEFT($A937,3) &amp; RIGHT($A937,4)) + TIMEVALUE($B937), "")</f>
        <v/>
      </c>
      <c r="P937" s="36" t="str">
        <f>IF(Account!$F937&lt;&gt;"", DATEVALUE(MID($C937,4,3) &amp; LEFT($C937,3) &amp; RIGHT($C937,4)), "")</f>
        <v/>
      </c>
      <c r="Q937" s="37" t="str">
        <f t="array" ref="Q937">IF($R937&lt;&gt;"",IFERROR(INDEX(ISIN!$B:$B,MATCH($R937,ISIN!$C:$C,0))),)</f>
        <v/>
      </c>
      <c r="R937" s="38" t="str">
        <f t="array" ref="R937">IF($E937&lt;&gt;"",IFERROR(INDEX(ISIN!$C:$C,MATCH($E937,ISIN!$A:$A,0)),IFERROR(INDEX($R938:$R1200,MATCH($K937,$K938:$K1200,0)))),IF(AND($Y937="change",$H937="EUR"),IF($O937=$O938,$R938,IF($O937=$O936,$R936)),IFERROR(INDEX($R938:$R1200,MATCH(SUBSTITUTE($I937,"-","",1),$K938:$K1200,0)))))</f>
        <v/>
      </c>
      <c r="S937" s="37" t="str">
        <f t="shared" si="1"/>
        <v/>
      </c>
      <c r="T937" s="39" t="str">
        <f t="shared" si="2"/>
        <v/>
      </c>
      <c r="U937" s="40" t="str">
        <f t="shared" si="3"/>
        <v/>
      </c>
      <c r="V937" s="34" t="str">
        <f t="shared" si="4"/>
        <v/>
      </c>
      <c r="W937" s="41" t="str">
        <f>IFERROR(__xludf.DUMMYFUNCTION(" IF(Account!$F937&lt;&gt;"""", SPLIT(Account!$F937, "" ""), """")"),"")</f>
        <v/>
      </c>
      <c r="X937" s="42"/>
      <c r="Y937" s="42"/>
      <c r="Z937" s="42"/>
      <c r="AA937" s="42"/>
      <c r="AB937" s="42"/>
      <c r="AC937" s="42"/>
      <c r="AD937" s="42"/>
      <c r="AE937" s="42"/>
      <c r="AF937" s="42"/>
      <c r="AG937" s="42"/>
      <c r="AH937" s="42"/>
      <c r="AI937" s="42"/>
      <c r="AJ937" s="42"/>
      <c r="AK937" s="42"/>
    </row>
    <row r="938">
      <c r="A938" s="20"/>
      <c r="B938" s="20"/>
      <c r="C938" s="20"/>
      <c r="D938" s="20"/>
      <c r="E938" s="20"/>
      <c r="F938" s="21"/>
      <c r="G938" s="45"/>
      <c r="H938" s="20"/>
      <c r="I938" s="20"/>
      <c r="J938" s="20"/>
      <c r="K938" s="20"/>
      <c r="L938" s="21"/>
      <c r="M938" s="33" t="str">
        <f>IFERROR(__xludf.DUMMYFUNCTION("IFS(W938=""Achat"",IFERROR(VALUE(X938),VALUE(REGEXREPLACE(T(X938),""[^0-9]"",""""))),W938=""Vente"",-IFERROR(VALUE(X938),VALUE(REGEXREPLACE(T(X938),""[^0-9]"",""""))),Y938=""Change"",0,Y938&lt;&gt;""Change"","""")"),"")</f>
        <v/>
      </c>
      <c r="N938" s="34" t="str">
        <f>IFERROR(__xludf.DUMMYFUNCTION("IF(Account!$F938&lt;&gt;"""", VALUE(REGEXREPLACE($I938, ""\,"", ""."")), """")"),"")</f>
        <v/>
      </c>
      <c r="O938" s="35" t="str">
        <f>IF(Account!$F938&lt;&gt;"", DATEVALUE(MID($A938,4,3) &amp; LEFT($A938,3) &amp; RIGHT($A938,4)) + TIMEVALUE($B938), "")</f>
        <v/>
      </c>
      <c r="P938" s="36" t="str">
        <f>IF(Account!$F938&lt;&gt;"", DATEVALUE(MID($C938,4,3) &amp; LEFT($C938,3) &amp; RIGHT($C938,4)), "")</f>
        <v/>
      </c>
      <c r="Q938" s="37" t="str">
        <f t="array" ref="Q938">IF($R938&lt;&gt;"",IFERROR(INDEX(ISIN!$B:$B,MATCH($R938,ISIN!$C:$C,0))),)</f>
        <v/>
      </c>
      <c r="R938" s="38" t="str">
        <f t="array" ref="R938">IF($E938&lt;&gt;"",IFERROR(INDEX(ISIN!$C:$C,MATCH($E938,ISIN!$A:$A,0)),IFERROR(INDEX($R939:$R1200,MATCH($K938,$K939:$K1200,0)))),IF(AND($Y938="change",$H938="EUR"),IF($O938=$O939,$R939,IF($O938=$O937,$R937)),IFERROR(INDEX($R939:$R1200,MATCH(SUBSTITUTE($I938,"-","",1),$K939:$K1200,0)))))</f>
        <v/>
      </c>
      <c r="S938" s="37" t="str">
        <f t="shared" si="1"/>
        <v/>
      </c>
      <c r="T938" s="39" t="str">
        <f t="shared" si="2"/>
        <v/>
      </c>
      <c r="U938" s="40" t="str">
        <f t="shared" si="3"/>
        <v/>
      </c>
      <c r="V938" s="34" t="str">
        <f t="shared" si="4"/>
        <v/>
      </c>
      <c r="W938" s="41" t="str">
        <f>IFERROR(__xludf.DUMMYFUNCTION(" IF(Account!$F938&lt;&gt;"""", SPLIT(Account!$F938, "" ""), """")"),"")</f>
        <v/>
      </c>
      <c r="X938" s="42"/>
      <c r="Y938" s="42"/>
      <c r="Z938" s="42"/>
      <c r="AA938" s="42"/>
      <c r="AB938" s="42"/>
      <c r="AC938" s="42"/>
      <c r="AD938" s="42"/>
      <c r="AE938" s="42"/>
      <c r="AF938" s="42"/>
      <c r="AG938" s="42"/>
      <c r="AH938" s="42"/>
      <c r="AI938" s="42"/>
      <c r="AJ938" s="42"/>
      <c r="AK938" s="42"/>
    </row>
    <row r="939">
      <c r="A939" s="20"/>
      <c r="B939" s="20"/>
      <c r="C939" s="20"/>
      <c r="D939" s="45"/>
      <c r="E939" s="45"/>
      <c r="F939" s="21"/>
      <c r="G939" s="45"/>
      <c r="H939" s="20"/>
      <c r="I939" s="20"/>
      <c r="J939" s="20"/>
      <c r="K939" s="20"/>
      <c r="L939" s="46"/>
      <c r="M939" s="33" t="str">
        <f>IFERROR(__xludf.DUMMYFUNCTION("IFS(W939=""Achat"",IFERROR(VALUE(X939),VALUE(REGEXREPLACE(T(X939),""[^0-9]"",""""))),W939=""Vente"",-IFERROR(VALUE(X939),VALUE(REGEXREPLACE(T(X939),""[^0-9]"",""""))),Y939=""Change"",0,Y939&lt;&gt;""Change"","""")"),"")</f>
        <v/>
      </c>
      <c r="N939" s="34" t="str">
        <f>IFERROR(__xludf.DUMMYFUNCTION("IF(Account!$F939&lt;&gt;"""", VALUE(REGEXREPLACE($I939, ""\,"", ""."")), """")"),"")</f>
        <v/>
      </c>
      <c r="O939" s="35" t="str">
        <f>IF(Account!$F939&lt;&gt;"", DATEVALUE(MID($A939,4,3) &amp; LEFT($A939,3) &amp; RIGHT($A939,4)) + TIMEVALUE($B939), "")</f>
        <v/>
      </c>
      <c r="P939" s="36" t="str">
        <f>IF(Account!$F939&lt;&gt;"", DATEVALUE(MID($C939,4,3) &amp; LEFT($C939,3) &amp; RIGHT($C939,4)), "")</f>
        <v/>
      </c>
      <c r="Q939" s="37" t="str">
        <f t="array" ref="Q939">IF($R939&lt;&gt;"",IFERROR(INDEX(ISIN!$B:$B,MATCH($R939,ISIN!$C:$C,0))),)</f>
        <v/>
      </c>
      <c r="R939" s="38" t="str">
        <f t="array" ref="R939">IF($E939&lt;&gt;"",IFERROR(INDEX(ISIN!$C:$C,MATCH($E939,ISIN!$A:$A,0)),IFERROR(INDEX($R940:$R1200,MATCH($K939,$K940:$K1200,0)))),IF(AND($Y939="change",$H939="EUR"),IF($O939=$O940,$R940,IF($O939=$O938,$R938)),IFERROR(INDEX($R940:$R1200,MATCH(SUBSTITUTE($I939,"-","",1),$K940:$K1200,0)))))</f>
        <v/>
      </c>
      <c r="S939" s="37" t="str">
        <f t="shared" si="1"/>
        <v/>
      </c>
      <c r="T939" s="39" t="str">
        <f t="shared" si="2"/>
        <v/>
      </c>
      <c r="U939" s="40" t="str">
        <f t="shared" si="3"/>
        <v/>
      </c>
      <c r="V939" s="34" t="str">
        <f t="shared" si="4"/>
        <v/>
      </c>
      <c r="W939" s="41" t="str">
        <f>IFERROR(__xludf.DUMMYFUNCTION(" IF(Account!$F939&lt;&gt;"""", SPLIT(Account!$F939, "" ""), """")"),"")</f>
        <v/>
      </c>
      <c r="X939" s="42"/>
      <c r="Y939" s="42"/>
      <c r="Z939" s="42"/>
      <c r="AA939" s="42"/>
      <c r="AB939" s="42"/>
      <c r="AC939" s="42"/>
      <c r="AD939" s="42"/>
      <c r="AE939" s="42"/>
      <c r="AF939" s="42"/>
      <c r="AG939" s="42"/>
      <c r="AH939" s="42"/>
      <c r="AI939" s="42"/>
      <c r="AJ939" s="42"/>
      <c r="AK939" s="42"/>
    </row>
    <row r="940">
      <c r="A940" s="20"/>
      <c r="B940" s="20"/>
      <c r="C940" s="20"/>
      <c r="D940" s="20"/>
      <c r="E940" s="20"/>
      <c r="F940" s="21"/>
      <c r="G940" s="45"/>
      <c r="H940" s="20"/>
      <c r="I940" s="20"/>
      <c r="J940" s="20"/>
      <c r="K940" s="20"/>
      <c r="L940" s="21"/>
      <c r="M940" s="33" t="str">
        <f>IFERROR(__xludf.DUMMYFUNCTION("IFS(W940=""Achat"",IFERROR(VALUE(X940),VALUE(REGEXREPLACE(T(X940),""[^0-9]"",""""))),W940=""Vente"",-IFERROR(VALUE(X940),VALUE(REGEXREPLACE(T(X940),""[^0-9]"",""""))),Y940=""Change"",0,Y940&lt;&gt;""Change"","""")"),"")</f>
        <v/>
      </c>
      <c r="N940" s="34" t="str">
        <f>IFERROR(__xludf.DUMMYFUNCTION("IF(Account!$F940&lt;&gt;"""", VALUE(REGEXREPLACE($I940, ""\,"", ""."")), """")"),"")</f>
        <v/>
      </c>
      <c r="O940" s="35" t="str">
        <f>IF(Account!$F940&lt;&gt;"", DATEVALUE(MID($A940,4,3) &amp; LEFT($A940,3) &amp; RIGHT($A940,4)) + TIMEVALUE($B940), "")</f>
        <v/>
      </c>
      <c r="P940" s="36" t="str">
        <f>IF(Account!$F940&lt;&gt;"", DATEVALUE(MID($C940,4,3) &amp; LEFT($C940,3) &amp; RIGHT($C940,4)), "")</f>
        <v/>
      </c>
      <c r="Q940" s="37" t="str">
        <f t="array" ref="Q940">IF($R940&lt;&gt;"",IFERROR(INDEX(ISIN!$B:$B,MATCH($R940,ISIN!$C:$C,0))),)</f>
        <v/>
      </c>
      <c r="R940" s="38" t="str">
        <f t="array" ref="R940">IF($E940&lt;&gt;"",IFERROR(INDEX(ISIN!$C:$C,MATCH($E940,ISIN!$A:$A,0)),IFERROR(INDEX($R941:$R1200,MATCH($K940,$K941:$K1200,0)))),IF(AND($Y940="change",$H940="EUR"),IF($O940=$O941,$R941,IF($O940=$O939,$R939)),IFERROR(INDEX($R941:$R1200,MATCH(SUBSTITUTE($I940,"-","",1),$K941:$K1200,0)))))</f>
        <v/>
      </c>
      <c r="S940" s="37" t="str">
        <f t="shared" si="1"/>
        <v/>
      </c>
      <c r="T940" s="39" t="str">
        <f t="shared" si="2"/>
        <v/>
      </c>
      <c r="U940" s="40" t="str">
        <f t="shared" si="3"/>
        <v/>
      </c>
      <c r="V940" s="34" t="str">
        <f t="shared" si="4"/>
        <v/>
      </c>
      <c r="W940" s="41" t="str">
        <f>IFERROR(__xludf.DUMMYFUNCTION(" IF(Account!$F940&lt;&gt;"""", SPLIT(Account!$F940, "" ""), """")"),"")</f>
        <v/>
      </c>
      <c r="X940" s="42"/>
      <c r="Y940" s="42"/>
      <c r="Z940" s="42"/>
      <c r="AA940" s="42"/>
      <c r="AB940" s="42"/>
      <c r="AC940" s="42"/>
      <c r="AD940" s="42"/>
      <c r="AE940" s="42"/>
      <c r="AF940" s="42"/>
      <c r="AG940" s="42"/>
      <c r="AH940" s="42"/>
      <c r="AI940" s="42"/>
      <c r="AJ940" s="42"/>
      <c r="AK940" s="42"/>
    </row>
    <row r="941">
      <c r="A941" s="20"/>
      <c r="B941" s="20"/>
      <c r="C941" s="20"/>
      <c r="D941" s="20"/>
      <c r="E941" s="20"/>
      <c r="F941" s="21"/>
      <c r="G941" s="45"/>
      <c r="H941" s="20"/>
      <c r="I941" s="20"/>
      <c r="J941" s="20"/>
      <c r="K941" s="20"/>
      <c r="L941" s="21"/>
      <c r="M941" s="33" t="str">
        <f>IFERROR(__xludf.DUMMYFUNCTION("IFS(W941=""Achat"",IFERROR(VALUE(X941),VALUE(REGEXREPLACE(T(X941),""[^0-9]"",""""))),W941=""Vente"",-IFERROR(VALUE(X941),VALUE(REGEXREPLACE(T(X941),""[^0-9]"",""""))),Y941=""Change"",0,Y941&lt;&gt;""Change"","""")"),"")</f>
        <v/>
      </c>
      <c r="N941" s="34" t="str">
        <f>IFERROR(__xludf.DUMMYFUNCTION("IF(Account!$F941&lt;&gt;"""", VALUE(REGEXREPLACE($I941, ""\,"", ""."")), """")"),"")</f>
        <v/>
      </c>
      <c r="O941" s="35" t="str">
        <f>IF(Account!$F941&lt;&gt;"", DATEVALUE(MID($A941,4,3) &amp; LEFT($A941,3) &amp; RIGHT($A941,4)) + TIMEVALUE($B941), "")</f>
        <v/>
      </c>
      <c r="P941" s="36" t="str">
        <f>IF(Account!$F941&lt;&gt;"", DATEVALUE(MID($C941,4,3) &amp; LEFT($C941,3) &amp; RIGHT($C941,4)), "")</f>
        <v/>
      </c>
      <c r="Q941" s="37" t="str">
        <f t="array" ref="Q941">IF($R941&lt;&gt;"",IFERROR(INDEX(ISIN!$B:$B,MATCH($R941,ISIN!$C:$C,0))),)</f>
        <v/>
      </c>
      <c r="R941" s="38" t="str">
        <f t="array" ref="R941">IF($E941&lt;&gt;"",IFERROR(INDEX(ISIN!$C:$C,MATCH($E941,ISIN!$A:$A,0)),IFERROR(INDEX($R942:$R1200,MATCH($K941,$K942:$K1200,0)))),IF(AND($Y941="change",$H941="EUR"),IF($O941=$O942,$R942,IF($O941=$O940,$R940)),IFERROR(INDEX($R942:$R1200,MATCH(SUBSTITUTE($I941,"-","",1),$K942:$K1200,0)))))</f>
        <v/>
      </c>
      <c r="S941" s="37" t="str">
        <f t="shared" si="1"/>
        <v/>
      </c>
      <c r="T941" s="39" t="str">
        <f t="shared" si="2"/>
        <v/>
      </c>
      <c r="U941" s="40" t="str">
        <f t="shared" si="3"/>
        <v/>
      </c>
      <c r="V941" s="34" t="str">
        <f t="shared" si="4"/>
        <v/>
      </c>
      <c r="W941" s="41" t="str">
        <f>IFERROR(__xludf.DUMMYFUNCTION(" IF(Account!$F941&lt;&gt;"""", SPLIT(Account!$F941, "" ""), """")"),"")</f>
        <v/>
      </c>
      <c r="X941" s="42"/>
      <c r="Y941" s="42"/>
      <c r="Z941" s="42"/>
      <c r="AA941" s="42"/>
      <c r="AB941" s="42"/>
      <c r="AC941" s="42"/>
      <c r="AD941" s="42"/>
      <c r="AE941" s="42"/>
      <c r="AF941" s="42"/>
      <c r="AG941" s="42"/>
      <c r="AH941" s="42"/>
      <c r="AI941" s="42"/>
      <c r="AJ941" s="42"/>
      <c r="AK941" s="42"/>
    </row>
    <row r="942">
      <c r="A942" s="20"/>
      <c r="B942" s="20"/>
      <c r="C942" s="20"/>
      <c r="D942" s="20"/>
      <c r="E942" s="20"/>
      <c r="F942" s="21"/>
      <c r="G942" s="45"/>
      <c r="H942" s="20"/>
      <c r="I942" s="20"/>
      <c r="J942" s="20"/>
      <c r="K942" s="20"/>
      <c r="L942" s="21"/>
      <c r="M942" s="33" t="str">
        <f>IFERROR(__xludf.DUMMYFUNCTION("IFS(W942=""Achat"",IFERROR(VALUE(X942),VALUE(REGEXREPLACE(T(X942),""[^0-9]"",""""))),W942=""Vente"",-IFERROR(VALUE(X942),VALUE(REGEXREPLACE(T(X942),""[^0-9]"",""""))),Y942=""Change"",0,Y942&lt;&gt;""Change"","""")"),"")</f>
        <v/>
      </c>
      <c r="N942" s="34" t="str">
        <f>IFERROR(__xludf.DUMMYFUNCTION("IF(Account!$F942&lt;&gt;"""", VALUE(REGEXREPLACE($I942, ""\,"", ""."")), """")"),"")</f>
        <v/>
      </c>
      <c r="O942" s="35" t="str">
        <f>IF(Account!$F942&lt;&gt;"", DATEVALUE(MID($A942,4,3) &amp; LEFT($A942,3) &amp; RIGHT($A942,4)) + TIMEVALUE($B942), "")</f>
        <v/>
      </c>
      <c r="P942" s="36" t="str">
        <f>IF(Account!$F942&lt;&gt;"", DATEVALUE(MID($C942,4,3) &amp; LEFT($C942,3) &amp; RIGHT($C942,4)), "")</f>
        <v/>
      </c>
      <c r="Q942" s="37" t="str">
        <f t="array" ref="Q942">IF($R942&lt;&gt;"",IFERROR(INDEX(ISIN!$B:$B,MATCH($R942,ISIN!$C:$C,0))),)</f>
        <v/>
      </c>
      <c r="R942" s="38" t="str">
        <f t="array" ref="R942">IF($E942&lt;&gt;"",IFERROR(INDEX(ISIN!$C:$C,MATCH($E942,ISIN!$A:$A,0)),IFERROR(INDEX($R943:$R1200,MATCH($K942,$K943:$K1200,0)))),IF(AND($Y942="change",$H942="EUR"),IF($O942=$O943,$R943,IF($O942=$O941,$R941)),IFERROR(INDEX($R943:$R1200,MATCH(SUBSTITUTE($I942,"-","",1),$K943:$K1200,0)))))</f>
        <v/>
      </c>
      <c r="S942" s="37" t="str">
        <f t="shared" si="1"/>
        <v/>
      </c>
      <c r="T942" s="39" t="str">
        <f t="shared" si="2"/>
        <v/>
      </c>
      <c r="U942" s="40" t="str">
        <f t="shared" si="3"/>
        <v/>
      </c>
      <c r="V942" s="34" t="str">
        <f t="shared" si="4"/>
        <v/>
      </c>
      <c r="W942" s="41" t="str">
        <f>IFERROR(__xludf.DUMMYFUNCTION(" IF(Account!$F942&lt;&gt;"""", SPLIT(Account!$F942, "" ""), """")"),"")</f>
        <v/>
      </c>
      <c r="X942" s="42"/>
      <c r="Y942" s="42"/>
      <c r="Z942" s="42"/>
      <c r="AA942" s="42"/>
      <c r="AB942" s="42"/>
      <c r="AC942" s="42"/>
      <c r="AD942" s="42"/>
      <c r="AE942" s="42"/>
      <c r="AF942" s="42"/>
      <c r="AG942" s="42"/>
      <c r="AH942" s="42"/>
      <c r="AI942" s="42"/>
      <c r="AJ942" s="42"/>
      <c r="AK942" s="42"/>
    </row>
    <row r="943">
      <c r="A943" s="20"/>
      <c r="B943" s="20"/>
      <c r="C943" s="20"/>
      <c r="D943" s="20"/>
      <c r="E943" s="20"/>
      <c r="F943" s="21"/>
      <c r="G943" s="20"/>
      <c r="H943" s="20"/>
      <c r="I943" s="20"/>
      <c r="J943" s="20"/>
      <c r="K943" s="20"/>
      <c r="L943" s="21"/>
      <c r="M943" s="33" t="str">
        <f>IFERROR(__xludf.DUMMYFUNCTION("IFS(W943=""Achat"",IFERROR(VALUE(X943),VALUE(REGEXREPLACE(T(X943),""[^0-9]"",""""))),W943=""Vente"",-IFERROR(VALUE(X943),VALUE(REGEXREPLACE(T(X943),""[^0-9]"",""""))),Y943=""Change"",0,Y943&lt;&gt;""Change"","""")"),"")</f>
        <v/>
      </c>
      <c r="N943" s="34" t="str">
        <f>IFERROR(__xludf.DUMMYFUNCTION("IF(Account!$F943&lt;&gt;"""", VALUE(REGEXREPLACE($I943, ""\,"", ""."")), """")"),"")</f>
        <v/>
      </c>
      <c r="O943" s="35" t="str">
        <f>IF(Account!$F943&lt;&gt;"", DATEVALUE(MID($A943,4,3) &amp; LEFT($A943,3) &amp; RIGHT($A943,4)) + TIMEVALUE($B943), "")</f>
        <v/>
      </c>
      <c r="P943" s="36" t="str">
        <f>IF(Account!$F943&lt;&gt;"", DATEVALUE(MID($C943,4,3) &amp; LEFT($C943,3) &amp; RIGHT($C943,4)), "")</f>
        <v/>
      </c>
      <c r="Q943" s="37" t="str">
        <f t="array" ref="Q943">IF($R943&lt;&gt;"",IFERROR(INDEX(ISIN!$B:$B,MATCH($R943,ISIN!$C:$C,0))),)</f>
        <v/>
      </c>
      <c r="R943" s="38" t="str">
        <f t="array" ref="R943">IF($E943&lt;&gt;"",IFERROR(INDEX(ISIN!$C:$C,MATCH($E943,ISIN!$A:$A,0)),IFERROR(INDEX($R944:$R1200,MATCH($K943,$K944:$K1200,0)))),IF(AND($Y943="change",$H943="EUR"),IF($O943=$O944,$R944,IF($O943=$O942,$R942)),IFERROR(INDEX($R944:$R1200,MATCH(SUBSTITUTE($I943,"-","",1),$K944:$K1200,0)))))</f>
        <v/>
      </c>
      <c r="S943" s="37" t="str">
        <f t="shared" si="1"/>
        <v/>
      </c>
      <c r="T943" s="39" t="str">
        <f t="shared" si="2"/>
        <v/>
      </c>
      <c r="U943" s="40" t="str">
        <f t="shared" si="3"/>
        <v/>
      </c>
      <c r="V943" s="34" t="str">
        <f t="shared" si="4"/>
        <v/>
      </c>
      <c r="W943" s="41" t="str">
        <f>IFERROR(__xludf.DUMMYFUNCTION(" IF(Account!$F943&lt;&gt;"""", SPLIT(Account!$F943, "" ""), """")"),"")</f>
        <v/>
      </c>
      <c r="X943" s="42"/>
      <c r="Y943" s="42"/>
      <c r="Z943" s="42"/>
      <c r="AA943" s="42"/>
      <c r="AB943" s="42"/>
      <c r="AC943" s="42"/>
      <c r="AD943" s="42"/>
      <c r="AE943" s="42"/>
      <c r="AF943" s="42"/>
      <c r="AG943" s="42"/>
      <c r="AH943" s="42"/>
      <c r="AI943" s="42"/>
      <c r="AJ943" s="42"/>
      <c r="AK943" s="42"/>
    </row>
    <row r="944">
      <c r="A944" s="20"/>
      <c r="B944" s="20"/>
      <c r="C944" s="20"/>
      <c r="D944" s="20"/>
      <c r="E944" s="20"/>
      <c r="F944" s="21"/>
      <c r="G944" s="45"/>
      <c r="H944" s="20"/>
      <c r="I944" s="20"/>
      <c r="J944" s="20"/>
      <c r="K944" s="20"/>
      <c r="L944" s="21"/>
      <c r="M944" s="33" t="str">
        <f>IFERROR(__xludf.DUMMYFUNCTION("IFS(W944=""Achat"",IFERROR(VALUE(X944),VALUE(REGEXREPLACE(T(X944),""[^0-9]"",""""))),W944=""Vente"",-IFERROR(VALUE(X944),VALUE(REGEXREPLACE(T(X944),""[^0-9]"",""""))),Y944=""Change"",0,Y944&lt;&gt;""Change"","""")"),"")</f>
        <v/>
      </c>
      <c r="N944" s="34" t="str">
        <f>IFERROR(__xludf.DUMMYFUNCTION("IF(Account!$F944&lt;&gt;"""", VALUE(REGEXREPLACE($I944, ""\,"", ""."")), """")"),"")</f>
        <v/>
      </c>
      <c r="O944" s="35" t="str">
        <f>IF(Account!$F944&lt;&gt;"", DATEVALUE(MID($A944,4,3) &amp; LEFT($A944,3) &amp; RIGHT($A944,4)) + TIMEVALUE($B944), "")</f>
        <v/>
      </c>
      <c r="P944" s="36" t="str">
        <f>IF(Account!$F944&lt;&gt;"", DATEVALUE(MID($C944,4,3) &amp; LEFT($C944,3) &amp; RIGHT($C944,4)), "")</f>
        <v/>
      </c>
      <c r="Q944" s="37" t="str">
        <f t="array" ref="Q944">IF($R944&lt;&gt;"",IFERROR(INDEX(ISIN!$B:$B,MATCH($R944,ISIN!$C:$C,0))),)</f>
        <v/>
      </c>
      <c r="R944" s="38" t="str">
        <f t="array" ref="R944">IF($E944&lt;&gt;"",IFERROR(INDEX(ISIN!$C:$C,MATCH($E944,ISIN!$A:$A,0)),IFERROR(INDEX($R945:$R1200,MATCH($K944,$K945:$K1200,0)))),IF(AND($Y944="change",$H944="EUR"),IF($O944=$O945,$R945,IF($O944=$O943,$R943)),IFERROR(INDEX($R945:$R1200,MATCH(SUBSTITUTE($I944,"-","",1),$K945:$K1200,0)))))</f>
        <v/>
      </c>
      <c r="S944" s="37" t="str">
        <f t="shared" si="1"/>
        <v/>
      </c>
      <c r="T944" s="39" t="str">
        <f t="shared" si="2"/>
        <v/>
      </c>
      <c r="U944" s="40" t="str">
        <f t="shared" si="3"/>
        <v/>
      </c>
      <c r="V944" s="34" t="str">
        <f t="shared" si="4"/>
        <v/>
      </c>
      <c r="W944" s="41" t="str">
        <f>IFERROR(__xludf.DUMMYFUNCTION(" IF(Account!$F944&lt;&gt;"""", SPLIT(Account!$F944, "" ""), """")"),"")</f>
        <v/>
      </c>
      <c r="X944" s="42"/>
      <c r="Y944" s="42"/>
      <c r="Z944" s="42"/>
      <c r="AA944" s="42"/>
      <c r="AB944" s="42"/>
      <c r="AC944" s="42"/>
      <c r="AD944" s="42"/>
      <c r="AE944" s="42"/>
      <c r="AF944" s="42"/>
      <c r="AG944" s="42"/>
      <c r="AH944" s="42"/>
      <c r="AI944" s="42"/>
      <c r="AJ944" s="42"/>
      <c r="AK944" s="42"/>
    </row>
    <row r="945">
      <c r="A945" s="20"/>
      <c r="B945" s="20"/>
      <c r="C945" s="20"/>
      <c r="D945" s="20"/>
      <c r="E945" s="20"/>
      <c r="F945" s="21"/>
      <c r="G945" s="20"/>
      <c r="H945" s="20"/>
      <c r="I945" s="20"/>
      <c r="J945" s="20"/>
      <c r="K945" s="20"/>
      <c r="L945" s="21"/>
      <c r="M945" s="33" t="str">
        <f>IFERROR(__xludf.DUMMYFUNCTION("IFS(W945=""Achat"",IFERROR(VALUE(X945),VALUE(REGEXREPLACE(T(X945),""[^0-9]"",""""))),W945=""Vente"",-IFERROR(VALUE(X945),VALUE(REGEXREPLACE(T(X945),""[^0-9]"",""""))),Y945=""Change"",0,Y945&lt;&gt;""Change"","""")"),"")</f>
        <v/>
      </c>
      <c r="N945" s="34" t="str">
        <f>IFERROR(__xludf.DUMMYFUNCTION("IF(Account!$F945&lt;&gt;"""", VALUE(REGEXREPLACE($I945, ""\,"", ""."")), """")"),"")</f>
        <v/>
      </c>
      <c r="O945" s="35" t="str">
        <f>IF(Account!$F945&lt;&gt;"", DATEVALUE(MID($A945,4,3) &amp; LEFT($A945,3) &amp; RIGHT($A945,4)) + TIMEVALUE($B945), "")</f>
        <v/>
      </c>
      <c r="P945" s="36" t="str">
        <f>IF(Account!$F945&lt;&gt;"", DATEVALUE(MID($C945,4,3) &amp; LEFT($C945,3) &amp; RIGHT($C945,4)), "")</f>
        <v/>
      </c>
      <c r="Q945" s="37" t="str">
        <f t="array" ref="Q945">IF($R945&lt;&gt;"",IFERROR(INDEX(ISIN!$B:$B,MATCH($R945,ISIN!$C:$C,0))),)</f>
        <v/>
      </c>
      <c r="R945" s="38" t="str">
        <f t="array" ref="R945">IF($E945&lt;&gt;"",IFERROR(INDEX(ISIN!$C:$C,MATCH($E945,ISIN!$A:$A,0)),IFERROR(INDEX($R946:$R1200,MATCH($K945,$K946:$K1200,0)))),IF(AND($Y945="change",$H945="EUR"),IF($O945=$O946,$R946,IF($O945=$O944,$R944)),IFERROR(INDEX($R946:$R1200,MATCH(SUBSTITUTE($I945,"-","",1),$K946:$K1200,0)))))</f>
        <v/>
      </c>
      <c r="S945" s="37" t="str">
        <f t="shared" si="1"/>
        <v/>
      </c>
      <c r="T945" s="39" t="str">
        <f t="shared" si="2"/>
        <v/>
      </c>
      <c r="U945" s="40" t="str">
        <f t="shared" si="3"/>
        <v/>
      </c>
      <c r="V945" s="34" t="str">
        <f t="shared" si="4"/>
        <v/>
      </c>
      <c r="W945" s="41" t="str">
        <f>IFERROR(__xludf.DUMMYFUNCTION(" IF(Account!$F945&lt;&gt;"""", SPLIT(Account!$F945, "" ""), """")"),"")</f>
        <v/>
      </c>
      <c r="X945" s="42"/>
      <c r="Y945" s="42"/>
      <c r="Z945" s="42"/>
      <c r="AA945" s="42"/>
      <c r="AB945" s="42"/>
      <c r="AC945" s="42"/>
      <c r="AD945" s="42"/>
      <c r="AE945" s="42"/>
      <c r="AF945" s="42"/>
      <c r="AG945" s="42"/>
      <c r="AH945" s="42"/>
      <c r="AI945" s="42"/>
      <c r="AJ945" s="42"/>
      <c r="AK945" s="42"/>
    </row>
    <row r="946">
      <c r="A946" s="20"/>
      <c r="B946" s="20"/>
      <c r="C946" s="20"/>
      <c r="D946" s="20"/>
      <c r="E946" s="20"/>
      <c r="F946" s="21"/>
      <c r="G946" s="45"/>
      <c r="H946" s="20"/>
      <c r="I946" s="20"/>
      <c r="J946" s="20"/>
      <c r="K946" s="20"/>
      <c r="L946" s="21"/>
      <c r="M946" s="33" t="str">
        <f>IFERROR(__xludf.DUMMYFUNCTION("IFS(W946=""Achat"",IFERROR(VALUE(X946),VALUE(REGEXREPLACE(T(X946),""[^0-9]"",""""))),W946=""Vente"",-IFERROR(VALUE(X946),VALUE(REGEXREPLACE(T(X946),""[^0-9]"",""""))),Y946=""Change"",0,Y946&lt;&gt;""Change"","""")"),"")</f>
        <v/>
      </c>
      <c r="N946" s="34" t="str">
        <f>IFERROR(__xludf.DUMMYFUNCTION("IF(Account!$F946&lt;&gt;"""", VALUE(REGEXREPLACE($I946, ""\,"", ""."")), """")"),"")</f>
        <v/>
      </c>
      <c r="O946" s="35" t="str">
        <f>IF(Account!$F946&lt;&gt;"", DATEVALUE(MID($A946,4,3) &amp; LEFT($A946,3) &amp; RIGHT($A946,4)) + TIMEVALUE($B946), "")</f>
        <v/>
      </c>
      <c r="P946" s="36" t="str">
        <f>IF(Account!$F946&lt;&gt;"", DATEVALUE(MID($C946,4,3) &amp; LEFT($C946,3) &amp; RIGHT($C946,4)), "")</f>
        <v/>
      </c>
      <c r="Q946" s="37" t="str">
        <f t="array" ref="Q946">IF($R946&lt;&gt;"",IFERROR(INDEX(ISIN!$B:$B,MATCH($R946,ISIN!$C:$C,0))),)</f>
        <v/>
      </c>
      <c r="R946" s="38" t="str">
        <f t="array" ref="R946">IF($E946&lt;&gt;"",IFERROR(INDEX(ISIN!$C:$C,MATCH($E946,ISIN!$A:$A,0)),IFERROR(INDEX($R947:$R1200,MATCH($K946,$K947:$K1200,0)))),IF(AND($Y946="change",$H946="EUR"),IF($O946=$O947,$R947,IF($O946=$O945,$R945)),IFERROR(INDEX($R947:$R1200,MATCH(SUBSTITUTE($I946,"-","",1),$K947:$K1200,0)))))</f>
        <v/>
      </c>
      <c r="S946" s="37" t="str">
        <f t="shared" si="1"/>
        <v/>
      </c>
      <c r="T946" s="39" t="str">
        <f t="shared" si="2"/>
        <v/>
      </c>
      <c r="U946" s="40" t="str">
        <f t="shared" si="3"/>
        <v/>
      </c>
      <c r="V946" s="34" t="str">
        <f t="shared" si="4"/>
        <v/>
      </c>
      <c r="W946" s="41" t="str">
        <f>IFERROR(__xludf.DUMMYFUNCTION(" IF(Account!$F946&lt;&gt;"""", SPLIT(Account!$F946, "" ""), """")"),"")</f>
        <v/>
      </c>
      <c r="X946" s="42"/>
      <c r="Y946" s="42"/>
      <c r="Z946" s="42"/>
      <c r="AA946" s="42"/>
      <c r="AB946" s="42"/>
      <c r="AC946" s="42"/>
      <c r="AD946" s="42"/>
      <c r="AE946" s="42"/>
      <c r="AF946" s="42"/>
      <c r="AG946" s="42"/>
      <c r="AH946" s="42"/>
      <c r="AI946" s="42"/>
      <c r="AJ946" s="42"/>
      <c r="AK946" s="42"/>
    </row>
    <row r="947">
      <c r="A947" s="20"/>
      <c r="B947" s="20"/>
      <c r="C947" s="20"/>
      <c r="D947" s="20"/>
      <c r="E947" s="20"/>
      <c r="F947" s="21"/>
      <c r="G947" s="20"/>
      <c r="H947" s="20"/>
      <c r="I947" s="20"/>
      <c r="J947" s="20"/>
      <c r="K947" s="20"/>
      <c r="L947" s="21"/>
      <c r="M947" s="33" t="str">
        <f>IFERROR(__xludf.DUMMYFUNCTION("IFS(W947=""Achat"",IFERROR(VALUE(X947),VALUE(REGEXREPLACE(T(X947),""[^0-9]"",""""))),W947=""Vente"",-IFERROR(VALUE(X947),VALUE(REGEXREPLACE(T(X947),""[^0-9]"",""""))),Y947=""Change"",0,Y947&lt;&gt;""Change"","""")"),"")</f>
        <v/>
      </c>
      <c r="N947" s="34" t="str">
        <f>IFERROR(__xludf.DUMMYFUNCTION("IF(Account!$F947&lt;&gt;"""", VALUE(REGEXREPLACE($I947, ""\,"", ""."")), """")"),"")</f>
        <v/>
      </c>
      <c r="O947" s="35" t="str">
        <f>IF(Account!$F947&lt;&gt;"", DATEVALUE(MID($A947,4,3) &amp; LEFT($A947,3) &amp; RIGHT($A947,4)) + TIMEVALUE($B947), "")</f>
        <v/>
      </c>
      <c r="P947" s="36" t="str">
        <f>IF(Account!$F947&lt;&gt;"", DATEVALUE(MID($C947,4,3) &amp; LEFT($C947,3) &amp; RIGHT($C947,4)), "")</f>
        <v/>
      </c>
      <c r="Q947" s="37" t="str">
        <f t="array" ref="Q947">IF($R947&lt;&gt;"",IFERROR(INDEX(ISIN!$B:$B,MATCH($R947,ISIN!$C:$C,0))),)</f>
        <v/>
      </c>
      <c r="R947" s="38" t="str">
        <f t="array" ref="R947">IF($E947&lt;&gt;"",IFERROR(INDEX(ISIN!$C:$C,MATCH($E947,ISIN!$A:$A,0)),IFERROR(INDEX($R948:$R1200,MATCH($K947,$K948:$K1200,0)))),IF(AND($Y947="change",$H947="EUR"),IF($O947=$O948,$R948,IF($O947=$O946,$R946)),IFERROR(INDEX($R948:$R1200,MATCH(SUBSTITUTE($I947,"-","",1),$K948:$K1200,0)))))</f>
        <v/>
      </c>
      <c r="S947" s="37" t="str">
        <f t="shared" si="1"/>
        <v/>
      </c>
      <c r="T947" s="39" t="str">
        <f t="shared" si="2"/>
        <v/>
      </c>
      <c r="U947" s="40" t="str">
        <f t="shared" si="3"/>
        <v/>
      </c>
      <c r="V947" s="34" t="str">
        <f t="shared" si="4"/>
        <v/>
      </c>
      <c r="W947" s="41" t="str">
        <f>IFERROR(__xludf.DUMMYFUNCTION(" IF(Account!$F947&lt;&gt;"""", SPLIT(Account!$F947, "" ""), """")"),"")</f>
        <v/>
      </c>
      <c r="X947" s="42"/>
      <c r="Y947" s="42"/>
      <c r="Z947" s="42"/>
      <c r="AA947" s="42"/>
      <c r="AB947" s="42"/>
      <c r="AC947" s="42"/>
      <c r="AD947" s="42"/>
      <c r="AE947" s="42"/>
      <c r="AF947" s="42"/>
      <c r="AG947" s="42"/>
      <c r="AH947" s="42"/>
      <c r="AI947" s="42"/>
      <c r="AJ947" s="42"/>
      <c r="AK947" s="42"/>
    </row>
    <row r="948">
      <c r="A948" s="20"/>
      <c r="B948" s="20"/>
      <c r="C948" s="20"/>
      <c r="D948" s="20"/>
      <c r="E948" s="20"/>
      <c r="F948" s="21"/>
      <c r="G948" s="45"/>
      <c r="H948" s="20"/>
      <c r="I948" s="20"/>
      <c r="J948" s="20"/>
      <c r="K948" s="20"/>
      <c r="L948" s="21"/>
      <c r="M948" s="33" t="str">
        <f>IFERROR(__xludf.DUMMYFUNCTION("IFS(W948=""Achat"",IFERROR(VALUE(X948),VALUE(REGEXREPLACE(T(X948),""[^0-9]"",""""))),W948=""Vente"",-IFERROR(VALUE(X948),VALUE(REGEXREPLACE(T(X948),""[^0-9]"",""""))),Y948=""Change"",0,Y948&lt;&gt;""Change"","""")"),"")</f>
        <v/>
      </c>
      <c r="N948" s="34" t="str">
        <f>IFERROR(__xludf.DUMMYFUNCTION("IF(Account!$F948&lt;&gt;"""", VALUE(REGEXREPLACE($I948, ""\,"", ""."")), """")"),"")</f>
        <v/>
      </c>
      <c r="O948" s="35" t="str">
        <f>IF(Account!$F948&lt;&gt;"", DATEVALUE(MID($A948,4,3) &amp; LEFT($A948,3) &amp; RIGHT($A948,4)) + TIMEVALUE($B948), "")</f>
        <v/>
      </c>
      <c r="P948" s="36" t="str">
        <f>IF(Account!$F948&lt;&gt;"", DATEVALUE(MID($C948,4,3) &amp; LEFT($C948,3) &amp; RIGHT($C948,4)), "")</f>
        <v/>
      </c>
      <c r="Q948" s="37" t="str">
        <f t="array" ref="Q948">IF($R948&lt;&gt;"",IFERROR(INDEX(ISIN!$B:$B,MATCH($R948,ISIN!$C:$C,0))),)</f>
        <v/>
      </c>
      <c r="R948" s="38" t="str">
        <f t="array" ref="R948">IF($E948&lt;&gt;"",IFERROR(INDEX(ISIN!$C:$C,MATCH($E948,ISIN!$A:$A,0)),IFERROR(INDEX($R949:$R1200,MATCH($K948,$K949:$K1200,0)))),IF(AND($Y948="change",$H948="EUR"),IF($O948=$O949,$R949,IF($O948=$O947,$R947)),IFERROR(INDEX($R949:$R1200,MATCH(SUBSTITUTE($I948,"-","",1),$K949:$K1200,0)))))</f>
        <v/>
      </c>
      <c r="S948" s="37" t="str">
        <f t="shared" si="1"/>
        <v/>
      </c>
      <c r="T948" s="39" t="str">
        <f t="shared" si="2"/>
        <v/>
      </c>
      <c r="U948" s="40" t="str">
        <f t="shared" si="3"/>
        <v/>
      </c>
      <c r="V948" s="34" t="str">
        <f t="shared" si="4"/>
        <v/>
      </c>
      <c r="W948" s="41" t="str">
        <f>IFERROR(__xludf.DUMMYFUNCTION(" IF(Account!$F948&lt;&gt;"""", SPLIT(Account!$F948, "" ""), """")"),"")</f>
        <v/>
      </c>
      <c r="X948" s="42"/>
      <c r="Y948" s="42"/>
      <c r="Z948" s="42"/>
      <c r="AA948" s="42"/>
      <c r="AB948" s="42"/>
      <c r="AC948" s="42"/>
      <c r="AD948" s="42"/>
      <c r="AE948" s="42"/>
      <c r="AF948" s="42"/>
      <c r="AG948" s="42"/>
      <c r="AH948" s="42"/>
      <c r="AI948" s="42"/>
      <c r="AJ948" s="42"/>
      <c r="AK948" s="42"/>
    </row>
    <row r="949">
      <c r="A949" s="20"/>
      <c r="B949" s="20"/>
      <c r="C949" s="20"/>
      <c r="D949" s="20"/>
      <c r="E949" s="20"/>
      <c r="F949" s="21"/>
      <c r="G949" s="20"/>
      <c r="H949" s="20"/>
      <c r="I949" s="20"/>
      <c r="J949" s="20"/>
      <c r="K949" s="20"/>
      <c r="L949" s="21"/>
      <c r="M949" s="33" t="str">
        <f>IFERROR(__xludf.DUMMYFUNCTION("IFS(W949=""Achat"",IFERROR(VALUE(X949),VALUE(REGEXREPLACE(T(X949),""[^0-9]"",""""))),W949=""Vente"",-IFERROR(VALUE(X949),VALUE(REGEXREPLACE(T(X949),""[^0-9]"",""""))),Y949=""Change"",0,Y949&lt;&gt;""Change"","""")"),"")</f>
        <v/>
      </c>
      <c r="N949" s="34" t="str">
        <f>IFERROR(__xludf.DUMMYFUNCTION("IF(Account!$F949&lt;&gt;"""", VALUE(REGEXREPLACE($I949, ""\,"", ""."")), """")"),"")</f>
        <v/>
      </c>
      <c r="O949" s="35" t="str">
        <f>IF(Account!$F949&lt;&gt;"", DATEVALUE(MID($A949,4,3) &amp; LEFT($A949,3) &amp; RIGHT($A949,4)) + TIMEVALUE($B949), "")</f>
        <v/>
      </c>
      <c r="P949" s="36" t="str">
        <f>IF(Account!$F949&lt;&gt;"", DATEVALUE(MID($C949,4,3) &amp; LEFT($C949,3) &amp; RIGHT($C949,4)), "")</f>
        <v/>
      </c>
      <c r="Q949" s="37" t="str">
        <f t="array" ref="Q949">IF($R949&lt;&gt;"",IFERROR(INDEX(ISIN!$B:$B,MATCH($R949,ISIN!$C:$C,0))),)</f>
        <v/>
      </c>
      <c r="R949" s="38" t="str">
        <f t="array" ref="R949">IF($E949&lt;&gt;"",IFERROR(INDEX(ISIN!$C:$C,MATCH($E949,ISIN!$A:$A,0)),IFERROR(INDEX($R950:$R1200,MATCH($K949,$K950:$K1200,0)))),IF(AND($Y949="change",$H949="EUR"),IF($O949=$O950,$R950,IF($O949=$O948,$R948)),IFERROR(INDEX($R950:$R1200,MATCH(SUBSTITUTE($I949,"-","",1),$K950:$K1200,0)))))</f>
        <v/>
      </c>
      <c r="S949" s="37" t="str">
        <f t="shared" si="1"/>
        <v/>
      </c>
      <c r="T949" s="39" t="str">
        <f t="shared" si="2"/>
        <v/>
      </c>
      <c r="U949" s="40" t="str">
        <f t="shared" si="3"/>
        <v/>
      </c>
      <c r="V949" s="34" t="str">
        <f t="shared" si="4"/>
        <v/>
      </c>
      <c r="W949" s="41" t="str">
        <f>IFERROR(__xludf.DUMMYFUNCTION(" IF(Account!$F949&lt;&gt;"""", SPLIT(Account!$F949, "" ""), """")"),"")</f>
        <v/>
      </c>
      <c r="X949" s="42"/>
      <c r="Y949" s="42"/>
      <c r="Z949" s="42"/>
      <c r="AA949" s="42"/>
      <c r="AB949" s="42"/>
      <c r="AC949" s="42"/>
      <c r="AD949" s="42"/>
      <c r="AE949" s="42"/>
      <c r="AF949" s="42"/>
      <c r="AG949" s="42"/>
      <c r="AH949" s="42"/>
      <c r="AI949" s="42"/>
      <c r="AJ949" s="42"/>
      <c r="AK949" s="42"/>
    </row>
    <row r="950">
      <c r="A950" s="20"/>
      <c r="B950" s="20"/>
      <c r="C950" s="20"/>
      <c r="D950" s="20"/>
      <c r="E950" s="20"/>
      <c r="F950" s="21"/>
      <c r="G950" s="45"/>
      <c r="H950" s="20"/>
      <c r="I950" s="20"/>
      <c r="J950" s="20"/>
      <c r="K950" s="20"/>
      <c r="L950" s="21"/>
      <c r="M950" s="33" t="str">
        <f>IFERROR(__xludf.DUMMYFUNCTION("IFS(W950=""Achat"",IFERROR(VALUE(X950),VALUE(REGEXREPLACE(T(X950),""[^0-9]"",""""))),W950=""Vente"",-IFERROR(VALUE(X950),VALUE(REGEXREPLACE(T(X950),""[^0-9]"",""""))),Y950=""Change"",0,Y950&lt;&gt;""Change"","""")"),"")</f>
        <v/>
      </c>
      <c r="N950" s="34" t="str">
        <f>IFERROR(__xludf.DUMMYFUNCTION("IF(Account!$F950&lt;&gt;"""", VALUE(REGEXREPLACE($I950, ""\,"", ""."")), """")"),"")</f>
        <v/>
      </c>
      <c r="O950" s="35" t="str">
        <f>IF(Account!$F950&lt;&gt;"", DATEVALUE(MID($A950,4,3) &amp; LEFT($A950,3) &amp; RIGHT($A950,4)) + TIMEVALUE($B950), "")</f>
        <v/>
      </c>
      <c r="P950" s="36" t="str">
        <f>IF(Account!$F950&lt;&gt;"", DATEVALUE(MID($C950,4,3) &amp; LEFT($C950,3) &amp; RIGHT($C950,4)), "")</f>
        <v/>
      </c>
      <c r="Q950" s="37" t="str">
        <f t="array" ref="Q950">IF($R950&lt;&gt;"",IFERROR(INDEX(ISIN!$B:$B,MATCH($R950,ISIN!$C:$C,0))),)</f>
        <v/>
      </c>
      <c r="R950" s="38" t="str">
        <f t="array" ref="R950">IF($E950&lt;&gt;"",IFERROR(INDEX(ISIN!$C:$C,MATCH($E950,ISIN!$A:$A,0)),IFERROR(INDEX($R951:$R1200,MATCH($K950,$K951:$K1200,0)))),IF(AND($Y950="change",$H950="EUR"),IF($O950=$O951,$R951,IF($O950=$O949,$R949)),IFERROR(INDEX($R951:$R1200,MATCH(SUBSTITUTE($I950,"-","",1),$K951:$K1200,0)))))</f>
        <v/>
      </c>
      <c r="S950" s="37" t="str">
        <f t="shared" si="1"/>
        <v/>
      </c>
      <c r="T950" s="39" t="str">
        <f t="shared" si="2"/>
        <v/>
      </c>
      <c r="U950" s="40" t="str">
        <f t="shared" si="3"/>
        <v/>
      </c>
      <c r="V950" s="34" t="str">
        <f t="shared" si="4"/>
        <v/>
      </c>
      <c r="W950" s="41" t="str">
        <f>IFERROR(__xludf.DUMMYFUNCTION(" IF(Account!$F950&lt;&gt;"""", SPLIT(Account!$F950, "" ""), """")"),"")</f>
        <v/>
      </c>
      <c r="X950" s="42"/>
      <c r="Y950" s="42"/>
      <c r="Z950" s="42"/>
      <c r="AA950" s="42"/>
      <c r="AB950" s="42"/>
      <c r="AC950" s="42"/>
      <c r="AD950" s="42"/>
      <c r="AE950" s="42"/>
      <c r="AF950" s="42"/>
      <c r="AG950" s="42"/>
      <c r="AH950" s="42"/>
      <c r="AI950" s="42"/>
      <c r="AJ950" s="42"/>
      <c r="AK950" s="42"/>
    </row>
    <row r="951">
      <c r="A951" s="20"/>
      <c r="B951" s="20"/>
      <c r="C951" s="20"/>
      <c r="D951" s="20"/>
      <c r="E951" s="20"/>
      <c r="F951" s="21"/>
      <c r="G951" s="20"/>
      <c r="H951" s="20"/>
      <c r="I951" s="20"/>
      <c r="J951" s="20"/>
      <c r="K951" s="20"/>
      <c r="L951" s="21"/>
      <c r="M951" s="33" t="str">
        <f>IFERROR(__xludf.DUMMYFUNCTION("IFS(W951=""Achat"",IFERROR(VALUE(X951),VALUE(REGEXREPLACE(T(X951),""[^0-9]"",""""))),W951=""Vente"",-IFERROR(VALUE(X951),VALUE(REGEXREPLACE(T(X951),""[^0-9]"",""""))),Y951=""Change"",0,Y951&lt;&gt;""Change"","""")"),"")</f>
        <v/>
      </c>
      <c r="N951" s="34" t="str">
        <f>IFERROR(__xludf.DUMMYFUNCTION("IF(Account!$F951&lt;&gt;"""", VALUE(REGEXREPLACE($I951, ""\,"", ""."")), """")"),"")</f>
        <v/>
      </c>
      <c r="O951" s="35" t="str">
        <f>IF(Account!$F951&lt;&gt;"", DATEVALUE(MID($A951,4,3) &amp; LEFT($A951,3) &amp; RIGHT($A951,4)) + TIMEVALUE($B951), "")</f>
        <v/>
      </c>
      <c r="P951" s="36" t="str">
        <f>IF(Account!$F951&lt;&gt;"", DATEVALUE(MID($C951,4,3) &amp; LEFT($C951,3) &amp; RIGHT($C951,4)), "")</f>
        <v/>
      </c>
      <c r="Q951" s="37" t="str">
        <f t="array" ref="Q951">IF($R951&lt;&gt;"",IFERROR(INDEX(ISIN!$B:$B,MATCH($R951,ISIN!$C:$C,0))),)</f>
        <v/>
      </c>
      <c r="R951" s="38" t="str">
        <f t="array" ref="R951">IF($E951&lt;&gt;"",IFERROR(INDEX(ISIN!$C:$C,MATCH($E951,ISIN!$A:$A,0)),IFERROR(INDEX($R952:$R1200,MATCH($K951,$K952:$K1200,0)))),IF(AND($Y951="change",$H951="EUR"),IF($O951=$O952,$R952,IF($O951=$O950,$R950)),IFERROR(INDEX($R952:$R1200,MATCH(SUBSTITUTE($I951,"-","",1),$K952:$K1200,0)))))</f>
        <v/>
      </c>
      <c r="S951" s="37" t="str">
        <f t="shared" si="1"/>
        <v/>
      </c>
      <c r="T951" s="39" t="str">
        <f t="shared" si="2"/>
        <v/>
      </c>
      <c r="U951" s="40" t="str">
        <f t="shared" si="3"/>
        <v/>
      </c>
      <c r="V951" s="34" t="str">
        <f t="shared" si="4"/>
        <v/>
      </c>
      <c r="W951" s="41" t="str">
        <f>IFERROR(__xludf.DUMMYFUNCTION(" IF(Account!$F951&lt;&gt;"""", SPLIT(Account!$F951, "" ""), """")"),"")</f>
        <v/>
      </c>
      <c r="X951" s="42"/>
      <c r="Y951" s="42"/>
      <c r="Z951" s="42"/>
      <c r="AA951" s="42"/>
      <c r="AB951" s="42"/>
      <c r="AC951" s="42"/>
      <c r="AD951" s="42"/>
      <c r="AE951" s="42"/>
      <c r="AF951" s="42"/>
      <c r="AG951" s="42"/>
      <c r="AH951" s="42"/>
      <c r="AI951" s="42"/>
      <c r="AJ951" s="42"/>
      <c r="AK951" s="42"/>
    </row>
    <row r="952">
      <c r="A952" s="20"/>
      <c r="B952" s="20"/>
      <c r="C952" s="20"/>
      <c r="D952" s="20"/>
      <c r="E952" s="20"/>
      <c r="F952" s="21"/>
      <c r="G952" s="45"/>
      <c r="H952" s="20"/>
      <c r="I952" s="20"/>
      <c r="J952" s="20"/>
      <c r="K952" s="20"/>
      <c r="L952" s="21"/>
      <c r="M952" s="33" t="str">
        <f>IFERROR(__xludf.DUMMYFUNCTION("IFS(W952=""Achat"",IFERROR(VALUE(X952),VALUE(REGEXREPLACE(T(X952),""[^0-9]"",""""))),W952=""Vente"",-IFERROR(VALUE(X952),VALUE(REGEXREPLACE(T(X952),""[^0-9]"",""""))),Y952=""Change"",0,Y952&lt;&gt;""Change"","""")"),"")</f>
        <v/>
      </c>
      <c r="N952" s="34" t="str">
        <f>IFERROR(__xludf.DUMMYFUNCTION("IF(Account!$F952&lt;&gt;"""", VALUE(REGEXREPLACE($I952, ""\,"", ""."")), """")"),"")</f>
        <v/>
      </c>
      <c r="O952" s="35" t="str">
        <f>IF(Account!$F952&lt;&gt;"", DATEVALUE(MID($A952,4,3) &amp; LEFT($A952,3) &amp; RIGHT($A952,4)) + TIMEVALUE($B952), "")</f>
        <v/>
      </c>
      <c r="P952" s="36" t="str">
        <f>IF(Account!$F952&lt;&gt;"", DATEVALUE(MID($C952,4,3) &amp; LEFT($C952,3) &amp; RIGHT($C952,4)), "")</f>
        <v/>
      </c>
      <c r="Q952" s="37" t="str">
        <f t="array" ref="Q952">IF($R952&lt;&gt;"",IFERROR(INDEX(ISIN!$B:$B,MATCH($R952,ISIN!$C:$C,0))),)</f>
        <v/>
      </c>
      <c r="R952" s="38" t="str">
        <f t="array" ref="R952">IF($E952&lt;&gt;"",IFERROR(INDEX(ISIN!$C:$C,MATCH($E952,ISIN!$A:$A,0)),IFERROR(INDEX($R953:$R1200,MATCH($K952,$K953:$K1200,0)))),IF(AND($Y952="change",$H952="EUR"),IF($O952=$O953,$R953,IF($O952=$O951,$R951)),IFERROR(INDEX($R953:$R1200,MATCH(SUBSTITUTE($I952,"-","",1),$K953:$K1200,0)))))</f>
        <v/>
      </c>
      <c r="S952" s="37" t="str">
        <f t="shared" si="1"/>
        <v/>
      </c>
      <c r="T952" s="39" t="str">
        <f t="shared" si="2"/>
        <v/>
      </c>
      <c r="U952" s="40" t="str">
        <f t="shared" si="3"/>
        <v/>
      </c>
      <c r="V952" s="34" t="str">
        <f t="shared" si="4"/>
        <v/>
      </c>
      <c r="W952" s="41" t="str">
        <f>IFERROR(__xludf.DUMMYFUNCTION(" IF(Account!$F952&lt;&gt;"""", SPLIT(Account!$F952, "" ""), """")"),"")</f>
        <v/>
      </c>
      <c r="X952" s="42"/>
      <c r="Y952" s="42"/>
      <c r="Z952" s="42"/>
      <c r="AA952" s="42"/>
      <c r="AB952" s="42"/>
      <c r="AC952" s="42"/>
      <c r="AD952" s="42"/>
      <c r="AE952" s="42"/>
      <c r="AF952" s="42"/>
      <c r="AG952" s="42"/>
      <c r="AH952" s="42"/>
      <c r="AI952" s="42"/>
      <c r="AJ952" s="42"/>
      <c r="AK952" s="42"/>
    </row>
    <row r="953">
      <c r="A953" s="20"/>
      <c r="B953" s="20"/>
      <c r="C953" s="20"/>
      <c r="D953" s="20"/>
      <c r="E953" s="20"/>
      <c r="F953" s="21"/>
      <c r="G953" s="20"/>
      <c r="H953" s="20"/>
      <c r="I953" s="20"/>
      <c r="J953" s="20"/>
      <c r="K953" s="20"/>
      <c r="L953" s="21"/>
      <c r="M953" s="33" t="str">
        <f>IFERROR(__xludf.DUMMYFUNCTION("IFS(W953=""Achat"",IFERROR(VALUE(X953),VALUE(REGEXREPLACE(T(X953),""[^0-9]"",""""))),W953=""Vente"",-IFERROR(VALUE(X953),VALUE(REGEXREPLACE(T(X953),""[^0-9]"",""""))),Y953=""Change"",0,Y953&lt;&gt;""Change"","""")"),"")</f>
        <v/>
      </c>
      <c r="N953" s="34" t="str">
        <f>IFERROR(__xludf.DUMMYFUNCTION("IF(Account!$F953&lt;&gt;"""", VALUE(REGEXREPLACE($I953, ""\,"", ""."")), """")"),"")</f>
        <v/>
      </c>
      <c r="O953" s="35" t="str">
        <f>IF(Account!$F953&lt;&gt;"", DATEVALUE(MID($A953,4,3) &amp; LEFT($A953,3) &amp; RIGHT($A953,4)) + TIMEVALUE($B953), "")</f>
        <v/>
      </c>
      <c r="P953" s="36" t="str">
        <f>IF(Account!$F953&lt;&gt;"", DATEVALUE(MID($C953,4,3) &amp; LEFT($C953,3) &amp; RIGHT($C953,4)), "")</f>
        <v/>
      </c>
      <c r="Q953" s="37" t="str">
        <f t="array" ref="Q953">IF($R953&lt;&gt;"",IFERROR(INDEX(ISIN!$B:$B,MATCH($R953,ISIN!$C:$C,0))),)</f>
        <v/>
      </c>
      <c r="R953" s="38" t="str">
        <f t="array" ref="R953">IF($E953&lt;&gt;"",IFERROR(INDEX(ISIN!$C:$C,MATCH($E953,ISIN!$A:$A,0)),IFERROR(INDEX($R954:$R1200,MATCH($K953,$K954:$K1200,0)))),IF(AND($Y953="change",$H953="EUR"),IF($O953=$O954,$R954,IF($O953=$O952,$R952)),IFERROR(INDEX($R954:$R1200,MATCH(SUBSTITUTE($I953,"-","",1),$K954:$K1200,0)))))</f>
        <v/>
      </c>
      <c r="S953" s="37" t="str">
        <f t="shared" si="1"/>
        <v/>
      </c>
      <c r="T953" s="39" t="str">
        <f t="shared" si="2"/>
        <v/>
      </c>
      <c r="U953" s="40" t="str">
        <f t="shared" si="3"/>
        <v/>
      </c>
      <c r="V953" s="34" t="str">
        <f t="shared" si="4"/>
        <v/>
      </c>
      <c r="W953" s="41" t="str">
        <f>IFERROR(__xludf.DUMMYFUNCTION(" IF(Account!$F953&lt;&gt;"""", SPLIT(Account!$F953, "" ""), """")"),"")</f>
        <v/>
      </c>
      <c r="X953" s="42"/>
      <c r="Y953" s="42"/>
      <c r="Z953" s="42"/>
      <c r="AA953" s="42"/>
      <c r="AB953" s="42"/>
      <c r="AC953" s="42"/>
      <c r="AD953" s="42"/>
      <c r="AE953" s="42"/>
      <c r="AF953" s="42"/>
      <c r="AG953" s="42"/>
      <c r="AH953" s="42"/>
      <c r="AI953" s="42"/>
      <c r="AJ953" s="42"/>
      <c r="AK953" s="42"/>
    </row>
    <row r="954">
      <c r="A954" s="20"/>
      <c r="B954" s="20"/>
      <c r="C954" s="20"/>
      <c r="D954" s="20"/>
      <c r="E954" s="20"/>
      <c r="F954" s="21"/>
      <c r="G954" s="45"/>
      <c r="H954" s="20"/>
      <c r="I954" s="20"/>
      <c r="J954" s="20"/>
      <c r="K954" s="20"/>
      <c r="L954" s="21"/>
      <c r="M954" s="33" t="str">
        <f>IFERROR(__xludf.DUMMYFUNCTION("IFS(W954=""Achat"",IFERROR(VALUE(X954),VALUE(REGEXREPLACE(T(X954),""[^0-9]"",""""))),W954=""Vente"",-IFERROR(VALUE(X954),VALUE(REGEXREPLACE(T(X954),""[^0-9]"",""""))),Y954=""Change"",0,Y954&lt;&gt;""Change"","""")"),"")</f>
        <v/>
      </c>
      <c r="N954" s="34" t="str">
        <f>IFERROR(__xludf.DUMMYFUNCTION("IF(Account!$F954&lt;&gt;"""", VALUE(REGEXREPLACE($I954, ""\,"", ""."")), """")"),"")</f>
        <v/>
      </c>
      <c r="O954" s="35" t="str">
        <f>IF(Account!$F954&lt;&gt;"", DATEVALUE(MID($A954,4,3) &amp; LEFT($A954,3) &amp; RIGHT($A954,4)) + TIMEVALUE($B954), "")</f>
        <v/>
      </c>
      <c r="P954" s="36" t="str">
        <f>IF(Account!$F954&lt;&gt;"", DATEVALUE(MID($C954,4,3) &amp; LEFT($C954,3) &amp; RIGHT($C954,4)), "")</f>
        <v/>
      </c>
      <c r="Q954" s="37" t="str">
        <f t="array" ref="Q954">IF($R954&lt;&gt;"",IFERROR(INDEX(ISIN!$B:$B,MATCH($R954,ISIN!$C:$C,0))),)</f>
        <v/>
      </c>
      <c r="R954" s="38" t="str">
        <f t="array" ref="R954">IF($E954&lt;&gt;"",IFERROR(INDEX(ISIN!$C:$C,MATCH($E954,ISIN!$A:$A,0)),IFERROR(INDEX($R955:$R1200,MATCH($K954,$K955:$K1200,0)))),IF(AND($Y954="change",$H954="EUR"),IF($O954=$O955,$R955,IF($O954=$O953,$R953)),IFERROR(INDEX($R955:$R1200,MATCH(SUBSTITUTE($I954,"-","",1),$K955:$K1200,0)))))</f>
        <v/>
      </c>
      <c r="S954" s="37" t="str">
        <f t="shared" si="1"/>
        <v/>
      </c>
      <c r="T954" s="39" t="str">
        <f t="shared" si="2"/>
        <v/>
      </c>
      <c r="U954" s="40" t="str">
        <f t="shared" si="3"/>
        <v/>
      </c>
      <c r="V954" s="34" t="str">
        <f t="shared" si="4"/>
        <v/>
      </c>
      <c r="W954" s="41" t="str">
        <f>IFERROR(__xludf.DUMMYFUNCTION(" IF(Account!$F954&lt;&gt;"""", SPLIT(Account!$F954, "" ""), """")"),"")</f>
        <v/>
      </c>
      <c r="X954" s="42"/>
      <c r="Y954" s="42"/>
      <c r="Z954" s="42"/>
      <c r="AA954" s="42"/>
      <c r="AB954" s="42"/>
      <c r="AC954" s="42"/>
      <c r="AD954" s="42"/>
      <c r="AE954" s="42"/>
      <c r="AF954" s="42"/>
      <c r="AG954" s="42"/>
      <c r="AH954" s="42"/>
      <c r="AI954" s="42"/>
      <c r="AJ954" s="42"/>
      <c r="AK954" s="42"/>
    </row>
    <row r="955">
      <c r="A955" s="20"/>
      <c r="B955" s="20"/>
      <c r="C955" s="20"/>
      <c r="D955" s="20"/>
      <c r="E955" s="20"/>
      <c r="F955" s="21"/>
      <c r="G955" s="20"/>
      <c r="H955" s="20"/>
      <c r="I955" s="20"/>
      <c r="J955" s="20"/>
      <c r="K955" s="20"/>
      <c r="L955" s="21"/>
      <c r="M955" s="33" t="str">
        <f>IFERROR(__xludf.DUMMYFUNCTION("IFS(W955=""Achat"",IFERROR(VALUE(X955),VALUE(REGEXREPLACE(T(X955),""[^0-9]"",""""))),W955=""Vente"",-IFERROR(VALUE(X955),VALUE(REGEXREPLACE(T(X955),""[^0-9]"",""""))),Y955=""Change"",0,Y955&lt;&gt;""Change"","""")"),"")</f>
        <v/>
      </c>
      <c r="N955" s="34" t="str">
        <f>IFERROR(__xludf.DUMMYFUNCTION("IF(Account!$F955&lt;&gt;"""", VALUE(REGEXREPLACE($I955, ""\,"", ""."")), """")"),"")</f>
        <v/>
      </c>
      <c r="O955" s="35" t="str">
        <f>IF(Account!$F955&lt;&gt;"", DATEVALUE(MID($A955,4,3) &amp; LEFT($A955,3) &amp; RIGHT($A955,4)) + TIMEVALUE($B955), "")</f>
        <v/>
      </c>
      <c r="P955" s="36" t="str">
        <f>IF(Account!$F955&lt;&gt;"", DATEVALUE(MID($C955,4,3) &amp; LEFT($C955,3) &amp; RIGHT($C955,4)), "")</f>
        <v/>
      </c>
      <c r="Q955" s="37" t="str">
        <f t="array" ref="Q955">IF($R955&lt;&gt;"",IFERROR(INDEX(ISIN!$B:$B,MATCH($R955,ISIN!$C:$C,0))),)</f>
        <v/>
      </c>
      <c r="R955" s="38" t="str">
        <f t="array" ref="R955">IF($E955&lt;&gt;"",IFERROR(INDEX(ISIN!$C:$C,MATCH($E955,ISIN!$A:$A,0)),IFERROR(INDEX($R956:$R1200,MATCH($K955,$K956:$K1200,0)))),IF(AND($Y955="change",$H955="EUR"),IF($O955=$O956,$R956,IF($O955=$O954,$R954)),IFERROR(INDEX($R956:$R1200,MATCH(SUBSTITUTE($I955,"-","",1),$K956:$K1200,0)))))</f>
        <v/>
      </c>
      <c r="S955" s="37" t="str">
        <f t="shared" si="1"/>
        <v/>
      </c>
      <c r="T955" s="39" t="str">
        <f t="shared" si="2"/>
        <v/>
      </c>
      <c r="U955" s="40" t="str">
        <f t="shared" si="3"/>
        <v/>
      </c>
      <c r="V955" s="34" t="str">
        <f t="shared" si="4"/>
        <v/>
      </c>
      <c r="W955" s="41" t="str">
        <f>IFERROR(__xludf.DUMMYFUNCTION(" IF(Account!$F955&lt;&gt;"""", SPLIT(Account!$F955, "" ""), """")"),"")</f>
        <v/>
      </c>
      <c r="X955" s="42"/>
      <c r="Y955" s="42"/>
      <c r="Z955" s="42"/>
      <c r="AA955" s="42"/>
      <c r="AB955" s="42"/>
      <c r="AC955" s="42"/>
      <c r="AD955" s="42"/>
      <c r="AE955" s="42"/>
      <c r="AF955" s="42"/>
      <c r="AG955" s="42"/>
      <c r="AH955" s="42"/>
      <c r="AI955" s="42"/>
      <c r="AJ955" s="42"/>
      <c r="AK955" s="42"/>
    </row>
    <row r="956">
      <c r="A956" s="20"/>
      <c r="B956" s="20"/>
      <c r="C956" s="20"/>
      <c r="D956" s="20"/>
      <c r="E956" s="20"/>
      <c r="F956" s="21"/>
      <c r="G956" s="45"/>
      <c r="H956" s="20"/>
      <c r="I956" s="20"/>
      <c r="J956" s="20"/>
      <c r="K956" s="20"/>
      <c r="L956" s="21"/>
      <c r="M956" s="33" t="str">
        <f>IFERROR(__xludf.DUMMYFUNCTION("IFS(W956=""Achat"",IFERROR(VALUE(X956),VALUE(REGEXREPLACE(T(X956),""[^0-9]"",""""))),W956=""Vente"",-IFERROR(VALUE(X956),VALUE(REGEXREPLACE(T(X956),""[^0-9]"",""""))),Y956=""Change"",0,Y956&lt;&gt;""Change"","""")"),"")</f>
        <v/>
      </c>
      <c r="N956" s="34" t="str">
        <f>IFERROR(__xludf.DUMMYFUNCTION("IF(Account!$F956&lt;&gt;"""", VALUE(REGEXREPLACE($I956, ""\,"", ""."")), """")"),"")</f>
        <v/>
      </c>
      <c r="O956" s="35" t="str">
        <f>IF(Account!$F956&lt;&gt;"", DATEVALUE(MID($A956,4,3) &amp; LEFT($A956,3) &amp; RIGHT($A956,4)) + TIMEVALUE($B956), "")</f>
        <v/>
      </c>
      <c r="P956" s="36" t="str">
        <f>IF(Account!$F956&lt;&gt;"", DATEVALUE(MID($C956,4,3) &amp; LEFT($C956,3) &amp; RIGHT($C956,4)), "")</f>
        <v/>
      </c>
      <c r="Q956" s="37" t="str">
        <f t="array" ref="Q956">IF($R956&lt;&gt;"",IFERROR(INDEX(ISIN!$B:$B,MATCH($R956,ISIN!$C:$C,0))),)</f>
        <v/>
      </c>
      <c r="R956" s="38" t="str">
        <f t="array" ref="R956">IF($E956&lt;&gt;"",IFERROR(INDEX(ISIN!$C:$C,MATCH($E956,ISIN!$A:$A,0)),IFERROR(INDEX($R957:$R1200,MATCH($K956,$K957:$K1200,0)))),IF(AND($Y956="change",$H956="EUR"),IF($O956=$O957,$R957,IF($O956=$O955,$R955)),IFERROR(INDEX($R957:$R1200,MATCH(SUBSTITUTE($I956,"-","",1),$K957:$K1200,0)))))</f>
        <v/>
      </c>
      <c r="S956" s="37" t="str">
        <f t="shared" si="1"/>
        <v/>
      </c>
      <c r="T956" s="39" t="str">
        <f t="shared" si="2"/>
        <v/>
      </c>
      <c r="U956" s="40" t="str">
        <f t="shared" si="3"/>
        <v/>
      </c>
      <c r="V956" s="34" t="str">
        <f t="shared" si="4"/>
        <v/>
      </c>
      <c r="W956" s="41" t="str">
        <f>IFERROR(__xludf.DUMMYFUNCTION(" IF(Account!$F956&lt;&gt;"""", SPLIT(Account!$F956, "" ""), """")"),"")</f>
        <v/>
      </c>
      <c r="X956" s="42"/>
      <c r="Y956" s="42"/>
      <c r="Z956" s="42"/>
      <c r="AA956" s="42"/>
      <c r="AB956" s="42"/>
      <c r="AC956" s="42"/>
      <c r="AD956" s="42"/>
      <c r="AE956" s="42"/>
      <c r="AF956" s="42"/>
      <c r="AG956" s="42"/>
      <c r="AH956" s="42"/>
      <c r="AI956" s="42"/>
      <c r="AJ956" s="42"/>
      <c r="AK956" s="42"/>
    </row>
    <row r="957">
      <c r="A957" s="20"/>
      <c r="B957" s="20"/>
      <c r="C957" s="20"/>
      <c r="D957" s="20"/>
      <c r="E957" s="20"/>
      <c r="F957" s="21"/>
      <c r="G957" s="20"/>
      <c r="H957" s="20"/>
      <c r="I957" s="20"/>
      <c r="J957" s="20"/>
      <c r="K957" s="20"/>
      <c r="L957" s="21"/>
      <c r="M957" s="33" t="str">
        <f>IFERROR(__xludf.DUMMYFUNCTION("IFS(W957=""Achat"",IFERROR(VALUE(X957),VALUE(REGEXREPLACE(T(X957),""[^0-9]"",""""))),W957=""Vente"",-IFERROR(VALUE(X957),VALUE(REGEXREPLACE(T(X957),""[^0-9]"",""""))),Y957=""Change"",0,Y957&lt;&gt;""Change"","""")"),"")</f>
        <v/>
      </c>
      <c r="N957" s="34" t="str">
        <f>IFERROR(__xludf.DUMMYFUNCTION("IF(Account!$F957&lt;&gt;"""", VALUE(REGEXREPLACE($I957, ""\,"", ""."")), """")"),"")</f>
        <v/>
      </c>
      <c r="O957" s="35" t="str">
        <f>IF(Account!$F957&lt;&gt;"", DATEVALUE(MID($A957,4,3) &amp; LEFT($A957,3) &amp; RIGHT($A957,4)) + TIMEVALUE($B957), "")</f>
        <v/>
      </c>
      <c r="P957" s="36" t="str">
        <f>IF(Account!$F957&lt;&gt;"", DATEVALUE(MID($C957,4,3) &amp; LEFT($C957,3) &amp; RIGHT($C957,4)), "")</f>
        <v/>
      </c>
      <c r="Q957" s="37" t="str">
        <f t="array" ref="Q957">IF($R957&lt;&gt;"",IFERROR(INDEX(ISIN!$B:$B,MATCH($R957,ISIN!$C:$C,0))),)</f>
        <v/>
      </c>
      <c r="R957" s="38" t="str">
        <f t="array" ref="R957">IF($E957&lt;&gt;"",IFERROR(INDEX(ISIN!$C:$C,MATCH($E957,ISIN!$A:$A,0)),IFERROR(INDEX($R958:$R1200,MATCH($K957,$K958:$K1200,0)))),IF(AND($Y957="change",$H957="EUR"),IF($O957=$O958,$R958,IF($O957=$O956,$R956)),IFERROR(INDEX($R958:$R1200,MATCH(SUBSTITUTE($I957,"-","",1),$K958:$K1200,0)))))</f>
        <v/>
      </c>
      <c r="S957" s="37" t="str">
        <f t="shared" si="1"/>
        <v/>
      </c>
      <c r="T957" s="39" t="str">
        <f t="shared" si="2"/>
        <v/>
      </c>
      <c r="U957" s="40" t="str">
        <f t="shared" si="3"/>
        <v/>
      </c>
      <c r="V957" s="34" t="str">
        <f t="shared" si="4"/>
        <v/>
      </c>
      <c r="W957" s="41" t="str">
        <f>IFERROR(__xludf.DUMMYFUNCTION(" IF(Account!$F957&lt;&gt;"""", SPLIT(Account!$F957, "" ""), """")"),"")</f>
        <v/>
      </c>
      <c r="X957" s="42"/>
      <c r="Y957" s="42"/>
      <c r="Z957" s="42"/>
      <c r="AA957" s="42"/>
      <c r="AB957" s="42"/>
      <c r="AC957" s="42"/>
      <c r="AD957" s="42"/>
      <c r="AE957" s="42"/>
      <c r="AF957" s="42"/>
      <c r="AG957" s="42"/>
      <c r="AH957" s="42"/>
      <c r="AI957" s="42"/>
      <c r="AJ957" s="42"/>
      <c r="AK957" s="42"/>
    </row>
    <row r="958">
      <c r="A958" s="20"/>
      <c r="B958" s="20"/>
      <c r="C958" s="20"/>
      <c r="D958" s="20"/>
      <c r="E958" s="20"/>
      <c r="F958" s="21"/>
      <c r="G958" s="45"/>
      <c r="H958" s="20"/>
      <c r="I958" s="20"/>
      <c r="J958" s="20"/>
      <c r="K958" s="20"/>
      <c r="L958" s="21"/>
      <c r="M958" s="33" t="str">
        <f>IFERROR(__xludf.DUMMYFUNCTION("IFS(W958=""Achat"",IFERROR(VALUE(X958),VALUE(REGEXREPLACE(T(X958),""[^0-9]"",""""))),W958=""Vente"",-IFERROR(VALUE(X958),VALUE(REGEXREPLACE(T(X958),""[^0-9]"",""""))),Y958=""Change"",0,Y958&lt;&gt;""Change"","""")"),"")</f>
        <v/>
      </c>
      <c r="N958" s="34" t="str">
        <f>IFERROR(__xludf.DUMMYFUNCTION("IF(Account!$F958&lt;&gt;"""", VALUE(REGEXREPLACE($I958, ""\,"", ""."")), """")"),"")</f>
        <v/>
      </c>
      <c r="O958" s="35" t="str">
        <f>IF(Account!$F958&lt;&gt;"", DATEVALUE(MID($A958,4,3) &amp; LEFT($A958,3) &amp; RIGHT($A958,4)) + TIMEVALUE($B958), "")</f>
        <v/>
      </c>
      <c r="P958" s="36" t="str">
        <f>IF(Account!$F958&lt;&gt;"", DATEVALUE(MID($C958,4,3) &amp; LEFT($C958,3) &amp; RIGHT($C958,4)), "")</f>
        <v/>
      </c>
      <c r="Q958" s="37" t="str">
        <f t="array" ref="Q958">IF($R958&lt;&gt;"",IFERROR(INDEX(ISIN!$B:$B,MATCH($R958,ISIN!$C:$C,0))),)</f>
        <v/>
      </c>
      <c r="R958" s="38" t="str">
        <f t="array" ref="R958">IF($E958&lt;&gt;"",IFERROR(INDEX(ISIN!$C:$C,MATCH($E958,ISIN!$A:$A,0)),IFERROR(INDEX($R959:$R1200,MATCH($K958,$K959:$K1200,0)))),IF(AND($Y958="change",$H958="EUR"),IF($O958=$O959,$R959,IF($O958=$O957,$R957)),IFERROR(INDEX($R959:$R1200,MATCH(SUBSTITUTE($I958,"-","",1),$K959:$K1200,0)))))</f>
        <v/>
      </c>
      <c r="S958" s="37" t="str">
        <f t="shared" si="1"/>
        <v/>
      </c>
      <c r="T958" s="39" t="str">
        <f t="shared" si="2"/>
        <v/>
      </c>
      <c r="U958" s="40" t="str">
        <f t="shared" si="3"/>
        <v/>
      </c>
      <c r="V958" s="34" t="str">
        <f t="shared" si="4"/>
        <v/>
      </c>
      <c r="W958" s="41" t="str">
        <f>IFERROR(__xludf.DUMMYFUNCTION(" IF(Account!$F958&lt;&gt;"""", SPLIT(Account!$F958, "" ""), """")"),"")</f>
        <v/>
      </c>
      <c r="X958" s="42"/>
      <c r="Y958" s="42"/>
      <c r="Z958" s="42"/>
      <c r="AA958" s="42"/>
      <c r="AB958" s="42"/>
      <c r="AC958" s="42"/>
      <c r="AD958" s="42"/>
      <c r="AE958" s="42"/>
      <c r="AF958" s="42"/>
      <c r="AG958" s="42"/>
      <c r="AH958" s="42"/>
      <c r="AI958" s="42"/>
      <c r="AJ958" s="42"/>
      <c r="AK958" s="42"/>
    </row>
    <row r="959">
      <c r="A959" s="20"/>
      <c r="B959" s="20"/>
      <c r="C959" s="20"/>
      <c r="D959" s="20"/>
      <c r="E959" s="20"/>
      <c r="F959" s="21"/>
      <c r="G959" s="20"/>
      <c r="H959" s="20"/>
      <c r="I959" s="20"/>
      <c r="J959" s="20"/>
      <c r="K959" s="20"/>
      <c r="L959" s="21"/>
      <c r="M959" s="33" t="str">
        <f>IFERROR(__xludf.DUMMYFUNCTION("IFS(W959=""Achat"",IFERROR(VALUE(X959),VALUE(REGEXREPLACE(T(X959),""[^0-9]"",""""))),W959=""Vente"",-IFERROR(VALUE(X959),VALUE(REGEXREPLACE(T(X959),""[^0-9]"",""""))),Y959=""Change"",0,Y959&lt;&gt;""Change"","""")"),"")</f>
        <v/>
      </c>
      <c r="N959" s="34" t="str">
        <f>IFERROR(__xludf.DUMMYFUNCTION("IF(Account!$F959&lt;&gt;"""", VALUE(REGEXREPLACE($I959, ""\,"", ""."")), """")"),"")</f>
        <v/>
      </c>
      <c r="O959" s="35" t="str">
        <f>IF(Account!$F959&lt;&gt;"", DATEVALUE(MID($A959,4,3) &amp; LEFT($A959,3) &amp; RIGHT($A959,4)) + TIMEVALUE($B959), "")</f>
        <v/>
      </c>
      <c r="P959" s="36" t="str">
        <f>IF(Account!$F959&lt;&gt;"", DATEVALUE(MID($C959,4,3) &amp; LEFT($C959,3) &amp; RIGHT($C959,4)), "")</f>
        <v/>
      </c>
      <c r="Q959" s="37" t="str">
        <f t="array" ref="Q959">IF($R959&lt;&gt;"",IFERROR(INDEX(ISIN!$B:$B,MATCH($R959,ISIN!$C:$C,0))),)</f>
        <v/>
      </c>
      <c r="R959" s="38" t="str">
        <f t="array" ref="R959">IF($E959&lt;&gt;"",IFERROR(INDEX(ISIN!$C:$C,MATCH($E959,ISIN!$A:$A,0)),IFERROR(INDEX($R960:$R1200,MATCH($K959,$K960:$K1200,0)))),IF(AND($Y959="change",$H959="EUR"),IF($O959=$O960,$R960,IF($O959=$O958,$R958)),IFERROR(INDEX($R960:$R1200,MATCH(SUBSTITUTE($I959,"-","",1),$K960:$K1200,0)))))</f>
        <v/>
      </c>
      <c r="S959" s="37" t="str">
        <f t="shared" si="1"/>
        <v/>
      </c>
      <c r="T959" s="39" t="str">
        <f t="shared" si="2"/>
        <v/>
      </c>
      <c r="U959" s="40" t="str">
        <f t="shared" si="3"/>
        <v/>
      </c>
      <c r="V959" s="34" t="str">
        <f t="shared" si="4"/>
        <v/>
      </c>
      <c r="W959" s="41" t="str">
        <f>IFERROR(__xludf.DUMMYFUNCTION(" IF(Account!$F959&lt;&gt;"""", SPLIT(Account!$F959, "" ""), """")"),"")</f>
        <v/>
      </c>
      <c r="X959" s="42"/>
      <c r="Y959" s="42"/>
      <c r="Z959" s="42"/>
      <c r="AA959" s="42"/>
      <c r="AB959" s="42"/>
      <c r="AC959" s="42"/>
      <c r="AD959" s="42"/>
      <c r="AE959" s="42"/>
      <c r="AF959" s="42"/>
      <c r="AG959" s="42"/>
      <c r="AH959" s="42"/>
      <c r="AI959" s="42"/>
      <c r="AJ959" s="42"/>
      <c r="AK959" s="42"/>
    </row>
    <row r="960">
      <c r="A960" s="20"/>
      <c r="B960" s="20"/>
      <c r="C960" s="20"/>
      <c r="D960" s="20"/>
      <c r="E960" s="20"/>
      <c r="F960" s="21"/>
      <c r="G960" s="45"/>
      <c r="H960" s="20"/>
      <c r="I960" s="20"/>
      <c r="J960" s="20"/>
      <c r="K960" s="20"/>
      <c r="L960" s="21"/>
      <c r="M960" s="33" t="str">
        <f>IFERROR(__xludf.DUMMYFUNCTION("IFS(W960=""Achat"",IFERROR(VALUE(X960),VALUE(REGEXREPLACE(T(X960),""[^0-9]"",""""))),W960=""Vente"",-IFERROR(VALUE(X960),VALUE(REGEXREPLACE(T(X960),""[^0-9]"",""""))),Y960=""Change"",0,Y960&lt;&gt;""Change"","""")"),"")</f>
        <v/>
      </c>
      <c r="N960" s="34" t="str">
        <f>IFERROR(__xludf.DUMMYFUNCTION("IF(Account!$F960&lt;&gt;"""", VALUE(REGEXREPLACE($I960, ""\,"", ""."")), """")"),"")</f>
        <v/>
      </c>
      <c r="O960" s="35" t="str">
        <f>IF(Account!$F960&lt;&gt;"", DATEVALUE(MID($A960,4,3) &amp; LEFT($A960,3) &amp; RIGHT($A960,4)) + TIMEVALUE($B960), "")</f>
        <v/>
      </c>
      <c r="P960" s="36" t="str">
        <f>IF(Account!$F960&lt;&gt;"", DATEVALUE(MID($C960,4,3) &amp; LEFT($C960,3) &amp; RIGHT($C960,4)), "")</f>
        <v/>
      </c>
      <c r="Q960" s="37" t="str">
        <f t="array" ref="Q960">IF($R960&lt;&gt;"",IFERROR(INDEX(ISIN!$B:$B,MATCH($R960,ISIN!$C:$C,0))),)</f>
        <v/>
      </c>
      <c r="R960" s="38" t="str">
        <f t="array" ref="R960">IF($E960&lt;&gt;"",IFERROR(INDEX(ISIN!$C:$C,MATCH($E960,ISIN!$A:$A,0)),IFERROR(INDEX($R961:$R1200,MATCH($K960,$K961:$K1200,0)))),IF(AND($Y960="change",$H960="EUR"),IF($O960=$O961,$R961,IF($O960=$O959,$R959)),IFERROR(INDEX($R961:$R1200,MATCH(SUBSTITUTE($I960,"-","",1),$K961:$K1200,0)))))</f>
        <v/>
      </c>
      <c r="S960" s="37" t="str">
        <f t="shared" si="1"/>
        <v/>
      </c>
      <c r="T960" s="39" t="str">
        <f t="shared" si="2"/>
        <v/>
      </c>
      <c r="U960" s="40" t="str">
        <f t="shared" si="3"/>
        <v/>
      </c>
      <c r="V960" s="34" t="str">
        <f t="shared" si="4"/>
        <v/>
      </c>
      <c r="W960" s="41" t="str">
        <f>IFERROR(__xludf.DUMMYFUNCTION(" IF(Account!$F960&lt;&gt;"""", SPLIT(Account!$F960, "" ""), """")"),"")</f>
        <v/>
      </c>
      <c r="X960" s="42"/>
      <c r="Y960" s="42"/>
      <c r="Z960" s="42"/>
      <c r="AA960" s="42"/>
      <c r="AB960" s="42"/>
      <c r="AC960" s="42"/>
      <c r="AD960" s="42"/>
      <c r="AE960" s="42"/>
      <c r="AF960" s="42"/>
      <c r="AG960" s="42"/>
      <c r="AH960" s="42"/>
      <c r="AI960" s="42"/>
      <c r="AJ960" s="42"/>
      <c r="AK960" s="42"/>
    </row>
    <row r="961">
      <c r="A961" s="20"/>
      <c r="B961" s="20"/>
      <c r="C961" s="20"/>
      <c r="D961" s="20"/>
      <c r="E961" s="20"/>
      <c r="F961" s="21"/>
      <c r="G961" s="45"/>
      <c r="H961" s="20"/>
      <c r="I961" s="20"/>
      <c r="J961" s="20"/>
      <c r="K961" s="20"/>
      <c r="L961" s="21"/>
      <c r="M961" s="33" t="str">
        <f>IFERROR(__xludf.DUMMYFUNCTION("IFS(W961=""Achat"",IFERROR(VALUE(X961),VALUE(REGEXREPLACE(T(X961),""[^0-9]"",""""))),W961=""Vente"",-IFERROR(VALUE(X961),VALUE(REGEXREPLACE(T(X961),""[^0-9]"",""""))),Y961=""Change"",0,Y961&lt;&gt;""Change"","""")"),"")</f>
        <v/>
      </c>
      <c r="N961" s="34" t="str">
        <f>IFERROR(__xludf.DUMMYFUNCTION("IF(Account!$F961&lt;&gt;"""", VALUE(REGEXREPLACE($I961, ""\,"", ""."")), """")"),"")</f>
        <v/>
      </c>
      <c r="O961" s="35" t="str">
        <f>IF(Account!$F961&lt;&gt;"", DATEVALUE(MID($A961,4,3) &amp; LEFT($A961,3) &amp; RIGHT($A961,4)) + TIMEVALUE($B961), "")</f>
        <v/>
      </c>
      <c r="P961" s="36" t="str">
        <f>IF(Account!$F961&lt;&gt;"", DATEVALUE(MID($C961,4,3) &amp; LEFT($C961,3) &amp; RIGHT($C961,4)), "")</f>
        <v/>
      </c>
      <c r="Q961" s="37" t="str">
        <f t="array" ref="Q961">IF($R961&lt;&gt;"",IFERROR(INDEX(ISIN!$B:$B,MATCH($R961,ISIN!$C:$C,0))),)</f>
        <v/>
      </c>
      <c r="R961" s="38" t="str">
        <f t="array" ref="R961">IF($E961&lt;&gt;"",IFERROR(INDEX(ISIN!$C:$C,MATCH($E961,ISIN!$A:$A,0)),IFERROR(INDEX($R962:$R1200,MATCH($K961,$K962:$K1200,0)))),IF(AND($Y961="change",$H961="EUR"),IF($O961=$O962,$R962,IF($O961=$O960,$R960)),IFERROR(INDEX($R962:$R1200,MATCH(SUBSTITUTE($I961,"-","",1),$K962:$K1200,0)))))</f>
        <v/>
      </c>
      <c r="S961" s="37" t="str">
        <f t="shared" si="1"/>
        <v/>
      </c>
      <c r="T961" s="39" t="str">
        <f t="shared" si="2"/>
        <v/>
      </c>
      <c r="U961" s="40" t="str">
        <f t="shared" si="3"/>
        <v/>
      </c>
      <c r="V961" s="34" t="str">
        <f t="shared" si="4"/>
        <v/>
      </c>
      <c r="W961" s="41" t="str">
        <f>IFERROR(__xludf.DUMMYFUNCTION(" IF(Account!$F961&lt;&gt;"""", SPLIT(Account!$F961, "" ""), """")"),"")</f>
        <v/>
      </c>
      <c r="X961" s="42"/>
      <c r="Y961" s="42"/>
      <c r="Z961" s="42"/>
      <c r="AA961" s="42"/>
      <c r="AB961" s="42"/>
      <c r="AC961" s="42"/>
      <c r="AD961" s="42"/>
      <c r="AE961" s="42"/>
      <c r="AF961" s="42"/>
      <c r="AG961" s="42"/>
      <c r="AH961" s="42"/>
      <c r="AI961" s="42"/>
      <c r="AJ961" s="42"/>
      <c r="AK961" s="42"/>
    </row>
    <row r="962">
      <c r="A962" s="20"/>
      <c r="B962" s="20"/>
      <c r="C962" s="20"/>
      <c r="D962" s="20"/>
      <c r="E962" s="20"/>
      <c r="F962" s="21"/>
      <c r="G962" s="45"/>
      <c r="H962" s="20"/>
      <c r="I962" s="20"/>
      <c r="J962" s="20"/>
      <c r="K962" s="20"/>
      <c r="L962" s="21"/>
      <c r="M962" s="33" t="str">
        <f>IFERROR(__xludf.DUMMYFUNCTION("IFS(W962=""Achat"",IFERROR(VALUE(X962),VALUE(REGEXREPLACE(T(X962),""[^0-9]"",""""))),W962=""Vente"",-IFERROR(VALUE(X962),VALUE(REGEXREPLACE(T(X962),""[^0-9]"",""""))),Y962=""Change"",0,Y962&lt;&gt;""Change"","""")"),"")</f>
        <v/>
      </c>
      <c r="N962" s="34" t="str">
        <f>IFERROR(__xludf.DUMMYFUNCTION("IF(Account!$F962&lt;&gt;"""", VALUE(REGEXREPLACE($I962, ""\,"", ""."")), """")"),"")</f>
        <v/>
      </c>
      <c r="O962" s="35" t="str">
        <f>IF(Account!$F962&lt;&gt;"", DATEVALUE(MID($A962,4,3) &amp; LEFT($A962,3) &amp; RIGHT($A962,4)) + TIMEVALUE($B962), "")</f>
        <v/>
      </c>
      <c r="P962" s="36" t="str">
        <f>IF(Account!$F962&lt;&gt;"", DATEVALUE(MID($C962,4,3) &amp; LEFT($C962,3) &amp; RIGHT($C962,4)), "")</f>
        <v/>
      </c>
      <c r="Q962" s="37" t="str">
        <f t="array" ref="Q962">IF($R962&lt;&gt;"",IFERROR(INDEX(ISIN!$B:$B,MATCH($R962,ISIN!$C:$C,0))),)</f>
        <v/>
      </c>
      <c r="R962" s="38" t="str">
        <f t="array" ref="R962">IF($E962&lt;&gt;"",IFERROR(INDEX(ISIN!$C:$C,MATCH($E962,ISIN!$A:$A,0)),IFERROR(INDEX($R963:$R1200,MATCH($K962,$K963:$K1200,0)))),IF(AND($Y962="change",$H962="EUR"),IF($O962=$O963,$R963,IF($O962=$O961,$R961)),IFERROR(INDEX($R963:$R1200,MATCH(SUBSTITUTE($I962,"-","",1),$K963:$K1200,0)))))</f>
        <v/>
      </c>
      <c r="S962" s="37" t="str">
        <f t="shared" si="1"/>
        <v/>
      </c>
      <c r="T962" s="39" t="str">
        <f t="shared" si="2"/>
        <v/>
      </c>
      <c r="U962" s="40" t="str">
        <f t="shared" si="3"/>
        <v/>
      </c>
      <c r="V962" s="34" t="str">
        <f t="shared" si="4"/>
        <v/>
      </c>
      <c r="W962" s="41" t="str">
        <f>IFERROR(__xludf.DUMMYFUNCTION(" IF(Account!$F962&lt;&gt;"""", SPLIT(Account!$F962, "" ""), """")"),"")</f>
        <v/>
      </c>
      <c r="X962" s="42"/>
      <c r="Y962" s="42"/>
      <c r="Z962" s="42"/>
      <c r="AA962" s="42"/>
      <c r="AB962" s="42"/>
      <c r="AC962" s="42"/>
      <c r="AD962" s="42"/>
      <c r="AE962" s="42"/>
      <c r="AF962" s="42"/>
      <c r="AG962" s="42"/>
      <c r="AH962" s="42"/>
      <c r="AI962" s="42"/>
      <c r="AJ962" s="42"/>
      <c r="AK962" s="42"/>
    </row>
    <row r="963">
      <c r="A963" s="20"/>
      <c r="B963" s="20"/>
      <c r="C963" s="20"/>
      <c r="D963" s="20"/>
      <c r="E963" s="20"/>
      <c r="F963" s="21"/>
      <c r="G963" s="45"/>
      <c r="H963" s="20"/>
      <c r="I963" s="20"/>
      <c r="J963" s="20"/>
      <c r="K963" s="20"/>
      <c r="L963" s="21"/>
      <c r="M963" s="33" t="str">
        <f>IFERROR(__xludf.DUMMYFUNCTION("IFS(W963=""Achat"",IFERROR(VALUE(X963),VALUE(REGEXREPLACE(T(X963),""[^0-9]"",""""))),W963=""Vente"",-IFERROR(VALUE(X963),VALUE(REGEXREPLACE(T(X963),""[^0-9]"",""""))),Y963=""Change"",0,Y963&lt;&gt;""Change"","""")"),"")</f>
        <v/>
      </c>
      <c r="N963" s="34" t="str">
        <f>IFERROR(__xludf.DUMMYFUNCTION("IF(Account!$F963&lt;&gt;"""", VALUE(REGEXREPLACE($I963, ""\,"", ""."")), """")"),"")</f>
        <v/>
      </c>
      <c r="O963" s="35" t="str">
        <f>IF(Account!$F963&lt;&gt;"", DATEVALUE(MID($A963,4,3) &amp; LEFT($A963,3) &amp; RIGHT($A963,4)) + TIMEVALUE($B963), "")</f>
        <v/>
      </c>
      <c r="P963" s="36" t="str">
        <f>IF(Account!$F963&lt;&gt;"", DATEVALUE(MID($C963,4,3) &amp; LEFT($C963,3) &amp; RIGHT($C963,4)), "")</f>
        <v/>
      </c>
      <c r="Q963" s="37" t="str">
        <f t="array" ref="Q963">IF($R963&lt;&gt;"",IFERROR(INDEX(ISIN!$B:$B,MATCH($R963,ISIN!$C:$C,0))),)</f>
        <v/>
      </c>
      <c r="R963" s="38" t="str">
        <f t="array" ref="R963">IF($E963&lt;&gt;"",IFERROR(INDEX(ISIN!$C:$C,MATCH($E963,ISIN!$A:$A,0)),IFERROR(INDEX($R964:$R1200,MATCH($K963,$K964:$K1200,0)))),IF(AND($Y963="change",$H963="EUR"),IF($O963=$O964,$R964,IF($O963=$O962,$R962)),IFERROR(INDEX($R964:$R1200,MATCH(SUBSTITUTE($I963,"-","",1),$K964:$K1200,0)))))</f>
        <v/>
      </c>
      <c r="S963" s="37" t="str">
        <f t="shared" si="1"/>
        <v/>
      </c>
      <c r="T963" s="39" t="str">
        <f t="shared" si="2"/>
        <v/>
      </c>
      <c r="U963" s="40" t="str">
        <f t="shared" si="3"/>
        <v/>
      </c>
      <c r="V963" s="34" t="str">
        <f t="shared" si="4"/>
        <v/>
      </c>
      <c r="W963" s="41" t="str">
        <f>IFERROR(__xludf.DUMMYFUNCTION(" IF(Account!$F963&lt;&gt;"""", SPLIT(Account!$F963, "" ""), """")"),"")</f>
        <v/>
      </c>
      <c r="X963" s="42"/>
      <c r="Y963" s="42"/>
      <c r="Z963" s="42"/>
      <c r="AA963" s="42"/>
      <c r="AB963" s="42"/>
      <c r="AC963" s="42"/>
      <c r="AD963" s="42"/>
      <c r="AE963" s="42"/>
      <c r="AF963" s="42"/>
      <c r="AG963" s="42"/>
      <c r="AH963" s="42"/>
      <c r="AI963" s="42"/>
      <c r="AJ963" s="42"/>
      <c r="AK963" s="42"/>
    </row>
    <row r="964">
      <c r="A964" s="20"/>
      <c r="B964" s="20"/>
      <c r="C964" s="20"/>
      <c r="D964" s="20"/>
      <c r="E964" s="20"/>
      <c r="F964" s="21"/>
      <c r="G964" s="45"/>
      <c r="H964" s="20"/>
      <c r="I964" s="20"/>
      <c r="J964" s="20"/>
      <c r="K964" s="20"/>
      <c r="L964" s="21"/>
      <c r="M964" s="33" t="str">
        <f>IFERROR(__xludf.DUMMYFUNCTION("IFS(W964=""Achat"",IFERROR(VALUE(X964),VALUE(REGEXREPLACE(T(X964),""[^0-9]"",""""))),W964=""Vente"",-IFERROR(VALUE(X964),VALUE(REGEXREPLACE(T(X964),""[^0-9]"",""""))),Y964=""Change"",0,Y964&lt;&gt;""Change"","""")"),"")</f>
        <v/>
      </c>
      <c r="N964" s="34" t="str">
        <f>IFERROR(__xludf.DUMMYFUNCTION("IF(Account!$F964&lt;&gt;"""", VALUE(REGEXREPLACE($I964, ""\,"", ""."")), """")"),"")</f>
        <v/>
      </c>
      <c r="O964" s="35" t="str">
        <f>IF(Account!$F964&lt;&gt;"", DATEVALUE(MID($A964,4,3) &amp; LEFT($A964,3) &amp; RIGHT($A964,4)) + TIMEVALUE($B964), "")</f>
        <v/>
      </c>
      <c r="P964" s="36" t="str">
        <f>IF(Account!$F964&lt;&gt;"", DATEVALUE(MID($C964,4,3) &amp; LEFT($C964,3) &amp; RIGHT($C964,4)), "")</f>
        <v/>
      </c>
      <c r="Q964" s="37" t="str">
        <f t="array" ref="Q964">IF($R964&lt;&gt;"",IFERROR(INDEX(ISIN!$B:$B,MATCH($R964,ISIN!$C:$C,0))),)</f>
        <v/>
      </c>
      <c r="R964" s="38" t="str">
        <f t="array" ref="R964">IF($E964&lt;&gt;"",IFERROR(INDEX(ISIN!$C:$C,MATCH($E964,ISIN!$A:$A,0)),IFERROR(INDEX($R965:$R1200,MATCH($K964,$K965:$K1200,0)))),IF(AND($Y964="change",$H964="EUR"),IF($O964=$O965,$R965,IF($O964=$O963,$R963)),IFERROR(INDEX($R965:$R1200,MATCH(SUBSTITUTE($I964,"-","",1),$K965:$K1200,0)))))</f>
        <v/>
      </c>
      <c r="S964" s="37" t="str">
        <f t="shared" si="1"/>
        <v/>
      </c>
      <c r="T964" s="39" t="str">
        <f t="shared" si="2"/>
        <v/>
      </c>
      <c r="U964" s="40" t="str">
        <f t="shared" si="3"/>
        <v/>
      </c>
      <c r="V964" s="34" t="str">
        <f t="shared" si="4"/>
        <v/>
      </c>
      <c r="W964" s="41" t="str">
        <f>IFERROR(__xludf.DUMMYFUNCTION(" IF(Account!$F964&lt;&gt;"""", SPLIT(Account!$F964, "" ""), """")"),"")</f>
        <v/>
      </c>
      <c r="X964" s="42"/>
      <c r="Y964" s="42"/>
      <c r="Z964" s="42"/>
      <c r="AA964" s="42"/>
      <c r="AB964" s="42"/>
      <c r="AC964" s="42"/>
      <c r="AD964" s="42"/>
      <c r="AE964" s="42"/>
      <c r="AF964" s="42"/>
      <c r="AG964" s="42"/>
      <c r="AH964" s="42"/>
      <c r="AI964" s="42"/>
      <c r="AJ964" s="42"/>
      <c r="AK964" s="42"/>
    </row>
    <row r="965">
      <c r="A965" s="20"/>
      <c r="B965" s="20"/>
      <c r="C965" s="20"/>
      <c r="D965" s="20"/>
      <c r="E965" s="20"/>
      <c r="F965" s="21"/>
      <c r="G965" s="45"/>
      <c r="H965" s="20"/>
      <c r="I965" s="20"/>
      <c r="J965" s="20"/>
      <c r="K965" s="20"/>
      <c r="L965" s="21"/>
      <c r="M965" s="33" t="str">
        <f>IFERROR(__xludf.DUMMYFUNCTION("IFS(W965=""Achat"",IFERROR(VALUE(X965),VALUE(REGEXREPLACE(T(X965),""[^0-9]"",""""))),W965=""Vente"",-IFERROR(VALUE(X965),VALUE(REGEXREPLACE(T(X965),""[^0-9]"",""""))),Y965=""Change"",0,Y965&lt;&gt;""Change"","""")"),"")</f>
        <v/>
      </c>
      <c r="N965" s="34" t="str">
        <f>IFERROR(__xludf.DUMMYFUNCTION("IF(Account!$F965&lt;&gt;"""", VALUE(REGEXREPLACE($I965, ""\,"", ""."")), """")"),"")</f>
        <v/>
      </c>
      <c r="O965" s="35" t="str">
        <f>IF(Account!$F965&lt;&gt;"", DATEVALUE(MID($A965,4,3) &amp; LEFT($A965,3) &amp; RIGHT($A965,4)) + TIMEVALUE($B965), "")</f>
        <v/>
      </c>
      <c r="P965" s="36" t="str">
        <f>IF(Account!$F965&lt;&gt;"", DATEVALUE(MID($C965,4,3) &amp; LEFT($C965,3) &amp; RIGHT($C965,4)), "")</f>
        <v/>
      </c>
      <c r="Q965" s="37" t="str">
        <f t="array" ref="Q965">IF($R965&lt;&gt;"",IFERROR(INDEX(ISIN!$B:$B,MATCH($R965,ISIN!$C:$C,0))),)</f>
        <v/>
      </c>
      <c r="R965" s="38" t="str">
        <f t="array" ref="R965">IF($E965&lt;&gt;"",IFERROR(INDEX(ISIN!$C:$C,MATCH($E965,ISIN!$A:$A,0)),IFERROR(INDEX($R966:$R1200,MATCH($K965,$K966:$K1200,0)))),IF(AND($Y965="change",$H965="EUR"),IF($O965=$O966,$R966,IF($O965=$O964,$R964)),IFERROR(INDEX($R966:$R1200,MATCH(SUBSTITUTE($I965,"-","",1),$K966:$K1200,0)))))</f>
        <v/>
      </c>
      <c r="S965" s="37" t="str">
        <f t="shared" si="1"/>
        <v/>
      </c>
      <c r="T965" s="39" t="str">
        <f t="shared" si="2"/>
        <v/>
      </c>
      <c r="U965" s="40" t="str">
        <f t="shared" si="3"/>
        <v/>
      </c>
      <c r="V965" s="34" t="str">
        <f t="shared" si="4"/>
        <v/>
      </c>
      <c r="W965" s="41" t="str">
        <f>IFERROR(__xludf.DUMMYFUNCTION(" IF(Account!$F965&lt;&gt;"""", SPLIT(Account!$F965, "" ""), """")"),"")</f>
        <v/>
      </c>
      <c r="X965" s="42"/>
      <c r="Y965" s="42"/>
      <c r="Z965" s="42"/>
      <c r="AA965" s="42"/>
      <c r="AB965" s="42"/>
      <c r="AC965" s="42"/>
      <c r="AD965" s="42"/>
      <c r="AE965" s="42"/>
      <c r="AF965" s="42"/>
      <c r="AG965" s="42"/>
      <c r="AH965" s="42"/>
      <c r="AI965" s="42"/>
      <c r="AJ965" s="42"/>
      <c r="AK965" s="42"/>
    </row>
    <row r="966">
      <c r="A966" s="20"/>
      <c r="B966" s="20"/>
      <c r="C966" s="20"/>
      <c r="D966" s="20"/>
      <c r="E966" s="20"/>
      <c r="F966" s="21"/>
      <c r="G966" s="45"/>
      <c r="H966" s="20"/>
      <c r="I966" s="20"/>
      <c r="J966" s="20"/>
      <c r="K966" s="20"/>
      <c r="L966" s="21"/>
      <c r="M966" s="33" t="str">
        <f>IFERROR(__xludf.DUMMYFUNCTION("IFS(W966=""Achat"",IFERROR(VALUE(X966),VALUE(REGEXREPLACE(T(X966),""[^0-9]"",""""))),W966=""Vente"",-IFERROR(VALUE(X966),VALUE(REGEXREPLACE(T(X966),""[^0-9]"",""""))),Y966=""Change"",0,Y966&lt;&gt;""Change"","""")"),"")</f>
        <v/>
      </c>
      <c r="N966" s="34" t="str">
        <f>IFERROR(__xludf.DUMMYFUNCTION("IF(Account!$F966&lt;&gt;"""", VALUE(REGEXREPLACE($I966, ""\,"", ""."")), """")"),"")</f>
        <v/>
      </c>
      <c r="O966" s="35" t="str">
        <f>IF(Account!$F966&lt;&gt;"", DATEVALUE(MID($A966,4,3) &amp; LEFT($A966,3) &amp; RIGHT($A966,4)) + TIMEVALUE($B966), "")</f>
        <v/>
      </c>
      <c r="P966" s="36" t="str">
        <f>IF(Account!$F966&lt;&gt;"", DATEVALUE(MID($C966,4,3) &amp; LEFT($C966,3) &amp; RIGHT($C966,4)), "")</f>
        <v/>
      </c>
      <c r="Q966" s="37" t="str">
        <f t="array" ref="Q966">IF($R966&lt;&gt;"",IFERROR(INDEX(ISIN!$B:$B,MATCH($R966,ISIN!$C:$C,0))),)</f>
        <v/>
      </c>
      <c r="R966" s="38" t="str">
        <f t="array" ref="R966">IF($E966&lt;&gt;"",IFERROR(INDEX(ISIN!$C:$C,MATCH($E966,ISIN!$A:$A,0)),IFERROR(INDEX($R967:$R1200,MATCH($K966,$K967:$K1200,0)))),IF(AND($Y966="change",$H966="EUR"),IF($O966=$O967,$R967,IF($O966=$O965,$R965)),IFERROR(INDEX($R967:$R1200,MATCH(SUBSTITUTE($I966,"-","",1),$K967:$K1200,0)))))</f>
        <v/>
      </c>
      <c r="S966" s="37" t="str">
        <f t="shared" si="1"/>
        <v/>
      </c>
      <c r="T966" s="39" t="str">
        <f t="shared" si="2"/>
        <v/>
      </c>
      <c r="U966" s="40" t="str">
        <f t="shared" si="3"/>
        <v/>
      </c>
      <c r="V966" s="34" t="str">
        <f t="shared" si="4"/>
        <v/>
      </c>
      <c r="W966" s="41" t="str">
        <f>IFERROR(__xludf.DUMMYFUNCTION(" IF(Account!$F966&lt;&gt;"""", SPLIT(Account!$F966, "" ""), """")"),"")</f>
        <v/>
      </c>
      <c r="X966" s="42"/>
      <c r="Y966" s="42"/>
      <c r="Z966" s="42"/>
      <c r="AA966" s="42"/>
      <c r="AB966" s="42"/>
      <c r="AC966" s="42"/>
      <c r="AD966" s="42"/>
      <c r="AE966" s="42"/>
      <c r="AF966" s="42"/>
      <c r="AG966" s="42"/>
      <c r="AH966" s="42"/>
      <c r="AI966" s="42"/>
      <c r="AJ966" s="42"/>
      <c r="AK966" s="42"/>
    </row>
    <row r="967">
      <c r="A967" s="20"/>
      <c r="B967" s="20"/>
      <c r="C967" s="20"/>
      <c r="D967" s="20"/>
      <c r="E967" s="20"/>
      <c r="F967" s="21"/>
      <c r="G967" s="45"/>
      <c r="H967" s="20"/>
      <c r="I967" s="20"/>
      <c r="J967" s="20"/>
      <c r="K967" s="20"/>
      <c r="L967" s="21"/>
      <c r="M967" s="33" t="str">
        <f>IFERROR(__xludf.DUMMYFUNCTION("IFS(W967=""Achat"",IFERROR(VALUE(X967),VALUE(REGEXREPLACE(T(X967),""[^0-9]"",""""))),W967=""Vente"",-IFERROR(VALUE(X967),VALUE(REGEXREPLACE(T(X967),""[^0-9]"",""""))),Y967=""Change"",0,Y967&lt;&gt;""Change"","""")"),"")</f>
        <v/>
      </c>
      <c r="N967" s="34" t="str">
        <f>IFERROR(__xludf.DUMMYFUNCTION("IF(Account!$F967&lt;&gt;"""", VALUE(REGEXREPLACE($I967, ""\,"", ""."")), """")"),"")</f>
        <v/>
      </c>
      <c r="O967" s="35" t="str">
        <f>IF(Account!$F967&lt;&gt;"", DATEVALUE(MID($A967,4,3) &amp; LEFT($A967,3) &amp; RIGHT($A967,4)) + TIMEVALUE($B967), "")</f>
        <v/>
      </c>
      <c r="P967" s="36" t="str">
        <f>IF(Account!$F967&lt;&gt;"", DATEVALUE(MID($C967,4,3) &amp; LEFT($C967,3) &amp; RIGHT($C967,4)), "")</f>
        <v/>
      </c>
      <c r="Q967" s="37" t="str">
        <f t="array" ref="Q967">IF($R967&lt;&gt;"",IFERROR(INDEX(ISIN!$B:$B,MATCH($R967,ISIN!$C:$C,0))),)</f>
        <v/>
      </c>
      <c r="R967" s="38" t="str">
        <f t="array" ref="R967">IF($E967&lt;&gt;"",IFERROR(INDEX(ISIN!$C:$C,MATCH($E967,ISIN!$A:$A,0)),IFERROR(INDEX($R968:$R1200,MATCH($K967,$K968:$K1200,0)))),IF(AND($Y967="change",$H967="EUR"),IF($O967=$O968,$R968,IF($O967=$O966,$R966)),IFERROR(INDEX($R968:$R1200,MATCH(SUBSTITUTE($I967,"-","",1),$K968:$K1200,0)))))</f>
        <v/>
      </c>
      <c r="S967" s="37" t="str">
        <f t="shared" si="1"/>
        <v/>
      </c>
      <c r="T967" s="39" t="str">
        <f t="shared" si="2"/>
        <v/>
      </c>
      <c r="U967" s="40" t="str">
        <f t="shared" si="3"/>
        <v/>
      </c>
      <c r="V967" s="34" t="str">
        <f t="shared" si="4"/>
        <v/>
      </c>
      <c r="W967" s="41" t="str">
        <f>IFERROR(__xludf.DUMMYFUNCTION(" IF(Account!$F967&lt;&gt;"""", SPLIT(Account!$F967, "" ""), """")"),"")</f>
        <v/>
      </c>
      <c r="X967" s="42"/>
      <c r="Y967" s="42"/>
      <c r="Z967" s="42"/>
      <c r="AA967" s="42"/>
      <c r="AB967" s="42"/>
      <c r="AC967" s="42"/>
      <c r="AD967" s="42"/>
      <c r="AE967" s="42"/>
      <c r="AF967" s="42"/>
      <c r="AG967" s="42"/>
      <c r="AH967" s="42"/>
      <c r="AI967" s="42"/>
      <c r="AJ967" s="42"/>
      <c r="AK967" s="42"/>
    </row>
    <row r="968">
      <c r="A968" s="20"/>
      <c r="B968" s="20"/>
      <c r="C968" s="20"/>
      <c r="D968" s="20"/>
      <c r="E968" s="20"/>
      <c r="F968" s="21"/>
      <c r="G968" s="45"/>
      <c r="H968" s="20"/>
      <c r="I968" s="20"/>
      <c r="J968" s="20"/>
      <c r="K968" s="20"/>
      <c r="L968" s="21"/>
      <c r="M968" s="33" t="str">
        <f>IFERROR(__xludf.DUMMYFUNCTION("IFS(W968=""Achat"",IFERROR(VALUE(X968),VALUE(REGEXREPLACE(T(X968),""[^0-9]"",""""))),W968=""Vente"",-IFERROR(VALUE(X968),VALUE(REGEXREPLACE(T(X968),""[^0-9]"",""""))),Y968=""Change"",0,Y968&lt;&gt;""Change"","""")"),"")</f>
        <v/>
      </c>
      <c r="N968" s="34" t="str">
        <f>IFERROR(__xludf.DUMMYFUNCTION("IF(Account!$F968&lt;&gt;"""", VALUE(REGEXREPLACE($I968, ""\,"", ""."")), """")"),"")</f>
        <v/>
      </c>
      <c r="O968" s="35" t="str">
        <f>IF(Account!$F968&lt;&gt;"", DATEVALUE(MID($A968,4,3) &amp; LEFT($A968,3) &amp; RIGHT($A968,4)) + TIMEVALUE($B968), "")</f>
        <v/>
      </c>
      <c r="P968" s="36" t="str">
        <f>IF(Account!$F968&lt;&gt;"", DATEVALUE(MID($C968,4,3) &amp; LEFT($C968,3) &amp; RIGHT($C968,4)), "")</f>
        <v/>
      </c>
      <c r="Q968" s="37" t="str">
        <f t="array" ref="Q968">IF($R968&lt;&gt;"",IFERROR(INDEX(ISIN!$B:$B,MATCH($R968,ISIN!$C:$C,0))),)</f>
        <v/>
      </c>
      <c r="R968" s="38" t="str">
        <f t="array" ref="R968">IF($E968&lt;&gt;"",IFERROR(INDEX(ISIN!$C:$C,MATCH($E968,ISIN!$A:$A,0)),IFERROR(INDEX($R969:$R1200,MATCH($K968,$K969:$K1200,0)))),IF(AND($Y968="change",$H968="EUR"),IF($O968=$O969,$R969,IF($O968=$O967,$R967)),IFERROR(INDEX($R969:$R1200,MATCH(SUBSTITUTE($I968,"-","",1),$K969:$K1200,0)))))</f>
        <v/>
      </c>
      <c r="S968" s="37" t="str">
        <f t="shared" si="1"/>
        <v/>
      </c>
      <c r="T968" s="39" t="str">
        <f t="shared" si="2"/>
        <v/>
      </c>
      <c r="U968" s="40" t="str">
        <f t="shared" si="3"/>
        <v/>
      </c>
      <c r="V968" s="34" t="str">
        <f t="shared" si="4"/>
        <v/>
      </c>
      <c r="W968" s="41" t="str">
        <f>IFERROR(__xludf.DUMMYFUNCTION(" IF(Account!$F968&lt;&gt;"""", SPLIT(Account!$F968, "" ""), """")"),"")</f>
        <v/>
      </c>
      <c r="X968" s="42"/>
      <c r="Y968" s="42"/>
      <c r="Z968" s="42"/>
      <c r="AA968" s="42"/>
      <c r="AB968" s="42"/>
      <c r="AC968" s="42"/>
      <c r="AD968" s="42"/>
      <c r="AE968" s="42"/>
      <c r="AF968" s="42"/>
      <c r="AG968" s="42"/>
      <c r="AH968" s="42"/>
      <c r="AI968" s="42"/>
      <c r="AJ968" s="42"/>
      <c r="AK968" s="42"/>
    </row>
    <row r="969">
      <c r="A969" s="20"/>
      <c r="B969" s="20"/>
      <c r="C969" s="20"/>
      <c r="D969" s="20"/>
      <c r="E969" s="20"/>
      <c r="F969" s="21"/>
      <c r="G969" s="45"/>
      <c r="H969" s="20"/>
      <c r="I969" s="20"/>
      <c r="J969" s="20"/>
      <c r="K969" s="20"/>
      <c r="L969" s="21"/>
      <c r="M969" s="33" t="str">
        <f>IFERROR(__xludf.DUMMYFUNCTION("IFS(W969=""Achat"",IFERROR(VALUE(X969),VALUE(REGEXREPLACE(T(X969),""[^0-9]"",""""))),W969=""Vente"",-IFERROR(VALUE(X969),VALUE(REGEXREPLACE(T(X969),""[^0-9]"",""""))),Y969=""Change"",0,Y969&lt;&gt;""Change"","""")"),"")</f>
        <v/>
      </c>
      <c r="N969" s="34" t="str">
        <f>IFERROR(__xludf.DUMMYFUNCTION("IF(Account!$F969&lt;&gt;"""", VALUE(REGEXREPLACE($I969, ""\,"", ""."")), """")"),"")</f>
        <v/>
      </c>
      <c r="O969" s="35" t="str">
        <f>IF(Account!$F969&lt;&gt;"", DATEVALUE(MID($A969,4,3) &amp; LEFT($A969,3) &amp; RIGHT($A969,4)) + TIMEVALUE($B969), "")</f>
        <v/>
      </c>
      <c r="P969" s="36" t="str">
        <f>IF(Account!$F969&lt;&gt;"", DATEVALUE(MID($C969,4,3) &amp; LEFT($C969,3) &amp; RIGHT($C969,4)), "")</f>
        <v/>
      </c>
      <c r="Q969" s="37" t="str">
        <f t="array" ref="Q969">IF($R969&lt;&gt;"",IFERROR(INDEX(ISIN!$B:$B,MATCH($R969,ISIN!$C:$C,0))),)</f>
        <v/>
      </c>
      <c r="R969" s="38" t="str">
        <f t="array" ref="R969">IF($E969&lt;&gt;"",IFERROR(INDEX(ISIN!$C:$C,MATCH($E969,ISIN!$A:$A,0)),IFERROR(INDEX($R970:$R1200,MATCH($K969,$K970:$K1200,0)))),IF(AND($Y969="change",$H969="EUR"),IF($O969=$O970,$R970,IF($O969=$O968,$R968)),IFERROR(INDEX($R970:$R1200,MATCH(SUBSTITUTE($I969,"-","",1),$K970:$K1200,0)))))</f>
        <v/>
      </c>
      <c r="S969" s="37" t="str">
        <f t="shared" si="1"/>
        <v/>
      </c>
      <c r="T969" s="39" t="str">
        <f t="shared" si="2"/>
        <v/>
      </c>
      <c r="U969" s="40" t="str">
        <f t="shared" si="3"/>
        <v/>
      </c>
      <c r="V969" s="34" t="str">
        <f t="shared" si="4"/>
        <v/>
      </c>
      <c r="W969" s="41" t="str">
        <f>IFERROR(__xludf.DUMMYFUNCTION(" IF(Account!$F969&lt;&gt;"""", SPLIT(Account!$F969, "" ""), """")"),"")</f>
        <v/>
      </c>
      <c r="X969" s="42"/>
      <c r="Y969" s="42"/>
      <c r="Z969" s="42"/>
      <c r="AA969" s="42"/>
      <c r="AB969" s="42"/>
      <c r="AC969" s="42"/>
      <c r="AD969" s="42"/>
      <c r="AE969" s="42"/>
      <c r="AF969" s="42"/>
      <c r="AG969" s="42"/>
      <c r="AH969" s="42"/>
      <c r="AI969" s="42"/>
      <c r="AJ969" s="42"/>
      <c r="AK969" s="42"/>
    </row>
    <row r="970">
      <c r="A970" s="20"/>
      <c r="B970" s="20"/>
      <c r="C970" s="20"/>
      <c r="D970" s="20"/>
      <c r="E970" s="20"/>
      <c r="F970" s="21"/>
      <c r="G970" s="20"/>
      <c r="H970" s="20"/>
      <c r="I970" s="20"/>
      <c r="J970" s="20"/>
      <c r="K970" s="20"/>
      <c r="L970" s="21"/>
      <c r="M970" s="33" t="str">
        <f>IFERROR(__xludf.DUMMYFUNCTION("IFS(W970=""Achat"",IFERROR(VALUE(X970),VALUE(REGEXREPLACE(T(X970),""[^0-9]"",""""))),W970=""Vente"",-IFERROR(VALUE(X970),VALUE(REGEXREPLACE(T(X970),""[^0-9]"",""""))),Y970=""Change"",0,Y970&lt;&gt;""Change"","""")"),"")</f>
        <v/>
      </c>
      <c r="N970" s="34" t="str">
        <f>IFERROR(__xludf.DUMMYFUNCTION("IF(Account!$F970&lt;&gt;"""", VALUE(REGEXREPLACE($I970, ""\,"", ""."")), """")"),"")</f>
        <v/>
      </c>
      <c r="O970" s="35" t="str">
        <f>IF(Account!$F970&lt;&gt;"", DATEVALUE(MID($A970,4,3) &amp; LEFT($A970,3) &amp; RIGHT($A970,4)) + TIMEVALUE($B970), "")</f>
        <v/>
      </c>
      <c r="P970" s="36" t="str">
        <f>IF(Account!$F970&lt;&gt;"", DATEVALUE(MID($C970,4,3) &amp; LEFT($C970,3) &amp; RIGHT($C970,4)), "")</f>
        <v/>
      </c>
      <c r="Q970" s="37" t="str">
        <f t="array" ref="Q970">IF($R970&lt;&gt;"",IFERROR(INDEX(ISIN!$B:$B,MATCH($R970,ISIN!$C:$C,0))),)</f>
        <v/>
      </c>
      <c r="R970" s="38" t="str">
        <f t="array" ref="R970">IF($E970&lt;&gt;"",IFERROR(INDEX(ISIN!$C:$C,MATCH($E970,ISIN!$A:$A,0)),IFERROR(INDEX($R971:$R1200,MATCH($K970,$K971:$K1200,0)))),IF(AND($Y970="change",$H970="EUR"),IF($O970=$O971,$R971,IF($O970=$O969,$R969)),IFERROR(INDEX($R971:$R1200,MATCH(SUBSTITUTE($I970,"-","",1),$K971:$K1200,0)))))</f>
        <v/>
      </c>
      <c r="S970" s="37" t="str">
        <f t="shared" si="1"/>
        <v/>
      </c>
      <c r="T970" s="39" t="str">
        <f t="shared" si="2"/>
        <v/>
      </c>
      <c r="U970" s="40" t="str">
        <f t="shared" si="3"/>
        <v/>
      </c>
      <c r="V970" s="34" t="str">
        <f t="shared" si="4"/>
        <v/>
      </c>
      <c r="W970" s="41" t="str">
        <f>IFERROR(__xludf.DUMMYFUNCTION(" IF(Account!$F970&lt;&gt;"""", SPLIT(Account!$F970, "" ""), """")"),"")</f>
        <v/>
      </c>
      <c r="X970" s="42"/>
      <c r="Y970" s="42"/>
      <c r="Z970" s="42"/>
      <c r="AA970" s="42"/>
      <c r="AB970" s="42"/>
      <c r="AC970" s="42"/>
      <c r="AD970" s="42"/>
      <c r="AE970" s="42"/>
      <c r="AF970" s="42"/>
      <c r="AG970" s="42"/>
      <c r="AH970" s="42"/>
      <c r="AI970" s="42"/>
      <c r="AJ970" s="42"/>
      <c r="AK970" s="42"/>
    </row>
    <row r="971">
      <c r="A971" s="20"/>
      <c r="B971" s="20"/>
      <c r="C971" s="20"/>
      <c r="D971" s="20"/>
      <c r="E971" s="20"/>
      <c r="F971" s="21"/>
      <c r="G971" s="45"/>
      <c r="H971" s="20"/>
      <c r="I971" s="20"/>
      <c r="J971" s="20"/>
      <c r="K971" s="20"/>
      <c r="L971" s="21"/>
      <c r="M971" s="33" t="str">
        <f>IFERROR(__xludf.DUMMYFUNCTION("IFS(W971=""Achat"",IFERROR(VALUE(X971),VALUE(REGEXREPLACE(T(X971),""[^0-9]"",""""))),W971=""Vente"",-IFERROR(VALUE(X971),VALUE(REGEXREPLACE(T(X971),""[^0-9]"",""""))),Y971=""Change"",0,Y971&lt;&gt;""Change"","""")"),"")</f>
        <v/>
      </c>
      <c r="N971" s="34" t="str">
        <f>IFERROR(__xludf.DUMMYFUNCTION("IF(Account!$F971&lt;&gt;"""", VALUE(REGEXREPLACE($I971, ""\,"", ""."")), """")"),"")</f>
        <v/>
      </c>
      <c r="O971" s="35" t="str">
        <f>IF(Account!$F971&lt;&gt;"", DATEVALUE(MID($A971,4,3) &amp; LEFT($A971,3) &amp; RIGHT($A971,4)) + TIMEVALUE($B971), "")</f>
        <v/>
      </c>
      <c r="P971" s="36" t="str">
        <f>IF(Account!$F971&lt;&gt;"", DATEVALUE(MID($C971,4,3) &amp; LEFT($C971,3) &amp; RIGHT($C971,4)), "")</f>
        <v/>
      </c>
      <c r="Q971" s="37" t="str">
        <f t="array" ref="Q971">IF($R971&lt;&gt;"",IFERROR(INDEX(ISIN!$B:$B,MATCH($R971,ISIN!$C:$C,0))),)</f>
        <v/>
      </c>
      <c r="R971" s="38" t="str">
        <f t="array" ref="R971">IF($E971&lt;&gt;"",IFERROR(INDEX(ISIN!$C:$C,MATCH($E971,ISIN!$A:$A,0)),IFERROR(INDEX($R972:$R1200,MATCH($K971,$K972:$K1200,0)))),IF(AND($Y971="change",$H971="EUR"),IF($O971=$O972,$R972,IF($O971=$O970,$R970)),IFERROR(INDEX($R972:$R1200,MATCH(SUBSTITUTE($I971,"-","",1),$K972:$K1200,0)))))</f>
        <v/>
      </c>
      <c r="S971" s="37" t="str">
        <f t="shared" si="1"/>
        <v/>
      </c>
      <c r="T971" s="39" t="str">
        <f t="shared" si="2"/>
        <v/>
      </c>
      <c r="U971" s="40" t="str">
        <f t="shared" si="3"/>
        <v/>
      </c>
      <c r="V971" s="34" t="str">
        <f t="shared" si="4"/>
        <v/>
      </c>
      <c r="W971" s="41" t="str">
        <f>IFERROR(__xludf.DUMMYFUNCTION(" IF(Account!$F971&lt;&gt;"""", SPLIT(Account!$F971, "" ""), """")"),"")</f>
        <v/>
      </c>
      <c r="X971" s="42"/>
      <c r="Y971" s="42"/>
      <c r="Z971" s="42"/>
      <c r="AA971" s="42"/>
      <c r="AB971" s="42"/>
      <c r="AC971" s="42"/>
      <c r="AD971" s="42"/>
      <c r="AE971" s="42"/>
      <c r="AF971" s="42"/>
      <c r="AG971" s="42"/>
      <c r="AH971" s="42"/>
      <c r="AI971" s="42"/>
      <c r="AJ971" s="42"/>
      <c r="AK971" s="42"/>
    </row>
    <row r="972">
      <c r="A972" s="20"/>
      <c r="B972" s="20"/>
      <c r="C972" s="20"/>
      <c r="D972" s="20"/>
      <c r="E972" s="20"/>
      <c r="F972" s="21"/>
      <c r="G972" s="20"/>
      <c r="H972" s="20"/>
      <c r="I972" s="20"/>
      <c r="J972" s="20"/>
      <c r="K972" s="20"/>
      <c r="L972" s="21"/>
      <c r="M972" s="33" t="str">
        <f>IFERROR(__xludf.DUMMYFUNCTION("IFS(W972=""Achat"",IFERROR(VALUE(X972),VALUE(REGEXREPLACE(T(X972),""[^0-9]"",""""))),W972=""Vente"",-IFERROR(VALUE(X972),VALUE(REGEXREPLACE(T(X972),""[^0-9]"",""""))),Y972=""Change"",0,Y972&lt;&gt;""Change"","""")"),"")</f>
        <v/>
      </c>
      <c r="N972" s="34" t="str">
        <f>IFERROR(__xludf.DUMMYFUNCTION("IF(Account!$F972&lt;&gt;"""", VALUE(REGEXREPLACE($I972, ""\,"", ""."")), """")"),"")</f>
        <v/>
      </c>
      <c r="O972" s="35" t="str">
        <f>IF(Account!$F972&lt;&gt;"", DATEVALUE(MID($A972,4,3) &amp; LEFT($A972,3) &amp; RIGHT($A972,4)) + TIMEVALUE($B972), "")</f>
        <v/>
      </c>
      <c r="P972" s="36" t="str">
        <f>IF(Account!$F972&lt;&gt;"", DATEVALUE(MID($C972,4,3) &amp; LEFT($C972,3) &amp; RIGHT($C972,4)), "")</f>
        <v/>
      </c>
      <c r="Q972" s="37" t="str">
        <f t="array" ref="Q972">IF($R972&lt;&gt;"",IFERROR(INDEX(ISIN!$B:$B,MATCH($R972,ISIN!$C:$C,0))),)</f>
        <v/>
      </c>
      <c r="R972" s="38" t="str">
        <f t="array" ref="R972">IF($E972&lt;&gt;"",IFERROR(INDEX(ISIN!$C:$C,MATCH($E972,ISIN!$A:$A,0)),IFERROR(INDEX($R973:$R1200,MATCH($K972,$K973:$K1200,0)))),IF(AND($Y972="change",$H972="EUR"),IF($O972=$O973,$R973,IF($O972=$O971,$R971)),IFERROR(INDEX($R973:$R1200,MATCH(SUBSTITUTE($I972,"-","",1),$K973:$K1200,0)))))</f>
        <v/>
      </c>
      <c r="S972" s="37" t="str">
        <f t="shared" si="1"/>
        <v/>
      </c>
      <c r="T972" s="39" t="str">
        <f t="shared" si="2"/>
        <v/>
      </c>
      <c r="U972" s="40" t="str">
        <f t="shared" si="3"/>
        <v/>
      </c>
      <c r="V972" s="34" t="str">
        <f t="shared" si="4"/>
        <v/>
      </c>
      <c r="W972" s="41" t="str">
        <f>IFERROR(__xludf.DUMMYFUNCTION(" IF(Account!$F972&lt;&gt;"""", SPLIT(Account!$F972, "" ""), """")"),"")</f>
        <v/>
      </c>
      <c r="X972" s="42"/>
      <c r="Y972" s="42"/>
      <c r="Z972" s="42"/>
      <c r="AA972" s="42"/>
      <c r="AB972" s="42"/>
      <c r="AC972" s="42"/>
      <c r="AD972" s="42"/>
      <c r="AE972" s="42"/>
      <c r="AF972" s="42"/>
      <c r="AG972" s="42"/>
      <c r="AH972" s="42"/>
      <c r="AI972" s="42"/>
      <c r="AJ972" s="42"/>
      <c r="AK972" s="42"/>
    </row>
    <row r="973">
      <c r="A973" s="20"/>
      <c r="B973" s="20"/>
      <c r="C973" s="20"/>
      <c r="D973" s="20"/>
      <c r="E973" s="20"/>
      <c r="F973" s="21"/>
      <c r="G973" s="45"/>
      <c r="H973" s="20"/>
      <c r="I973" s="20"/>
      <c r="J973" s="20"/>
      <c r="K973" s="20"/>
      <c r="L973" s="21"/>
      <c r="M973" s="33" t="str">
        <f>IFERROR(__xludf.DUMMYFUNCTION("IFS(W973=""Achat"",IFERROR(VALUE(X973),VALUE(REGEXREPLACE(T(X973),""[^0-9]"",""""))),W973=""Vente"",-IFERROR(VALUE(X973),VALUE(REGEXREPLACE(T(X973),""[^0-9]"",""""))),Y973=""Change"",0,Y973&lt;&gt;""Change"","""")"),"")</f>
        <v/>
      </c>
      <c r="N973" s="34" t="str">
        <f>IFERROR(__xludf.DUMMYFUNCTION("IF(Account!$F973&lt;&gt;"""", VALUE(REGEXREPLACE($I973, ""\,"", ""."")), """")"),"")</f>
        <v/>
      </c>
      <c r="O973" s="35" t="str">
        <f>IF(Account!$F973&lt;&gt;"", DATEVALUE(MID($A973,4,3) &amp; LEFT($A973,3) &amp; RIGHT($A973,4)) + TIMEVALUE($B973), "")</f>
        <v/>
      </c>
      <c r="P973" s="36" t="str">
        <f>IF(Account!$F973&lt;&gt;"", DATEVALUE(MID($C973,4,3) &amp; LEFT($C973,3) &amp; RIGHT($C973,4)), "")</f>
        <v/>
      </c>
      <c r="Q973" s="37" t="str">
        <f t="array" ref="Q973">IF($R973&lt;&gt;"",IFERROR(INDEX(ISIN!$B:$B,MATCH($R973,ISIN!$C:$C,0))),)</f>
        <v/>
      </c>
      <c r="R973" s="38" t="str">
        <f t="array" ref="R973">IF($E973&lt;&gt;"",IFERROR(INDEX(ISIN!$C:$C,MATCH($E973,ISIN!$A:$A,0)),IFERROR(INDEX($R974:$R1200,MATCH($K973,$K974:$K1200,0)))),IF(AND($Y973="change",$H973="EUR"),IF($O973=$O974,$R974,IF($O973=$O972,$R972)),IFERROR(INDEX($R974:$R1200,MATCH(SUBSTITUTE($I973,"-","",1),$K974:$K1200,0)))))</f>
        <v/>
      </c>
      <c r="S973" s="37" t="str">
        <f t="shared" si="1"/>
        <v/>
      </c>
      <c r="T973" s="39" t="str">
        <f t="shared" si="2"/>
        <v/>
      </c>
      <c r="U973" s="40" t="str">
        <f t="shared" si="3"/>
        <v/>
      </c>
      <c r="V973" s="34" t="str">
        <f t="shared" si="4"/>
        <v/>
      </c>
      <c r="W973" s="41" t="str">
        <f>IFERROR(__xludf.DUMMYFUNCTION(" IF(Account!$F973&lt;&gt;"""", SPLIT(Account!$F973, "" ""), """")"),"")</f>
        <v/>
      </c>
      <c r="X973" s="42"/>
      <c r="Y973" s="42"/>
      <c r="Z973" s="42"/>
      <c r="AA973" s="42"/>
      <c r="AB973" s="42"/>
      <c r="AC973" s="42"/>
      <c r="AD973" s="42"/>
      <c r="AE973" s="42"/>
      <c r="AF973" s="42"/>
      <c r="AG973" s="42"/>
      <c r="AH973" s="42"/>
      <c r="AI973" s="42"/>
      <c r="AJ973" s="42"/>
      <c r="AK973" s="42"/>
    </row>
    <row r="974">
      <c r="A974" s="20"/>
      <c r="B974" s="20"/>
      <c r="C974" s="20"/>
      <c r="D974" s="20"/>
      <c r="E974" s="20"/>
      <c r="F974" s="21"/>
      <c r="G974" s="20"/>
      <c r="H974" s="20"/>
      <c r="I974" s="20"/>
      <c r="J974" s="20"/>
      <c r="K974" s="20"/>
      <c r="L974" s="21"/>
      <c r="M974" s="33" t="str">
        <f>IFERROR(__xludf.DUMMYFUNCTION("IFS(W974=""Achat"",IFERROR(VALUE(X974),VALUE(REGEXREPLACE(T(X974),""[^0-9]"",""""))),W974=""Vente"",-IFERROR(VALUE(X974),VALUE(REGEXREPLACE(T(X974),""[^0-9]"",""""))),Y974=""Change"",0,Y974&lt;&gt;""Change"","""")"),"")</f>
        <v/>
      </c>
      <c r="N974" s="34" t="str">
        <f>IFERROR(__xludf.DUMMYFUNCTION("IF(Account!$F974&lt;&gt;"""", VALUE(REGEXREPLACE($I974, ""\,"", ""."")), """")"),"")</f>
        <v/>
      </c>
      <c r="O974" s="35" t="str">
        <f>IF(Account!$F974&lt;&gt;"", DATEVALUE(MID($A974,4,3) &amp; LEFT($A974,3) &amp; RIGHT($A974,4)) + TIMEVALUE($B974), "")</f>
        <v/>
      </c>
      <c r="P974" s="36" t="str">
        <f>IF(Account!$F974&lt;&gt;"", DATEVALUE(MID($C974,4,3) &amp; LEFT($C974,3) &amp; RIGHT($C974,4)), "")</f>
        <v/>
      </c>
      <c r="Q974" s="37" t="str">
        <f t="array" ref="Q974">IF($R974&lt;&gt;"",IFERROR(INDEX(ISIN!$B:$B,MATCH($R974,ISIN!$C:$C,0))),)</f>
        <v/>
      </c>
      <c r="R974" s="38" t="str">
        <f t="array" ref="R974">IF($E974&lt;&gt;"",IFERROR(INDEX(ISIN!$C:$C,MATCH($E974,ISIN!$A:$A,0)),IFERROR(INDEX($R975:$R1200,MATCH($K974,$K975:$K1200,0)))),IF(AND($Y974="change",$H974="EUR"),IF($O974=$O975,$R975,IF($O974=$O973,$R973)),IFERROR(INDEX($R975:$R1200,MATCH(SUBSTITUTE($I974,"-","",1),$K975:$K1200,0)))))</f>
        <v/>
      </c>
      <c r="S974" s="37" t="str">
        <f t="shared" si="1"/>
        <v/>
      </c>
      <c r="T974" s="39" t="str">
        <f t="shared" si="2"/>
        <v/>
      </c>
      <c r="U974" s="40" t="str">
        <f t="shared" si="3"/>
        <v/>
      </c>
      <c r="V974" s="34" t="str">
        <f t="shared" si="4"/>
        <v/>
      </c>
      <c r="W974" s="41" t="str">
        <f>IFERROR(__xludf.DUMMYFUNCTION(" IF(Account!$F974&lt;&gt;"""", SPLIT(Account!$F974, "" ""), """")"),"")</f>
        <v/>
      </c>
      <c r="X974" s="42"/>
      <c r="Y974" s="42"/>
      <c r="Z974" s="42"/>
      <c r="AA974" s="42"/>
      <c r="AB974" s="42"/>
      <c r="AC974" s="42"/>
      <c r="AD974" s="42"/>
      <c r="AE974" s="42"/>
      <c r="AF974" s="42"/>
      <c r="AG974" s="42"/>
      <c r="AH974" s="42"/>
      <c r="AI974" s="42"/>
      <c r="AJ974" s="42"/>
      <c r="AK974" s="42"/>
    </row>
    <row r="975">
      <c r="A975" s="20"/>
      <c r="B975" s="20"/>
      <c r="C975" s="20"/>
      <c r="D975" s="20"/>
      <c r="E975" s="20"/>
      <c r="F975" s="21"/>
      <c r="G975" s="45"/>
      <c r="H975" s="20"/>
      <c r="I975" s="20"/>
      <c r="J975" s="20"/>
      <c r="K975" s="20"/>
      <c r="L975" s="21"/>
      <c r="M975" s="33" t="str">
        <f>IFERROR(__xludf.DUMMYFUNCTION("IFS(W975=""Achat"",IFERROR(VALUE(X975),VALUE(REGEXREPLACE(T(X975),""[^0-9]"",""""))),W975=""Vente"",-IFERROR(VALUE(X975),VALUE(REGEXREPLACE(T(X975),""[^0-9]"",""""))),Y975=""Change"",0,Y975&lt;&gt;""Change"","""")"),"")</f>
        <v/>
      </c>
      <c r="N975" s="34" t="str">
        <f>IFERROR(__xludf.DUMMYFUNCTION("IF(Account!$F975&lt;&gt;"""", VALUE(REGEXREPLACE($I975, ""\,"", ""."")), """")"),"")</f>
        <v/>
      </c>
      <c r="O975" s="35" t="str">
        <f>IF(Account!$F975&lt;&gt;"", DATEVALUE(MID($A975,4,3) &amp; LEFT($A975,3) &amp; RIGHT($A975,4)) + TIMEVALUE($B975), "")</f>
        <v/>
      </c>
      <c r="P975" s="36" t="str">
        <f>IF(Account!$F975&lt;&gt;"", DATEVALUE(MID($C975,4,3) &amp; LEFT($C975,3) &amp; RIGHT($C975,4)), "")</f>
        <v/>
      </c>
      <c r="Q975" s="37" t="str">
        <f t="array" ref="Q975">IF($R975&lt;&gt;"",IFERROR(INDEX(ISIN!$B:$B,MATCH($R975,ISIN!$C:$C,0))),)</f>
        <v/>
      </c>
      <c r="R975" s="38" t="str">
        <f t="array" ref="R975">IF($E975&lt;&gt;"",IFERROR(INDEX(ISIN!$C:$C,MATCH($E975,ISIN!$A:$A,0)),IFERROR(INDEX($R976:$R1200,MATCH($K975,$K976:$K1200,0)))),IF(AND($Y975="change",$H975="EUR"),IF($O975=$O976,$R976,IF($O975=$O974,$R974)),IFERROR(INDEX($R976:$R1200,MATCH(SUBSTITUTE($I975,"-","",1),$K976:$K1200,0)))))</f>
        <v/>
      </c>
      <c r="S975" s="37" t="str">
        <f t="shared" si="1"/>
        <v/>
      </c>
      <c r="T975" s="39" t="str">
        <f t="shared" si="2"/>
        <v/>
      </c>
      <c r="U975" s="40" t="str">
        <f t="shared" si="3"/>
        <v/>
      </c>
      <c r="V975" s="34" t="str">
        <f t="shared" si="4"/>
        <v/>
      </c>
      <c r="W975" s="41" t="str">
        <f>IFERROR(__xludf.DUMMYFUNCTION(" IF(Account!$F975&lt;&gt;"""", SPLIT(Account!$F975, "" ""), """")"),"")</f>
        <v/>
      </c>
      <c r="X975" s="42"/>
      <c r="Y975" s="42"/>
      <c r="Z975" s="42"/>
      <c r="AA975" s="42"/>
      <c r="AB975" s="42"/>
      <c r="AC975" s="42"/>
      <c r="AD975" s="42"/>
      <c r="AE975" s="42"/>
      <c r="AF975" s="42"/>
      <c r="AG975" s="42"/>
      <c r="AH975" s="42"/>
      <c r="AI975" s="42"/>
      <c r="AJ975" s="42"/>
      <c r="AK975" s="42"/>
    </row>
    <row r="976">
      <c r="A976" s="20"/>
      <c r="B976" s="20"/>
      <c r="C976" s="20"/>
      <c r="D976" s="20"/>
      <c r="E976" s="20"/>
      <c r="F976" s="21"/>
      <c r="G976" s="20"/>
      <c r="H976" s="20"/>
      <c r="I976" s="20"/>
      <c r="J976" s="20"/>
      <c r="K976" s="20"/>
      <c r="L976" s="21"/>
      <c r="M976" s="33" t="str">
        <f>IFERROR(__xludf.DUMMYFUNCTION("IFS(W976=""Achat"",IFERROR(VALUE(X976),VALUE(REGEXREPLACE(T(X976),""[^0-9]"",""""))),W976=""Vente"",-IFERROR(VALUE(X976),VALUE(REGEXREPLACE(T(X976),""[^0-9]"",""""))),Y976=""Change"",0,Y976&lt;&gt;""Change"","""")"),"")</f>
        <v/>
      </c>
      <c r="N976" s="34" t="str">
        <f>IFERROR(__xludf.DUMMYFUNCTION("IF(Account!$F976&lt;&gt;"""", VALUE(REGEXREPLACE($I976, ""\,"", ""."")), """")"),"")</f>
        <v/>
      </c>
      <c r="O976" s="35" t="str">
        <f>IF(Account!$F976&lt;&gt;"", DATEVALUE(MID($A976,4,3) &amp; LEFT($A976,3) &amp; RIGHT($A976,4)) + TIMEVALUE($B976), "")</f>
        <v/>
      </c>
      <c r="P976" s="36" t="str">
        <f>IF(Account!$F976&lt;&gt;"", DATEVALUE(MID($C976,4,3) &amp; LEFT($C976,3) &amp; RIGHT($C976,4)), "")</f>
        <v/>
      </c>
      <c r="Q976" s="37" t="str">
        <f t="array" ref="Q976">IF($R976&lt;&gt;"",IFERROR(INDEX(ISIN!$B:$B,MATCH($R976,ISIN!$C:$C,0))),)</f>
        <v/>
      </c>
      <c r="R976" s="38" t="str">
        <f t="array" ref="R976">IF($E976&lt;&gt;"",IFERROR(INDEX(ISIN!$C:$C,MATCH($E976,ISIN!$A:$A,0)),IFERROR(INDEX($R977:$R1200,MATCH($K976,$K977:$K1200,0)))),IF(AND($Y976="change",$H976="EUR"),IF($O976=$O977,$R977,IF($O976=$O975,$R975)),IFERROR(INDEX($R977:$R1200,MATCH(SUBSTITUTE($I976,"-","",1),$K977:$K1200,0)))))</f>
        <v/>
      </c>
      <c r="S976" s="37" t="str">
        <f t="shared" si="1"/>
        <v/>
      </c>
      <c r="T976" s="39" t="str">
        <f t="shared" si="2"/>
        <v/>
      </c>
      <c r="U976" s="40" t="str">
        <f t="shared" si="3"/>
        <v/>
      </c>
      <c r="V976" s="34" t="str">
        <f t="shared" si="4"/>
        <v/>
      </c>
      <c r="W976" s="41" t="str">
        <f>IFERROR(__xludf.DUMMYFUNCTION(" IF(Account!$F976&lt;&gt;"""", SPLIT(Account!$F976, "" ""), """")"),"")</f>
        <v/>
      </c>
      <c r="X976" s="42"/>
      <c r="Y976" s="42"/>
      <c r="Z976" s="42"/>
      <c r="AA976" s="42"/>
      <c r="AB976" s="42"/>
      <c r="AC976" s="42"/>
      <c r="AD976" s="42"/>
      <c r="AE976" s="42"/>
      <c r="AF976" s="42"/>
      <c r="AG976" s="42"/>
      <c r="AH976" s="42"/>
      <c r="AI976" s="42"/>
      <c r="AJ976" s="42"/>
      <c r="AK976" s="42"/>
    </row>
    <row r="977">
      <c r="A977" s="20"/>
      <c r="B977" s="20"/>
      <c r="C977" s="20"/>
      <c r="D977" s="20"/>
      <c r="E977" s="20"/>
      <c r="F977" s="21"/>
      <c r="G977" s="45"/>
      <c r="H977" s="20"/>
      <c r="I977" s="20"/>
      <c r="J977" s="20"/>
      <c r="K977" s="20"/>
      <c r="L977" s="21"/>
      <c r="M977" s="33" t="str">
        <f>IFERROR(__xludf.DUMMYFUNCTION("IFS(W977=""Achat"",IFERROR(VALUE(X977),VALUE(REGEXREPLACE(T(X977),""[^0-9]"",""""))),W977=""Vente"",-IFERROR(VALUE(X977),VALUE(REGEXREPLACE(T(X977),""[^0-9]"",""""))),Y977=""Change"",0,Y977&lt;&gt;""Change"","""")"),"")</f>
        <v/>
      </c>
      <c r="N977" s="34" t="str">
        <f>IFERROR(__xludf.DUMMYFUNCTION("IF(Account!$F977&lt;&gt;"""", VALUE(REGEXREPLACE($I977, ""\,"", ""."")), """")"),"")</f>
        <v/>
      </c>
      <c r="O977" s="35" t="str">
        <f>IF(Account!$F977&lt;&gt;"", DATEVALUE(MID($A977,4,3) &amp; LEFT($A977,3) &amp; RIGHT($A977,4)) + TIMEVALUE($B977), "")</f>
        <v/>
      </c>
      <c r="P977" s="36" t="str">
        <f>IF(Account!$F977&lt;&gt;"", DATEVALUE(MID($C977,4,3) &amp; LEFT($C977,3) &amp; RIGHT($C977,4)), "")</f>
        <v/>
      </c>
      <c r="Q977" s="37" t="str">
        <f t="array" ref="Q977">IF($R977&lt;&gt;"",IFERROR(INDEX(ISIN!$B:$B,MATCH($R977,ISIN!$C:$C,0))),)</f>
        <v/>
      </c>
      <c r="R977" s="38" t="str">
        <f t="array" ref="R977">IF($E977&lt;&gt;"",IFERROR(INDEX(ISIN!$C:$C,MATCH($E977,ISIN!$A:$A,0)),IFERROR(INDEX($R978:$R1200,MATCH($K977,$K978:$K1200,0)))),IF(AND($Y977="change",$H977="EUR"),IF($O977=$O978,$R978,IF($O977=$O976,$R976)),IFERROR(INDEX($R978:$R1200,MATCH(SUBSTITUTE($I977,"-","",1),$K978:$K1200,0)))))</f>
        <v/>
      </c>
      <c r="S977" s="37" t="str">
        <f t="shared" si="1"/>
        <v/>
      </c>
      <c r="T977" s="39" t="str">
        <f t="shared" si="2"/>
        <v/>
      </c>
      <c r="U977" s="40" t="str">
        <f t="shared" si="3"/>
        <v/>
      </c>
      <c r="V977" s="34" t="str">
        <f t="shared" si="4"/>
        <v/>
      </c>
      <c r="W977" s="41" t="str">
        <f>IFERROR(__xludf.DUMMYFUNCTION(" IF(Account!$F977&lt;&gt;"""", SPLIT(Account!$F977, "" ""), """")"),"")</f>
        <v/>
      </c>
      <c r="X977" s="42"/>
      <c r="Y977" s="42"/>
      <c r="Z977" s="42"/>
      <c r="AA977" s="42"/>
      <c r="AB977" s="42"/>
      <c r="AC977" s="42"/>
      <c r="AD977" s="42"/>
      <c r="AE977" s="42"/>
      <c r="AF977" s="42"/>
      <c r="AG977" s="42"/>
      <c r="AH977" s="42"/>
      <c r="AI977" s="42"/>
      <c r="AJ977" s="42"/>
      <c r="AK977" s="42"/>
    </row>
    <row r="978">
      <c r="A978" s="20"/>
      <c r="B978" s="20"/>
      <c r="C978" s="20"/>
      <c r="D978" s="20"/>
      <c r="E978" s="20"/>
      <c r="F978" s="21"/>
      <c r="G978" s="20"/>
      <c r="H978" s="20"/>
      <c r="I978" s="20"/>
      <c r="J978" s="20"/>
      <c r="K978" s="20"/>
      <c r="L978" s="21"/>
      <c r="M978" s="33" t="str">
        <f>IFERROR(__xludf.DUMMYFUNCTION("IFS(W978=""Achat"",IFERROR(VALUE(X978),VALUE(REGEXREPLACE(T(X978),""[^0-9]"",""""))),W978=""Vente"",-IFERROR(VALUE(X978),VALUE(REGEXREPLACE(T(X978),""[^0-9]"",""""))),Y978=""Change"",0,Y978&lt;&gt;""Change"","""")"),"")</f>
        <v/>
      </c>
      <c r="N978" s="34" t="str">
        <f>IFERROR(__xludf.DUMMYFUNCTION("IF(Account!$F978&lt;&gt;"""", VALUE(REGEXREPLACE($I978, ""\,"", ""."")), """")"),"")</f>
        <v/>
      </c>
      <c r="O978" s="35" t="str">
        <f>IF(Account!$F978&lt;&gt;"", DATEVALUE(MID($A978,4,3) &amp; LEFT($A978,3) &amp; RIGHT($A978,4)) + TIMEVALUE($B978), "")</f>
        <v/>
      </c>
      <c r="P978" s="36" t="str">
        <f>IF(Account!$F978&lt;&gt;"", DATEVALUE(MID($C978,4,3) &amp; LEFT($C978,3) &amp; RIGHT($C978,4)), "")</f>
        <v/>
      </c>
      <c r="Q978" s="37" t="str">
        <f t="array" ref="Q978">IF($R978&lt;&gt;"",IFERROR(INDEX(ISIN!$B:$B,MATCH($R978,ISIN!$C:$C,0))),)</f>
        <v/>
      </c>
      <c r="R978" s="38" t="str">
        <f t="array" ref="R978">IF($E978&lt;&gt;"",IFERROR(INDEX(ISIN!$C:$C,MATCH($E978,ISIN!$A:$A,0)),IFERROR(INDEX($R979:$R1200,MATCH($K978,$K979:$K1200,0)))),IF(AND($Y978="change",$H978="EUR"),IF($O978=$O979,$R979,IF($O978=$O977,$R977)),IFERROR(INDEX($R979:$R1200,MATCH(SUBSTITUTE($I978,"-","",1),$K979:$K1200,0)))))</f>
        <v/>
      </c>
      <c r="S978" s="37" t="str">
        <f t="shared" si="1"/>
        <v/>
      </c>
      <c r="T978" s="39" t="str">
        <f t="shared" si="2"/>
        <v/>
      </c>
      <c r="U978" s="40" t="str">
        <f t="shared" si="3"/>
        <v/>
      </c>
      <c r="V978" s="34" t="str">
        <f t="shared" si="4"/>
        <v/>
      </c>
      <c r="W978" s="41" t="str">
        <f>IFERROR(__xludf.DUMMYFUNCTION(" IF(Account!$F978&lt;&gt;"""", SPLIT(Account!$F978, "" ""), """")"),"")</f>
        <v/>
      </c>
      <c r="X978" s="42"/>
      <c r="Y978" s="42"/>
      <c r="Z978" s="42"/>
      <c r="AA978" s="42"/>
      <c r="AB978" s="42"/>
      <c r="AC978" s="42"/>
      <c r="AD978" s="42"/>
      <c r="AE978" s="42"/>
      <c r="AF978" s="42"/>
      <c r="AG978" s="42"/>
      <c r="AH978" s="42"/>
      <c r="AI978" s="42"/>
      <c r="AJ978" s="42"/>
      <c r="AK978" s="42"/>
    </row>
    <row r="979">
      <c r="A979" s="45"/>
      <c r="B979" s="45"/>
      <c r="C979" s="45"/>
      <c r="D979" s="45"/>
      <c r="E979" s="45"/>
      <c r="F979" s="46"/>
      <c r="G979" s="45"/>
      <c r="H979" s="45"/>
      <c r="I979" s="45"/>
      <c r="J979" s="45"/>
      <c r="K979" s="45"/>
      <c r="L979" s="21"/>
      <c r="M979" s="33" t="str">
        <f>IFERROR(__xludf.DUMMYFUNCTION("IFS(W979=""Achat"",IFERROR(VALUE(X979),VALUE(REGEXREPLACE(T(X979),""[^0-9]"",""""))),W979=""Vente"",-IFERROR(VALUE(X979),VALUE(REGEXREPLACE(T(X979),""[^0-9]"",""""))),Y979=""Change"",0,Y979&lt;&gt;""Change"","""")"),"")</f>
        <v/>
      </c>
      <c r="N979" s="34" t="str">
        <f>IFERROR(__xludf.DUMMYFUNCTION("IF(Account!$F979&lt;&gt;"""", VALUE(REGEXREPLACE($I979, ""\,"", ""."")), """")"),"")</f>
        <v/>
      </c>
      <c r="O979" s="35" t="str">
        <f>IF(Account!$F979&lt;&gt;"", DATEVALUE(MID($A979,4,3) &amp; LEFT($A979,3) &amp; RIGHT($A979,4)) + TIMEVALUE($B979), "")</f>
        <v/>
      </c>
      <c r="P979" s="36" t="str">
        <f>IF(Account!$F979&lt;&gt;"", DATEVALUE(MID($C979,4,3) &amp; LEFT($C979,3) &amp; RIGHT($C979,4)), "")</f>
        <v/>
      </c>
      <c r="Q979" s="37" t="str">
        <f t="array" ref="Q979">IF($R979&lt;&gt;"",IFERROR(INDEX(ISIN!$B:$B,MATCH($R979,ISIN!$C:$C,0))),)</f>
        <v/>
      </c>
      <c r="R979" s="38" t="str">
        <f t="array" ref="R979">IF($E979&lt;&gt;"",IFERROR(INDEX(ISIN!$C:$C,MATCH($E979,ISIN!$A:$A,0)),IFERROR(INDEX($R980:$R1200,MATCH($K979,$K980:$K1200,0)))),IF(AND($Y979="change",$H979="EUR"),IF($O979=$O980,$R980,IF($O979=$O978,$R978)),IFERROR(INDEX($R980:$R1200,MATCH(SUBSTITUTE($I979,"-","",1),$K980:$K1200,0)))))</f>
        <v/>
      </c>
      <c r="S979" s="37" t="str">
        <f t="shared" si="1"/>
        <v/>
      </c>
      <c r="T979" s="39" t="str">
        <f t="shared" si="2"/>
        <v/>
      </c>
      <c r="U979" s="40" t="str">
        <f t="shared" si="3"/>
        <v/>
      </c>
      <c r="V979" s="34" t="str">
        <f t="shared" si="4"/>
        <v/>
      </c>
      <c r="W979" s="41" t="str">
        <f>IFERROR(__xludf.DUMMYFUNCTION(" IF(Account!$F979&lt;&gt;"""", SPLIT(Account!$F979, "" ""), """")"),"")</f>
        <v/>
      </c>
      <c r="X979" s="42"/>
      <c r="Y979" s="42"/>
      <c r="Z979" s="42"/>
      <c r="AA979" s="42"/>
      <c r="AB979" s="42"/>
      <c r="AC979" s="42"/>
      <c r="AD979" s="42"/>
      <c r="AE979" s="42"/>
      <c r="AF979" s="42"/>
      <c r="AG979" s="42"/>
      <c r="AH979" s="42"/>
      <c r="AI979" s="42"/>
      <c r="AJ979" s="42"/>
      <c r="AK979" s="42"/>
    </row>
    <row r="980">
      <c r="A980" s="20"/>
      <c r="B980" s="20"/>
      <c r="C980" s="20"/>
      <c r="D980" s="20"/>
      <c r="E980" s="20"/>
      <c r="F980" s="21"/>
      <c r="G980" s="45"/>
      <c r="H980" s="20"/>
      <c r="I980" s="20"/>
      <c r="J980" s="20"/>
      <c r="K980" s="20"/>
      <c r="L980" s="21"/>
      <c r="M980" s="33" t="str">
        <f>IFERROR(__xludf.DUMMYFUNCTION("IFS(W980=""Achat"",IFERROR(VALUE(X980),VALUE(REGEXREPLACE(T(X980),""[^0-9]"",""""))),W980=""Vente"",-IFERROR(VALUE(X980),VALUE(REGEXREPLACE(T(X980),""[^0-9]"",""""))),Y980=""Change"",0,Y980&lt;&gt;""Change"","""")"),"")</f>
        <v/>
      </c>
      <c r="N980" s="34" t="str">
        <f>IFERROR(__xludf.DUMMYFUNCTION("IF(Account!$F980&lt;&gt;"""", VALUE(REGEXREPLACE($I980, ""\,"", ""."")), """")"),"")</f>
        <v/>
      </c>
      <c r="O980" s="35" t="str">
        <f>IF(Account!$F980&lt;&gt;"", DATEVALUE(MID($A980,4,3) &amp; LEFT($A980,3) &amp; RIGHT($A980,4)) + TIMEVALUE($B980), "")</f>
        <v/>
      </c>
      <c r="P980" s="36" t="str">
        <f>IF(Account!$F980&lt;&gt;"", DATEVALUE(MID($C980,4,3) &amp; LEFT($C980,3) &amp; RIGHT($C980,4)), "")</f>
        <v/>
      </c>
      <c r="Q980" s="37" t="str">
        <f t="array" ref="Q980">IF($R980&lt;&gt;"",IFERROR(INDEX(ISIN!$B:$B,MATCH($R980,ISIN!$C:$C,0))),)</f>
        <v/>
      </c>
      <c r="R980" s="38" t="str">
        <f t="array" ref="R980">IF($E980&lt;&gt;"",IFERROR(INDEX(ISIN!$C:$C,MATCH($E980,ISIN!$A:$A,0)),IFERROR(INDEX($R981:$R1200,MATCH($K980,$K981:$K1200,0)))),IF(AND($Y980="change",$H980="EUR"),IF($O980=$O981,$R981,IF($O980=$O979,$R979)),IFERROR(INDEX($R981:$R1200,MATCH(SUBSTITUTE($I980,"-","",1),$K981:$K1200,0)))))</f>
        <v/>
      </c>
      <c r="S980" s="37" t="str">
        <f t="shared" si="1"/>
        <v/>
      </c>
      <c r="T980" s="39" t="str">
        <f t="shared" si="2"/>
        <v/>
      </c>
      <c r="U980" s="40" t="str">
        <f t="shared" si="3"/>
        <v/>
      </c>
      <c r="V980" s="34" t="str">
        <f t="shared" si="4"/>
        <v/>
      </c>
      <c r="W980" s="41" t="str">
        <f>IFERROR(__xludf.DUMMYFUNCTION(" IF(Account!$F980&lt;&gt;"""", SPLIT(Account!$F980, "" ""), """")"),"")</f>
        <v/>
      </c>
      <c r="X980" s="42"/>
      <c r="Y980" s="42"/>
      <c r="Z980" s="42"/>
      <c r="AA980" s="42"/>
      <c r="AB980" s="42"/>
      <c r="AC980" s="42"/>
      <c r="AD980" s="42"/>
      <c r="AE980" s="42"/>
      <c r="AF980" s="42"/>
      <c r="AG980" s="42"/>
      <c r="AH980" s="42"/>
      <c r="AI980" s="42"/>
      <c r="AJ980" s="42"/>
      <c r="AK980" s="42"/>
    </row>
    <row r="981">
      <c r="A981" s="20"/>
      <c r="B981" s="20"/>
      <c r="C981" s="20"/>
      <c r="D981" s="20"/>
      <c r="E981" s="20"/>
      <c r="F981" s="21"/>
      <c r="G981" s="20"/>
      <c r="H981" s="20"/>
      <c r="I981" s="20"/>
      <c r="J981" s="20"/>
      <c r="K981" s="20"/>
      <c r="L981" s="21"/>
      <c r="M981" s="33" t="str">
        <f>IFERROR(__xludf.DUMMYFUNCTION("IFS(W981=""Achat"",IFERROR(VALUE(X981),VALUE(REGEXREPLACE(T(X981),""[^0-9]"",""""))),W981=""Vente"",-IFERROR(VALUE(X981),VALUE(REGEXREPLACE(T(X981),""[^0-9]"",""""))),Y981=""Change"",0,Y981&lt;&gt;""Change"","""")"),"")</f>
        <v/>
      </c>
      <c r="N981" s="34" t="str">
        <f>IFERROR(__xludf.DUMMYFUNCTION("IF(Account!$F981&lt;&gt;"""", VALUE(REGEXREPLACE($I981, ""\,"", ""."")), """")"),"")</f>
        <v/>
      </c>
      <c r="O981" s="35" t="str">
        <f>IF(Account!$F981&lt;&gt;"", DATEVALUE(MID($A981,4,3) &amp; LEFT($A981,3) &amp; RIGHT($A981,4)) + TIMEVALUE($B981), "")</f>
        <v/>
      </c>
      <c r="P981" s="36" t="str">
        <f>IF(Account!$F981&lt;&gt;"", DATEVALUE(MID($C981,4,3) &amp; LEFT($C981,3) &amp; RIGHT($C981,4)), "")</f>
        <v/>
      </c>
      <c r="Q981" s="37" t="str">
        <f t="array" ref="Q981">IF($R981&lt;&gt;"",IFERROR(INDEX(ISIN!$B:$B,MATCH($R981,ISIN!$C:$C,0))),)</f>
        <v/>
      </c>
      <c r="R981" s="38" t="str">
        <f t="array" ref="R981">IF($E981&lt;&gt;"",IFERROR(INDEX(ISIN!$C:$C,MATCH($E981,ISIN!$A:$A,0)),IFERROR(INDEX($R982:$R1200,MATCH($K981,$K982:$K1200,0)))),IF(AND($Y981="change",$H981="EUR"),IF($O981=$O982,$R982,IF($O981=$O980,$R980)),IFERROR(INDEX($R982:$R1200,MATCH(SUBSTITUTE($I981,"-","",1),$K982:$K1200,0)))))</f>
        <v/>
      </c>
      <c r="S981" s="37" t="str">
        <f t="shared" si="1"/>
        <v/>
      </c>
      <c r="T981" s="39" t="str">
        <f t="shared" si="2"/>
        <v/>
      </c>
      <c r="U981" s="40" t="str">
        <f t="shared" si="3"/>
        <v/>
      </c>
      <c r="V981" s="34" t="str">
        <f t="shared" si="4"/>
        <v/>
      </c>
      <c r="W981" s="41" t="str">
        <f>IFERROR(__xludf.DUMMYFUNCTION(" IF(Account!$F981&lt;&gt;"""", SPLIT(Account!$F981, "" ""), """")"),"")</f>
        <v/>
      </c>
      <c r="X981" s="42"/>
      <c r="Y981" s="42"/>
      <c r="Z981" s="42"/>
      <c r="AA981" s="42"/>
      <c r="AB981" s="42"/>
      <c r="AC981" s="42"/>
      <c r="AD981" s="42"/>
      <c r="AE981" s="42"/>
      <c r="AF981" s="42"/>
      <c r="AG981" s="42"/>
      <c r="AH981" s="42"/>
      <c r="AI981" s="42"/>
      <c r="AJ981" s="42"/>
      <c r="AK981" s="42"/>
    </row>
    <row r="982">
      <c r="A982" s="20"/>
      <c r="B982" s="20"/>
      <c r="C982" s="20"/>
      <c r="D982" s="20"/>
      <c r="E982" s="20"/>
      <c r="F982" s="21"/>
      <c r="G982" s="45"/>
      <c r="H982" s="20"/>
      <c r="I982" s="20"/>
      <c r="J982" s="20"/>
      <c r="K982" s="20"/>
      <c r="L982" s="21"/>
      <c r="M982" s="33" t="str">
        <f>IFERROR(__xludf.DUMMYFUNCTION("IFS(W982=""Achat"",IFERROR(VALUE(X982),VALUE(REGEXREPLACE(T(X982),""[^0-9]"",""""))),W982=""Vente"",-IFERROR(VALUE(X982),VALUE(REGEXREPLACE(T(X982),""[^0-9]"",""""))),Y982=""Change"",0,Y982&lt;&gt;""Change"","""")"),"")</f>
        <v/>
      </c>
      <c r="N982" s="34" t="str">
        <f>IFERROR(__xludf.DUMMYFUNCTION("IF(Account!$F982&lt;&gt;"""", VALUE(REGEXREPLACE($I982, ""\,"", ""."")), """")"),"")</f>
        <v/>
      </c>
      <c r="O982" s="35" t="str">
        <f>IF(Account!$F982&lt;&gt;"", DATEVALUE(MID($A982,4,3) &amp; LEFT($A982,3) &amp; RIGHT($A982,4)) + TIMEVALUE($B982), "")</f>
        <v/>
      </c>
      <c r="P982" s="36" t="str">
        <f>IF(Account!$F982&lt;&gt;"", DATEVALUE(MID($C982,4,3) &amp; LEFT($C982,3) &amp; RIGHT($C982,4)), "")</f>
        <v/>
      </c>
      <c r="Q982" s="37" t="str">
        <f t="array" ref="Q982">IF($R982&lt;&gt;"",IFERROR(INDEX(ISIN!$B:$B,MATCH($R982,ISIN!$C:$C,0))),)</f>
        <v/>
      </c>
      <c r="R982" s="38" t="str">
        <f t="array" ref="R982">IF($E982&lt;&gt;"",IFERROR(INDEX(ISIN!$C:$C,MATCH($E982,ISIN!$A:$A,0)),IFERROR(INDEX($R983:$R1200,MATCH($K982,$K983:$K1200,0)))),IF(AND($Y982="change",$H982="EUR"),IF($O982=$O983,$R983,IF($O982=$O981,$R981)),IFERROR(INDEX($R983:$R1200,MATCH(SUBSTITUTE($I982,"-","",1),$K983:$K1200,0)))))</f>
        <v/>
      </c>
      <c r="S982" s="37" t="str">
        <f t="shared" si="1"/>
        <v/>
      </c>
      <c r="T982" s="39" t="str">
        <f t="shared" si="2"/>
        <v/>
      </c>
      <c r="U982" s="40" t="str">
        <f t="shared" si="3"/>
        <v/>
      </c>
      <c r="V982" s="34" t="str">
        <f t="shared" si="4"/>
        <v/>
      </c>
      <c r="W982" s="41" t="str">
        <f>IFERROR(__xludf.DUMMYFUNCTION(" IF(Account!$F982&lt;&gt;"""", SPLIT(Account!$F982, "" ""), """")"),"")</f>
        <v/>
      </c>
      <c r="X982" s="42"/>
      <c r="Y982" s="42"/>
      <c r="Z982" s="42"/>
      <c r="AA982" s="42"/>
      <c r="AB982" s="42"/>
      <c r="AC982" s="42"/>
      <c r="AD982" s="42"/>
      <c r="AE982" s="42"/>
      <c r="AF982" s="42"/>
      <c r="AG982" s="42"/>
      <c r="AH982" s="42"/>
      <c r="AI982" s="42"/>
      <c r="AJ982" s="42"/>
      <c r="AK982" s="42"/>
    </row>
    <row r="983">
      <c r="A983" s="20"/>
      <c r="B983" s="20"/>
      <c r="C983" s="20"/>
      <c r="D983" s="20"/>
      <c r="E983" s="20"/>
      <c r="F983" s="21"/>
      <c r="G983" s="45"/>
      <c r="H983" s="20"/>
      <c r="I983" s="20"/>
      <c r="J983" s="20"/>
      <c r="K983" s="20"/>
      <c r="L983" s="21"/>
      <c r="M983" s="33" t="str">
        <f>IFERROR(__xludf.DUMMYFUNCTION("IFS(W983=""Achat"",IFERROR(VALUE(X983),VALUE(REGEXREPLACE(T(X983),""[^0-9]"",""""))),W983=""Vente"",-IFERROR(VALUE(X983),VALUE(REGEXREPLACE(T(X983),""[^0-9]"",""""))),Y983=""Change"",0,Y983&lt;&gt;""Change"","""")"),"")</f>
        <v/>
      </c>
      <c r="N983" s="34" t="str">
        <f>IFERROR(__xludf.DUMMYFUNCTION("IF(Account!$F983&lt;&gt;"""", VALUE(REGEXREPLACE($I983, ""\,"", ""."")), """")"),"")</f>
        <v/>
      </c>
      <c r="O983" s="35" t="str">
        <f>IF(Account!$F983&lt;&gt;"", DATEVALUE(MID($A983,4,3) &amp; LEFT($A983,3) &amp; RIGHT($A983,4)) + TIMEVALUE($B983), "")</f>
        <v/>
      </c>
      <c r="P983" s="36" t="str">
        <f>IF(Account!$F983&lt;&gt;"", DATEVALUE(MID($C983,4,3) &amp; LEFT($C983,3) &amp; RIGHT($C983,4)), "")</f>
        <v/>
      </c>
      <c r="Q983" s="37" t="str">
        <f t="array" ref="Q983">IF($R983&lt;&gt;"",IFERROR(INDEX(ISIN!$B:$B,MATCH($R983,ISIN!$C:$C,0))),)</f>
        <v/>
      </c>
      <c r="R983" s="38" t="str">
        <f t="array" ref="R983">IF($E983&lt;&gt;"",IFERROR(INDEX(ISIN!$C:$C,MATCH($E983,ISIN!$A:$A,0)),IFERROR(INDEX($R984:$R1200,MATCH($K983,$K984:$K1200,0)))),IF(AND($Y983="change",$H983="EUR"),IF($O983=$O984,$R984,IF($O983=$O982,$R982)),IFERROR(INDEX($R984:$R1200,MATCH(SUBSTITUTE($I983,"-","",1),$K984:$K1200,0)))))</f>
        <v/>
      </c>
      <c r="S983" s="37" t="str">
        <f t="shared" si="1"/>
        <v/>
      </c>
      <c r="T983" s="39" t="str">
        <f t="shared" si="2"/>
        <v/>
      </c>
      <c r="U983" s="40" t="str">
        <f t="shared" si="3"/>
        <v/>
      </c>
      <c r="V983" s="34" t="str">
        <f t="shared" si="4"/>
        <v/>
      </c>
      <c r="W983" s="41" t="str">
        <f>IFERROR(__xludf.DUMMYFUNCTION(" IF(Account!$F983&lt;&gt;"""", SPLIT(Account!$F983, "" ""), """")"),"")</f>
        <v/>
      </c>
      <c r="X983" s="42"/>
      <c r="Y983" s="42"/>
      <c r="Z983" s="42"/>
      <c r="AA983" s="42"/>
      <c r="AB983" s="42"/>
      <c r="AC983" s="42"/>
      <c r="AD983" s="42"/>
      <c r="AE983" s="42"/>
      <c r="AF983" s="42"/>
      <c r="AG983" s="42"/>
      <c r="AH983" s="42"/>
      <c r="AI983" s="42"/>
      <c r="AJ983" s="42"/>
      <c r="AK983" s="42"/>
    </row>
    <row r="984">
      <c r="A984" s="20"/>
      <c r="B984" s="20"/>
      <c r="C984" s="20"/>
      <c r="D984" s="20"/>
      <c r="E984" s="20"/>
      <c r="F984" s="21"/>
      <c r="G984" s="45"/>
      <c r="H984" s="20"/>
      <c r="I984" s="20"/>
      <c r="J984" s="20"/>
      <c r="K984" s="20"/>
      <c r="L984" s="21"/>
      <c r="M984" s="33" t="str">
        <f>IFERROR(__xludf.DUMMYFUNCTION("IFS(W984=""Achat"",IFERROR(VALUE(X984),VALUE(REGEXREPLACE(T(X984),""[^0-9]"",""""))),W984=""Vente"",-IFERROR(VALUE(X984),VALUE(REGEXREPLACE(T(X984),""[^0-9]"",""""))),Y984=""Change"",0,Y984&lt;&gt;""Change"","""")"),"")</f>
        <v/>
      </c>
      <c r="N984" s="34" t="str">
        <f>IFERROR(__xludf.DUMMYFUNCTION("IF(Account!$F984&lt;&gt;"""", VALUE(REGEXREPLACE($I984, ""\,"", ""."")), """")"),"")</f>
        <v/>
      </c>
      <c r="O984" s="35" t="str">
        <f>IF(Account!$F984&lt;&gt;"", DATEVALUE(MID($A984,4,3) &amp; LEFT($A984,3) &amp; RIGHT($A984,4)) + TIMEVALUE($B984), "")</f>
        <v/>
      </c>
      <c r="P984" s="36" t="str">
        <f>IF(Account!$F984&lt;&gt;"", DATEVALUE(MID($C984,4,3) &amp; LEFT($C984,3) &amp; RIGHT($C984,4)), "")</f>
        <v/>
      </c>
      <c r="Q984" s="37" t="str">
        <f t="array" ref="Q984">IF($R984&lt;&gt;"",IFERROR(INDEX(ISIN!$B:$B,MATCH($R984,ISIN!$C:$C,0))),)</f>
        <v/>
      </c>
      <c r="R984" s="38" t="str">
        <f t="array" ref="R984">IF($E984&lt;&gt;"",IFERROR(INDEX(ISIN!$C:$C,MATCH($E984,ISIN!$A:$A,0)),IFERROR(INDEX($R985:$R1200,MATCH($K984,$K985:$K1200,0)))),IF(AND($Y984="change",$H984="EUR"),IF($O984=$O985,$R985,IF($O984=$O983,$R983)),IFERROR(INDEX($R985:$R1200,MATCH(SUBSTITUTE($I984,"-","",1),$K985:$K1200,0)))))</f>
        <v/>
      </c>
      <c r="S984" s="37" t="str">
        <f t="shared" si="1"/>
        <v/>
      </c>
      <c r="T984" s="39" t="str">
        <f t="shared" si="2"/>
        <v/>
      </c>
      <c r="U984" s="40" t="str">
        <f t="shared" si="3"/>
        <v/>
      </c>
      <c r="V984" s="34" t="str">
        <f t="shared" si="4"/>
        <v/>
      </c>
      <c r="W984" s="41" t="str">
        <f>IFERROR(__xludf.DUMMYFUNCTION(" IF(Account!$F984&lt;&gt;"""", SPLIT(Account!$F984, "" ""), """")"),"")</f>
        <v/>
      </c>
      <c r="X984" s="42"/>
      <c r="Y984" s="42"/>
      <c r="Z984" s="42"/>
      <c r="AA984" s="42"/>
      <c r="AB984" s="42"/>
      <c r="AC984" s="42"/>
      <c r="AD984" s="42"/>
      <c r="AE984" s="42"/>
      <c r="AF984" s="42"/>
      <c r="AG984" s="42"/>
      <c r="AH984" s="42"/>
      <c r="AI984" s="42"/>
      <c r="AJ984" s="42"/>
      <c r="AK984" s="42"/>
    </row>
    <row r="985">
      <c r="A985" s="20"/>
      <c r="B985" s="20"/>
      <c r="C985" s="20"/>
      <c r="D985" s="20"/>
      <c r="E985" s="20"/>
      <c r="F985" s="21"/>
      <c r="G985" s="45"/>
      <c r="H985" s="20"/>
      <c r="I985" s="20"/>
      <c r="J985" s="20"/>
      <c r="K985" s="20"/>
      <c r="L985" s="21"/>
      <c r="M985" s="33" t="str">
        <f>IFERROR(__xludf.DUMMYFUNCTION("IFS(W985=""Achat"",IFERROR(VALUE(X985),VALUE(REGEXREPLACE(T(X985),""[^0-9]"",""""))),W985=""Vente"",-IFERROR(VALUE(X985),VALUE(REGEXREPLACE(T(X985),""[^0-9]"",""""))),Y985=""Change"",0,Y985&lt;&gt;""Change"","""")"),"")</f>
        <v/>
      </c>
      <c r="N985" s="34" t="str">
        <f>IFERROR(__xludf.DUMMYFUNCTION("IF(Account!$F985&lt;&gt;"""", VALUE(REGEXREPLACE($I985, ""\,"", ""."")), """")"),"")</f>
        <v/>
      </c>
      <c r="O985" s="35" t="str">
        <f>IF(Account!$F985&lt;&gt;"", DATEVALUE(MID($A985,4,3) &amp; LEFT($A985,3) &amp; RIGHT($A985,4)) + TIMEVALUE($B985), "")</f>
        <v/>
      </c>
      <c r="P985" s="36" t="str">
        <f>IF(Account!$F985&lt;&gt;"", DATEVALUE(MID($C985,4,3) &amp; LEFT($C985,3) &amp; RIGHT($C985,4)), "")</f>
        <v/>
      </c>
      <c r="Q985" s="37" t="str">
        <f t="array" ref="Q985">IF($R985&lt;&gt;"",IFERROR(INDEX(ISIN!$B:$B,MATCH($R985,ISIN!$C:$C,0))),)</f>
        <v/>
      </c>
      <c r="R985" s="38" t="str">
        <f t="array" ref="R985">IF($E985&lt;&gt;"",IFERROR(INDEX(ISIN!$C:$C,MATCH($E985,ISIN!$A:$A,0)),IFERROR(INDEX($R986:$R1200,MATCH($K985,$K986:$K1200,0)))),IF(AND($Y985="change",$H985="EUR"),IF($O985=$O986,$R986,IF($O985=$O984,$R984)),IFERROR(INDEX($R986:$R1200,MATCH(SUBSTITUTE($I985,"-","",1),$K986:$K1200,0)))))</f>
        <v/>
      </c>
      <c r="S985" s="37" t="str">
        <f t="shared" si="1"/>
        <v/>
      </c>
      <c r="T985" s="39" t="str">
        <f t="shared" si="2"/>
        <v/>
      </c>
      <c r="U985" s="40" t="str">
        <f t="shared" si="3"/>
        <v/>
      </c>
      <c r="V985" s="34" t="str">
        <f t="shared" si="4"/>
        <v/>
      </c>
      <c r="W985" s="41" t="str">
        <f>IFERROR(__xludf.DUMMYFUNCTION(" IF(Account!$F985&lt;&gt;"""", SPLIT(Account!$F985, "" ""), """")"),"")</f>
        <v/>
      </c>
      <c r="X985" s="42"/>
      <c r="Y985" s="42"/>
      <c r="Z985" s="42"/>
      <c r="AA985" s="42"/>
      <c r="AB985" s="42"/>
      <c r="AC985" s="42"/>
      <c r="AD985" s="42"/>
      <c r="AE985" s="42"/>
      <c r="AF985" s="42"/>
      <c r="AG985" s="42"/>
      <c r="AH985" s="42"/>
      <c r="AI985" s="42"/>
      <c r="AJ985" s="42"/>
      <c r="AK985" s="42"/>
    </row>
    <row r="986">
      <c r="A986" s="20"/>
      <c r="B986" s="20"/>
      <c r="C986" s="20"/>
      <c r="D986" s="20"/>
      <c r="E986" s="20"/>
      <c r="F986" s="21"/>
      <c r="G986" s="45"/>
      <c r="H986" s="20"/>
      <c r="I986" s="20"/>
      <c r="J986" s="20"/>
      <c r="K986" s="20"/>
      <c r="L986" s="21"/>
      <c r="M986" s="33" t="str">
        <f>IFERROR(__xludf.DUMMYFUNCTION("IFS(W986=""Achat"",IFERROR(VALUE(X986),VALUE(REGEXREPLACE(T(X986),""[^0-9]"",""""))),W986=""Vente"",-IFERROR(VALUE(X986),VALUE(REGEXREPLACE(T(X986),""[^0-9]"",""""))),Y986=""Change"",0,Y986&lt;&gt;""Change"","""")"),"")</f>
        <v/>
      </c>
      <c r="N986" s="34" t="str">
        <f>IFERROR(__xludf.DUMMYFUNCTION("IF(Account!$F986&lt;&gt;"""", VALUE(REGEXREPLACE($I986, ""\,"", ""."")), """")"),"")</f>
        <v/>
      </c>
      <c r="O986" s="35" t="str">
        <f>IF(Account!$F986&lt;&gt;"", DATEVALUE(MID($A986,4,3) &amp; LEFT($A986,3) &amp; RIGHT($A986,4)) + TIMEVALUE($B986), "")</f>
        <v/>
      </c>
      <c r="P986" s="36" t="str">
        <f>IF(Account!$F986&lt;&gt;"", DATEVALUE(MID($C986,4,3) &amp; LEFT($C986,3) &amp; RIGHT($C986,4)), "")</f>
        <v/>
      </c>
      <c r="Q986" s="37" t="str">
        <f t="array" ref="Q986">IF($R986&lt;&gt;"",IFERROR(INDEX(ISIN!$B:$B,MATCH($R986,ISIN!$C:$C,0))),)</f>
        <v/>
      </c>
      <c r="R986" s="38" t="str">
        <f t="array" ref="R986">IF($E986&lt;&gt;"",IFERROR(INDEX(ISIN!$C:$C,MATCH($E986,ISIN!$A:$A,0)),IFERROR(INDEX($R987:$R1200,MATCH($K986,$K987:$K1200,0)))),IF(AND($Y986="change",$H986="EUR"),IF($O986=$O987,$R987,IF($O986=$O985,$R985)),IFERROR(INDEX($R987:$R1200,MATCH(SUBSTITUTE($I986,"-","",1),$K987:$K1200,0)))))</f>
        <v/>
      </c>
      <c r="S986" s="37" t="str">
        <f t="shared" si="1"/>
        <v/>
      </c>
      <c r="T986" s="39" t="str">
        <f t="shared" si="2"/>
        <v/>
      </c>
      <c r="U986" s="40" t="str">
        <f t="shared" si="3"/>
        <v/>
      </c>
      <c r="V986" s="34" t="str">
        <f t="shared" si="4"/>
        <v/>
      </c>
      <c r="W986" s="41" t="str">
        <f>IFERROR(__xludf.DUMMYFUNCTION(" IF(Account!$F986&lt;&gt;"""", SPLIT(Account!$F986, "" ""), """")"),"")</f>
        <v/>
      </c>
      <c r="X986" s="42"/>
      <c r="Y986" s="42"/>
      <c r="Z986" s="42"/>
      <c r="AA986" s="42"/>
      <c r="AB986" s="42"/>
      <c r="AC986" s="42"/>
      <c r="AD986" s="42"/>
      <c r="AE986" s="42"/>
      <c r="AF986" s="42"/>
      <c r="AG986" s="42"/>
      <c r="AH986" s="42"/>
      <c r="AI986" s="42"/>
      <c r="AJ986" s="42"/>
      <c r="AK986" s="42"/>
    </row>
    <row r="987">
      <c r="A987" s="20"/>
      <c r="B987" s="20"/>
      <c r="C987" s="20"/>
      <c r="D987" s="20"/>
      <c r="E987" s="20"/>
      <c r="F987" s="21"/>
      <c r="G987" s="45"/>
      <c r="H987" s="20"/>
      <c r="I987" s="20"/>
      <c r="J987" s="20"/>
      <c r="K987" s="20"/>
      <c r="L987" s="21"/>
      <c r="M987" s="33" t="str">
        <f>IFERROR(__xludf.DUMMYFUNCTION("IFS(W987=""Achat"",IFERROR(VALUE(X987),VALUE(REGEXREPLACE(T(X987),""[^0-9]"",""""))),W987=""Vente"",-IFERROR(VALUE(X987),VALUE(REGEXREPLACE(T(X987),""[^0-9]"",""""))),Y987=""Change"",0,Y987&lt;&gt;""Change"","""")"),"")</f>
        <v/>
      </c>
      <c r="N987" s="34" t="str">
        <f>IFERROR(__xludf.DUMMYFUNCTION("IF(Account!$F987&lt;&gt;"""", VALUE(REGEXREPLACE($I987, ""\,"", ""."")), """")"),"")</f>
        <v/>
      </c>
      <c r="O987" s="35" t="str">
        <f>IF(Account!$F987&lt;&gt;"", DATEVALUE(MID($A987,4,3) &amp; LEFT($A987,3) &amp; RIGHT($A987,4)) + TIMEVALUE($B987), "")</f>
        <v/>
      </c>
      <c r="P987" s="36" t="str">
        <f>IF(Account!$F987&lt;&gt;"", DATEVALUE(MID($C987,4,3) &amp; LEFT($C987,3) &amp; RIGHT($C987,4)), "")</f>
        <v/>
      </c>
      <c r="Q987" s="37" t="str">
        <f t="array" ref="Q987">IF($R987&lt;&gt;"",IFERROR(INDEX(ISIN!$B:$B,MATCH($R987,ISIN!$C:$C,0))),)</f>
        <v/>
      </c>
      <c r="R987" s="38" t="str">
        <f t="array" ref="R987">IF($E987&lt;&gt;"",IFERROR(INDEX(ISIN!$C:$C,MATCH($E987,ISIN!$A:$A,0)),IFERROR(INDEX($R988:$R1200,MATCH($K987,$K988:$K1200,0)))),IF(AND($Y987="change",$H987="EUR"),IF($O987=$O988,$R988,IF($O987=$O986,$R986)),IFERROR(INDEX($R988:$R1200,MATCH(SUBSTITUTE($I987,"-","",1),$K988:$K1200,0)))))</f>
        <v/>
      </c>
      <c r="S987" s="37" t="str">
        <f t="shared" si="1"/>
        <v/>
      </c>
      <c r="T987" s="39" t="str">
        <f t="shared" si="2"/>
        <v/>
      </c>
      <c r="U987" s="40" t="str">
        <f t="shared" si="3"/>
        <v/>
      </c>
      <c r="V987" s="34" t="str">
        <f t="shared" si="4"/>
        <v/>
      </c>
      <c r="W987" s="41" t="str">
        <f>IFERROR(__xludf.DUMMYFUNCTION(" IF(Account!$F987&lt;&gt;"""", SPLIT(Account!$F987, "" ""), """")"),"")</f>
        <v/>
      </c>
      <c r="X987" s="42"/>
      <c r="Y987" s="42"/>
      <c r="Z987" s="42"/>
      <c r="AA987" s="42"/>
      <c r="AB987" s="42"/>
      <c r="AC987" s="42"/>
      <c r="AD987" s="42"/>
      <c r="AE987" s="42"/>
      <c r="AF987" s="42"/>
      <c r="AG987" s="42"/>
      <c r="AH987" s="42"/>
      <c r="AI987" s="42"/>
      <c r="AJ987" s="42"/>
      <c r="AK987" s="42"/>
    </row>
    <row r="988">
      <c r="A988" s="20"/>
      <c r="B988" s="20"/>
      <c r="C988" s="20"/>
      <c r="D988" s="20"/>
      <c r="E988" s="20"/>
      <c r="F988" s="21"/>
      <c r="G988" s="45"/>
      <c r="H988" s="20"/>
      <c r="I988" s="20"/>
      <c r="J988" s="20"/>
      <c r="K988" s="20"/>
      <c r="L988" s="21"/>
      <c r="M988" s="33" t="str">
        <f>IFERROR(__xludf.DUMMYFUNCTION("IFS(W988=""Achat"",IFERROR(VALUE(X988),VALUE(REGEXREPLACE(T(X988),""[^0-9]"",""""))),W988=""Vente"",-IFERROR(VALUE(X988),VALUE(REGEXREPLACE(T(X988),""[^0-9]"",""""))),Y988=""Change"",0,Y988&lt;&gt;""Change"","""")"),"")</f>
        <v/>
      </c>
      <c r="N988" s="34" t="str">
        <f>IFERROR(__xludf.DUMMYFUNCTION("IF(Account!$F988&lt;&gt;"""", VALUE(REGEXREPLACE($I988, ""\,"", ""."")), """")"),"")</f>
        <v/>
      </c>
      <c r="O988" s="35" t="str">
        <f>IF(Account!$F988&lt;&gt;"", DATEVALUE(MID($A988,4,3) &amp; LEFT($A988,3) &amp; RIGHT($A988,4)) + TIMEVALUE($B988), "")</f>
        <v/>
      </c>
      <c r="P988" s="36" t="str">
        <f>IF(Account!$F988&lt;&gt;"", DATEVALUE(MID($C988,4,3) &amp; LEFT($C988,3) &amp; RIGHT($C988,4)), "")</f>
        <v/>
      </c>
      <c r="Q988" s="37" t="str">
        <f t="array" ref="Q988">IF($R988&lt;&gt;"",IFERROR(INDEX(ISIN!$B:$B,MATCH($R988,ISIN!$C:$C,0))),)</f>
        <v/>
      </c>
      <c r="R988" s="38" t="str">
        <f t="array" ref="R988">IF($E988&lt;&gt;"",IFERROR(INDEX(ISIN!$C:$C,MATCH($E988,ISIN!$A:$A,0)),IFERROR(INDEX($R989:$R1200,MATCH($K988,$K989:$K1200,0)))),IF(AND($Y988="change",$H988="EUR"),IF($O988=$O989,$R989,IF($O988=$O987,$R987)),IFERROR(INDEX($R989:$R1200,MATCH(SUBSTITUTE($I988,"-","",1),$K989:$K1200,0)))))</f>
        <v/>
      </c>
      <c r="S988" s="37" t="str">
        <f t="shared" si="1"/>
        <v/>
      </c>
      <c r="T988" s="39" t="str">
        <f t="shared" si="2"/>
        <v/>
      </c>
      <c r="U988" s="40" t="str">
        <f t="shared" si="3"/>
        <v/>
      </c>
      <c r="V988" s="34" t="str">
        <f t="shared" si="4"/>
        <v/>
      </c>
      <c r="W988" s="41" t="str">
        <f>IFERROR(__xludf.DUMMYFUNCTION(" IF(Account!$F988&lt;&gt;"""", SPLIT(Account!$F988, "" ""), """")"),"")</f>
        <v/>
      </c>
      <c r="X988" s="42"/>
      <c r="Y988" s="42"/>
      <c r="Z988" s="42"/>
      <c r="AA988" s="42"/>
      <c r="AB988" s="42"/>
      <c r="AC988" s="42"/>
      <c r="AD988" s="42"/>
      <c r="AE988" s="42"/>
      <c r="AF988" s="42"/>
      <c r="AG988" s="42"/>
      <c r="AH988" s="42"/>
      <c r="AI988" s="42"/>
      <c r="AJ988" s="42"/>
      <c r="AK988" s="42"/>
    </row>
    <row r="989">
      <c r="A989" s="20"/>
      <c r="B989" s="20"/>
      <c r="C989" s="20"/>
      <c r="D989" s="20"/>
      <c r="E989" s="20"/>
      <c r="F989" s="21"/>
      <c r="G989" s="20"/>
      <c r="H989" s="20"/>
      <c r="I989" s="20"/>
      <c r="J989" s="20"/>
      <c r="K989" s="20"/>
      <c r="L989" s="21"/>
      <c r="M989" s="33" t="str">
        <f>IFERROR(__xludf.DUMMYFUNCTION("IFS(W989=""Achat"",IFERROR(VALUE(X989),VALUE(REGEXREPLACE(T(X989),""[^0-9]"",""""))),W989=""Vente"",-IFERROR(VALUE(X989),VALUE(REGEXREPLACE(T(X989),""[^0-9]"",""""))),Y989=""Change"",0,Y989&lt;&gt;""Change"","""")"),"")</f>
        <v/>
      </c>
      <c r="N989" s="34" t="str">
        <f>IFERROR(__xludf.DUMMYFUNCTION("IF(Account!$F989&lt;&gt;"""", VALUE(REGEXREPLACE($I989, ""\,"", ""."")), """")"),"")</f>
        <v/>
      </c>
      <c r="O989" s="35" t="str">
        <f>IF(Account!$F989&lt;&gt;"", DATEVALUE(MID($A989,4,3) &amp; LEFT($A989,3) &amp; RIGHT($A989,4)) + TIMEVALUE($B989), "")</f>
        <v/>
      </c>
      <c r="P989" s="36" t="str">
        <f>IF(Account!$F989&lt;&gt;"", DATEVALUE(MID($C989,4,3) &amp; LEFT($C989,3) &amp; RIGHT($C989,4)), "")</f>
        <v/>
      </c>
      <c r="Q989" s="37" t="str">
        <f t="array" ref="Q989">IF($R989&lt;&gt;"",IFERROR(INDEX(ISIN!$B:$B,MATCH($R989,ISIN!$C:$C,0))),)</f>
        <v/>
      </c>
      <c r="R989" s="38" t="str">
        <f t="array" ref="R989">IF($E989&lt;&gt;"",IFERROR(INDEX(ISIN!$C:$C,MATCH($E989,ISIN!$A:$A,0)),IFERROR(INDEX($R990:$R1200,MATCH($K989,$K990:$K1200,0)))),IF(AND($Y989="change",$H989="EUR"),IF($O989=$O990,$R990,IF($O989=$O988,$R988)),IFERROR(INDEX($R990:$R1200,MATCH(SUBSTITUTE($I989,"-","",1),$K990:$K1200,0)))))</f>
        <v/>
      </c>
      <c r="S989" s="37" t="str">
        <f t="shared" si="1"/>
        <v/>
      </c>
      <c r="T989" s="39" t="str">
        <f t="shared" si="2"/>
        <v/>
      </c>
      <c r="U989" s="40" t="str">
        <f t="shared" si="3"/>
        <v/>
      </c>
      <c r="V989" s="34" t="str">
        <f t="shared" si="4"/>
        <v/>
      </c>
      <c r="W989" s="41" t="str">
        <f>IFERROR(__xludf.DUMMYFUNCTION(" IF(Account!$F989&lt;&gt;"""", SPLIT(Account!$F989, "" ""), """")"),"")</f>
        <v/>
      </c>
      <c r="X989" s="42"/>
      <c r="Y989" s="42"/>
      <c r="Z989" s="42"/>
      <c r="AA989" s="42"/>
      <c r="AB989" s="42"/>
      <c r="AC989" s="42"/>
      <c r="AD989" s="42"/>
      <c r="AE989" s="42"/>
      <c r="AF989" s="42"/>
      <c r="AG989" s="42"/>
      <c r="AH989" s="42"/>
      <c r="AI989" s="42"/>
      <c r="AJ989" s="42"/>
      <c r="AK989" s="42"/>
    </row>
    <row r="990">
      <c r="A990" s="20"/>
      <c r="B990" s="20"/>
      <c r="C990" s="20"/>
      <c r="D990" s="20"/>
      <c r="E990" s="20"/>
      <c r="F990" s="21"/>
      <c r="G990" s="45"/>
      <c r="H990" s="20"/>
      <c r="I990" s="20"/>
      <c r="J990" s="20"/>
      <c r="K990" s="20"/>
      <c r="L990" s="21"/>
      <c r="M990" s="33" t="str">
        <f>IFERROR(__xludf.DUMMYFUNCTION("IFS(W990=""Achat"",IFERROR(VALUE(X990),VALUE(REGEXREPLACE(T(X990),""[^0-9]"",""""))),W990=""Vente"",-IFERROR(VALUE(X990),VALUE(REGEXREPLACE(T(X990),""[^0-9]"",""""))),Y990=""Change"",0,Y990&lt;&gt;""Change"","""")"),"")</f>
        <v/>
      </c>
      <c r="N990" s="34" t="str">
        <f>IFERROR(__xludf.DUMMYFUNCTION("IF(Account!$F990&lt;&gt;"""", VALUE(REGEXREPLACE($I990, ""\,"", ""."")), """")"),"")</f>
        <v/>
      </c>
      <c r="O990" s="35" t="str">
        <f>IF(Account!$F990&lt;&gt;"", DATEVALUE(MID($A990,4,3) &amp; LEFT($A990,3) &amp; RIGHT($A990,4)) + TIMEVALUE($B990), "")</f>
        <v/>
      </c>
      <c r="P990" s="36" t="str">
        <f>IF(Account!$F990&lt;&gt;"", DATEVALUE(MID($C990,4,3) &amp; LEFT($C990,3) &amp; RIGHT($C990,4)), "")</f>
        <v/>
      </c>
      <c r="Q990" s="37" t="str">
        <f t="array" ref="Q990">IF($R990&lt;&gt;"",IFERROR(INDEX(ISIN!$B:$B,MATCH($R990,ISIN!$C:$C,0))),)</f>
        <v/>
      </c>
      <c r="R990" s="38" t="str">
        <f t="array" ref="R990">IF($E990&lt;&gt;"",IFERROR(INDEX(ISIN!$C:$C,MATCH($E990,ISIN!$A:$A,0)),IFERROR(INDEX($R991:$R1200,MATCH($K990,$K991:$K1200,0)))),IF(AND($Y990="change",$H990="EUR"),IF($O990=$O991,$R991,IF($O990=$O989,$R989)),IFERROR(INDEX($R991:$R1200,MATCH(SUBSTITUTE($I990,"-","",1),$K991:$K1200,0)))))</f>
        <v/>
      </c>
      <c r="S990" s="37" t="str">
        <f t="shared" si="1"/>
        <v/>
      </c>
      <c r="T990" s="39" t="str">
        <f t="shared" si="2"/>
        <v/>
      </c>
      <c r="U990" s="40" t="str">
        <f t="shared" si="3"/>
        <v/>
      </c>
      <c r="V990" s="34" t="str">
        <f t="shared" si="4"/>
        <v/>
      </c>
      <c r="W990" s="41" t="str">
        <f>IFERROR(__xludf.DUMMYFUNCTION(" IF(Account!$F990&lt;&gt;"""", SPLIT(Account!$F990, "" ""), """")"),"")</f>
        <v/>
      </c>
      <c r="X990" s="42"/>
      <c r="Y990" s="42"/>
      <c r="Z990" s="42"/>
      <c r="AA990" s="42"/>
      <c r="AB990" s="42"/>
      <c r="AC990" s="42"/>
      <c r="AD990" s="42"/>
      <c r="AE990" s="42"/>
      <c r="AF990" s="42"/>
      <c r="AG990" s="42"/>
      <c r="AH990" s="42"/>
      <c r="AI990" s="42"/>
      <c r="AJ990" s="42"/>
      <c r="AK990" s="42"/>
    </row>
    <row r="991">
      <c r="A991" s="20"/>
      <c r="B991" s="20"/>
      <c r="C991" s="20"/>
      <c r="D991" s="20"/>
      <c r="E991" s="20"/>
      <c r="F991" s="21"/>
      <c r="G991" s="20"/>
      <c r="H991" s="20"/>
      <c r="I991" s="20"/>
      <c r="J991" s="20"/>
      <c r="K991" s="20"/>
      <c r="L991" s="21"/>
      <c r="M991" s="33" t="str">
        <f>IFERROR(__xludf.DUMMYFUNCTION("IFS(W991=""Achat"",IFERROR(VALUE(X991),VALUE(REGEXREPLACE(T(X991),""[^0-9]"",""""))),W991=""Vente"",-IFERROR(VALUE(X991),VALUE(REGEXREPLACE(T(X991),""[^0-9]"",""""))),Y991=""Change"",0,Y991&lt;&gt;""Change"","""")"),"")</f>
        <v/>
      </c>
      <c r="N991" s="34" t="str">
        <f>IFERROR(__xludf.DUMMYFUNCTION("IF(Account!$F991&lt;&gt;"""", VALUE(REGEXREPLACE($I991, ""\,"", ""."")), """")"),"")</f>
        <v/>
      </c>
      <c r="O991" s="35" t="str">
        <f>IF(Account!$F991&lt;&gt;"", DATEVALUE(MID($A991,4,3) &amp; LEFT($A991,3) &amp; RIGHT($A991,4)) + TIMEVALUE($B991), "")</f>
        <v/>
      </c>
      <c r="P991" s="36" t="str">
        <f>IF(Account!$F991&lt;&gt;"", DATEVALUE(MID($C991,4,3) &amp; LEFT($C991,3) &amp; RIGHT($C991,4)), "")</f>
        <v/>
      </c>
      <c r="Q991" s="37" t="str">
        <f t="array" ref="Q991">IF($R991&lt;&gt;"",IFERROR(INDEX(ISIN!$B:$B,MATCH($R991,ISIN!$C:$C,0))),)</f>
        <v/>
      </c>
      <c r="R991" s="38" t="str">
        <f t="array" ref="R991">IF($E991&lt;&gt;"",IFERROR(INDEX(ISIN!$C:$C,MATCH($E991,ISIN!$A:$A,0)),IFERROR(INDEX($R992:$R1200,MATCH($K991,$K992:$K1200,0)))),IF(AND($Y991="change",$H991="EUR"),IF($O991=$O992,$R992,IF($O991=$O990,$R990)),IFERROR(INDEX($R992:$R1200,MATCH(SUBSTITUTE($I991,"-","",1),$K992:$K1200,0)))))</f>
        <v/>
      </c>
      <c r="S991" s="37" t="str">
        <f t="shared" si="1"/>
        <v/>
      </c>
      <c r="T991" s="39" t="str">
        <f t="shared" si="2"/>
        <v/>
      </c>
      <c r="U991" s="40" t="str">
        <f t="shared" si="3"/>
        <v/>
      </c>
      <c r="V991" s="34" t="str">
        <f t="shared" si="4"/>
        <v/>
      </c>
      <c r="W991" s="41" t="str">
        <f>IFERROR(__xludf.DUMMYFUNCTION(" IF(Account!$F991&lt;&gt;"""", SPLIT(Account!$F991, "" ""), """")"),"")</f>
        <v/>
      </c>
      <c r="X991" s="42"/>
      <c r="Y991" s="42"/>
      <c r="Z991" s="42"/>
      <c r="AA991" s="42"/>
      <c r="AB991" s="42"/>
      <c r="AC991" s="42"/>
      <c r="AD991" s="42"/>
      <c r="AE991" s="42"/>
      <c r="AF991" s="42"/>
      <c r="AG991" s="42"/>
      <c r="AH991" s="42"/>
      <c r="AI991" s="42"/>
      <c r="AJ991" s="42"/>
      <c r="AK991" s="42"/>
    </row>
    <row r="992">
      <c r="A992" s="20"/>
      <c r="B992" s="20"/>
      <c r="C992" s="20"/>
      <c r="D992" s="20"/>
      <c r="E992" s="20"/>
      <c r="F992" s="21"/>
      <c r="G992" s="45"/>
      <c r="H992" s="20"/>
      <c r="I992" s="20"/>
      <c r="J992" s="20"/>
      <c r="K992" s="20"/>
      <c r="L992" s="21"/>
      <c r="M992" s="33" t="str">
        <f>IFERROR(__xludf.DUMMYFUNCTION("IFS(W992=""Achat"",IFERROR(VALUE(X992),VALUE(REGEXREPLACE(T(X992),""[^0-9]"",""""))),W992=""Vente"",-IFERROR(VALUE(X992),VALUE(REGEXREPLACE(T(X992),""[^0-9]"",""""))),Y992=""Change"",0,Y992&lt;&gt;""Change"","""")"),"")</f>
        <v/>
      </c>
      <c r="N992" s="34" t="str">
        <f>IFERROR(__xludf.DUMMYFUNCTION("IF(Account!$F992&lt;&gt;"""", VALUE(REGEXREPLACE($I992, ""\,"", ""."")), """")"),"")</f>
        <v/>
      </c>
      <c r="O992" s="35" t="str">
        <f>IF(Account!$F992&lt;&gt;"", DATEVALUE(MID($A992,4,3) &amp; LEFT($A992,3) &amp; RIGHT($A992,4)) + TIMEVALUE($B992), "")</f>
        <v/>
      </c>
      <c r="P992" s="36" t="str">
        <f>IF(Account!$F992&lt;&gt;"", DATEVALUE(MID($C992,4,3) &amp; LEFT($C992,3) &amp; RIGHT($C992,4)), "")</f>
        <v/>
      </c>
      <c r="Q992" s="37" t="str">
        <f t="array" ref="Q992">IF($R992&lt;&gt;"",IFERROR(INDEX(ISIN!$B:$B,MATCH($R992,ISIN!$C:$C,0))),)</f>
        <v/>
      </c>
      <c r="R992" s="38" t="str">
        <f t="array" ref="R992">IF($E992&lt;&gt;"",IFERROR(INDEX(ISIN!$C:$C,MATCH($E992,ISIN!$A:$A,0)),IFERROR(INDEX($R993:$R1200,MATCH($K992,$K993:$K1200,0)))),IF(AND($Y992="change",$H992="EUR"),IF($O992=$O993,$R993,IF($O992=$O991,$R991)),IFERROR(INDEX($R993:$R1200,MATCH(SUBSTITUTE($I992,"-","",1),$K993:$K1200,0)))))</f>
        <v/>
      </c>
      <c r="S992" s="37" t="str">
        <f t="shared" si="1"/>
        <v/>
      </c>
      <c r="T992" s="39" t="str">
        <f t="shared" si="2"/>
        <v/>
      </c>
      <c r="U992" s="40" t="str">
        <f t="shared" si="3"/>
        <v/>
      </c>
      <c r="V992" s="34" t="str">
        <f t="shared" si="4"/>
        <v/>
      </c>
      <c r="W992" s="41" t="str">
        <f>IFERROR(__xludf.DUMMYFUNCTION(" IF(Account!$F992&lt;&gt;"""", SPLIT(Account!$F992, "" ""), """")"),"")</f>
        <v/>
      </c>
      <c r="X992" s="42"/>
      <c r="Y992" s="42"/>
      <c r="Z992" s="42"/>
      <c r="AA992" s="42"/>
      <c r="AB992" s="42"/>
      <c r="AC992" s="42"/>
      <c r="AD992" s="42"/>
      <c r="AE992" s="42"/>
      <c r="AF992" s="42"/>
      <c r="AG992" s="42"/>
      <c r="AH992" s="42"/>
      <c r="AI992" s="42"/>
      <c r="AJ992" s="42"/>
      <c r="AK992" s="42"/>
    </row>
    <row r="993">
      <c r="A993" s="20"/>
      <c r="B993" s="20"/>
      <c r="C993" s="20"/>
      <c r="D993" s="20"/>
      <c r="E993" s="20"/>
      <c r="F993" s="21"/>
      <c r="G993" s="20"/>
      <c r="H993" s="20"/>
      <c r="I993" s="20"/>
      <c r="J993" s="20"/>
      <c r="K993" s="20"/>
      <c r="L993" s="21"/>
      <c r="M993" s="33" t="str">
        <f>IFERROR(__xludf.DUMMYFUNCTION("IFS(W993=""Achat"",IFERROR(VALUE(X993),VALUE(REGEXREPLACE(T(X993),""[^0-9]"",""""))),W993=""Vente"",-IFERROR(VALUE(X993),VALUE(REGEXREPLACE(T(X993),""[^0-9]"",""""))),Y993=""Change"",0,Y993&lt;&gt;""Change"","""")"),"")</f>
        <v/>
      </c>
      <c r="N993" s="34" t="str">
        <f>IFERROR(__xludf.DUMMYFUNCTION("IF(Account!$F993&lt;&gt;"""", VALUE(REGEXREPLACE($I993, ""\,"", ""."")), """")"),"")</f>
        <v/>
      </c>
      <c r="O993" s="35" t="str">
        <f>IF(Account!$F993&lt;&gt;"", DATEVALUE(MID($A993,4,3) &amp; LEFT($A993,3) &amp; RIGHT($A993,4)) + TIMEVALUE($B993), "")</f>
        <v/>
      </c>
      <c r="P993" s="36" t="str">
        <f>IF(Account!$F993&lt;&gt;"", DATEVALUE(MID($C993,4,3) &amp; LEFT($C993,3) &amp; RIGHT($C993,4)), "")</f>
        <v/>
      </c>
      <c r="Q993" s="37" t="str">
        <f t="array" ref="Q993">IF($R993&lt;&gt;"",IFERROR(INDEX(ISIN!$B:$B,MATCH($R993,ISIN!$C:$C,0))),)</f>
        <v/>
      </c>
      <c r="R993" s="38" t="str">
        <f t="array" ref="R993">IF($E993&lt;&gt;"",IFERROR(INDEX(ISIN!$C:$C,MATCH($E993,ISIN!$A:$A,0)),IFERROR(INDEX($R994:$R1200,MATCH($K993,$K994:$K1200,0)))),IF(AND($Y993="change",$H993="EUR"),IF($O993=$O994,$R994,IF($O993=$O992,$R992)),IFERROR(INDEX($R994:$R1200,MATCH(SUBSTITUTE($I993,"-","",1),$K994:$K1200,0)))))</f>
        <v/>
      </c>
      <c r="S993" s="37" t="str">
        <f t="shared" si="1"/>
        <v/>
      </c>
      <c r="T993" s="39" t="str">
        <f t="shared" si="2"/>
        <v/>
      </c>
      <c r="U993" s="40" t="str">
        <f t="shared" si="3"/>
        <v/>
      </c>
      <c r="V993" s="34" t="str">
        <f t="shared" si="4"/>
        <v/>
      </c>
      <c r="W993" s="41" t="str">
        <f>IFERROR(__xludf.DUMMYFUNCTION(" IF(Account!$F993&lt;&gt;"""", SPLIT(Account!$F993, "" ""), """")"),"")</f>
        <v/>
      </c>
      <c r="X993" s="42"/>
      <c r="Y993" s="42"/>
      <c r="Z993" s="42"/>
      <c r="AA993" s="42"/>
      <c r="AB993" s="42"/>
      <c r="AC993" s="42"/>
      <c r="AD993" s="42"/>
      <c r="AE993" s="42"/>
      <c r="AF993" s="42"/>
      <c r="AG993" s="42"/>
      <c r="AH993" s="42"/>
      <c r="AI993" s="42"/>
      <c r="AJ993" s="42"/>
      <c r="AK993" s="42"/>
    </row>
    <row r="994">
      <c r="A994" s="20"/>
      <c r="B994" s="20"/>
      <c r="C994" s="20"/>
      <c r="D994" s="20"/>
      <c r="E994" s="20"/>
      <c r="F994" s="21"/>
      <c r="G994" s="45"/>
      <c r="H994" s="20"/>
      <c r="I994" s="20"/>
      <c r="J994" s="20"/>
      <c r="K994" s="20"/>
      <c r="L994" s="21"/>
      <c r="M994" s="33" t="str">
        <f>IFERROR(__xludf.DUMMYFUNCTION("IFS(W994=""Achat"",IFERROR(VALUE(X994),VALUE(REGEXREPLACE(T(X994),""[^0-9]"",""""))),W994=""Vente"",-IFERROR(VALUE(X994),VALUE(REGEXREPLACE(T(X994),""[^0-9]"",""""))),Y994=""Change"",0,Y994&lt;&gt;""Change"","""")"),"")</f>
        <v/>
      </c>
      <c r="N994" s="34" t="str">
        <f>IFERROR(__xludf.DUMMYFUNCTION("IF(Account!$F994&lt;&gt;"""", VALUE(REGEXREPLACE($I994, ""\,"", ""."")), """")"),"")</f>
        <v/>
      </c>
      <c r="O994" s="35" t="str">
        <f>IF(Account!$F994&lt;&gt;"", DATEVALUE(MID($A994,4,3) &amp; LEFT($A994,3) &amp; RIGHT($A994,4)) + TIMEVALUE($B994), "")</f>
        <v/>
      </c>
      <c r="P994" s="36" t="str">
        <f>IF(Account!$F994&lt;&gt;"", DATEVALUE(MID($C994,4,3) &amp; LEFT($C994,3) &amp; RIGHT($C994,4)), "")</f>
        <v/>
      </c>
      <c r="Q994" s="37" t="str">
        <f t="array" ref="Q994">IF($R994&lt;&gt;"",IFERROR(INDEX(ISIN!$B:$B,MATCH($R994,ISIN!$C:$C,0))),)</f>
        <v/>
      </c>
      <c r="R994" s="38" t="str">
        <f t="array" ref="R994">IF($E994&lt;&gt;"",IFERROR(INDEX(ISIN!$C:$C,MATCH($E994,ISIN!$A:$A,0)),IFERROR(INDEX($R995:$R1200,MATCH($K994,$K995:$K1200,0)))),IF(AND($Y994="change",$H994="EUR"),IF($O994=$O995,$R995,IF($O994=$O993,$R993)),IFERROR(INDEX($R995:$R1200,MATCH(SUBSTITUTE($I994,"-","",1),$K995:$K1200,0)))))</f>
        <v/>
      </c>
      <c r="S994" s="37" t="str">
        <f t="shared" si="1"/>
        <v/>
      </c>
      <c r="T994" s="39" t="str">
        <f t="shared" si="2"/>
        <v/>
      </c>
      <c r="U994" s="40" t="str">
        <f t="shared" si="3"/>
        <v/>
      </c>
      <c r="V994" s="34" t="str">
        <f t="shared" si="4"/>
        <v/>
      </c>
      <c r="W994" s="41" t="str">
        <f>IFERROR(__xludf.DUMMYFUNCTION(" IF(Account!$F994&lt;&gt;"""", SPLIT(Account!$F994, "" ""), """")"),"")</f>
        <v/>
      </c>
      <c r="X994" s="42"/>
      <c r="Y994" s="42"/>
      <c r="Z994" s="42"/>
      <c r="AA994" s="42"/>
      <c r="AB994" s="42"/>
      <c r="AC994" s="42"/>
      <c r="AD994" s="42"/>
      <c r="AE994" s="42"/>
      <c r="AF994" s="42"/>
      <c r="AG994" s="42"/>
      <c r="AH994" s="42"/>
      <c r="AI994" s="42"/>
      <c r="AJ994" s="42"/>
      <c r="AK994" s="42"/>
    </row>
    <row r="995">
      <c r="A995" s="20"/>
      <c r="B995" s="20"/>
      <c r="C995" s="20"/>
      <c r="D995" s="20"/>
      <c r="E995" s="20"/>
      <c r="F995" s="21"/>
      <c r="G995" s="20"/>
      <c r="H995" s="20"/>
      <c r="I995" s="20"/>
      <c r="J995" s="20"/>
      <c r="K995" s="20"/>
      <c r="L995" s="21"/>
      <c r="M995" s="33" t="str">
        <f>IFERROR(__xludf.DUMMYFUNCTION("IFS(W995=""Achat"",IFERROR(VALUE(X995),VALUE(REGEXREPLACE(T(X995),""[^0-9]"",""""))),W995=""Vente"",-IFERROR(VALUE(X995),VALUE(REGEXREPLACE(T(X995),""[^0-9]"",""""))),Y995=""Change"",0,Y995&lt;&gt;""Change"","""")"),"")</f>
        <v/>
      </c>
      <c r="N995" s="34" t="str">
        <f>IFERROR(__xludf.DUMMYFUNCTION("IF(Account!$F995&lt;&gt;"""", VALUE(REGEXREPLACE($I995, ""\,"", ""."")), """")"),"")</f>
        <v/>
      </c>
      <c r="O995" s="35" t="str">
        <f>IF(Account!$F995&lt;&gt;"", DATEVALUE(MID($A995,4,3) &amp; LEFT($A995,3) &amp; RIGHT($A995,4)) + TIMEVALUE($B995), "")</f>
        <v/>
      </c>
      <c r="P995" s="36" t="str">
        <f>IF(Account!$F995&lt;&gt;"", DATEVALUE(MID($C995,4,3) &amp; LEFT($C995,3) &amp; RIGHT($C995,4)), "")</f>
        <v/>
      </c>
      <c r="Q995" s="37" t="str">
        <f t="array" ref="Q995">IF($R995&lt;&gt;"",IFERROR(INDEX(ISIN!$B:$B,MATCH($R995,ISIN!$C:$C,0))),)</f>
        <v/>
      </c>
      <c r="R995" s="38" t="str">
        <f t="array" ref="R995">IF($E995&lt;&gt;"",IFERROR(INDEX(ISIN!$C:$C,MATCH($E995,ISIN!$A:$A,0)),IFERROR(INDEX($R996:$R1200,MATCH($K995,$K996:$K1200,0)))),IF(AND($Y995="change",$H995="EUR"),IF($O995=$O996,$R996,IF($O995=$O994,$R994)),IFERROR(INDEX($R996:$R1200,MATCH(SUBSTITUTE($I995,"-","",1),$K996:$K1200,0)))))</f>
        <v/>
      </c>
      <c r="S995" s="37" t="str">
        <f t="shared" si="1"/>
        <v/>
      </c>
      <c r="T995" s="39" t="str">
        <f t="shared" si="2"/>
        <v/>
      </c>
      <c r="U995" s="40" t="str">
        <f t="shared" si="3"/>
        <v/>
      </c>
      <c r="V995" s="34" t="str">
        <f t="shared" si="4"/>
        <v/>
      </c>
      <c r="W995" s="41" t="str">
        <f>IFERROR(__xludf.DUMMYFUNCTION(" IF(Account!$F995&lt;&gt;"""", SPLIT(Account!$F995, "" ""), """")"),"")</f>
        <v/>
      </c>
      <c r="X995" s="42"/>
      <c r="Y995" s="42"/>
      <c r="Z995" s="42"/>
      <c r="AA995" s="42"/>
      <c r="AB995" s="42"/>
      <c r="AC995" s="42"/>
      <c r="AD995" s="42"/>
      <c r="AE995" s="42"/>
      <c r="AF995" s="42"/>
      <c r="AG995" s="42"/>
      <c r="AH995" s="42"/>
      <c r="AI995" s="42"/>
      <c r="AJ995" s="42"/>
      <c r="AK995" s="42"/>
    </row>
    <row r="996">
      <c r="A996" s="20"/>
      <c r="B996" s="20"/>
      <c r="C996" s="20"/>
      <c r="D996" s="20"/>
      <c r="E996" s="20"/>
      <c r="F996" s="21"/>
      <c r="G996" s="45"/>
      <c r="H996" s="20"/>
      <c r="I996" s="20"/>
      <c r="J996" s="20"/>
      <c r="K996" s="20"/>
      <c r="L996" s="21"/>
      <c r="M996" s="33" t="str">
        <f>IFERROR(__xludf.DUMMYFUNCTION("IFS(W996=""Achat"",IFERROR(VALUE(X996),VALUE(REGEXREPLACE(T(X996),""[^0-9]"",""""))),W996=""Vente"",-IFERROR(VALUE(X996),VALUE(REGEXREPLACE(T(X996),""[^0-9]"",""""))),Y996=""Change"",0,Y996&lt;&gt;""Change"","""")"),"")</f>
        <v/>
      </c>
      <c r="N996" s="34" t="str">
        <f>IFERROR(__xludf.DUMMYFUNCTION("IF(Account!$F996&lt;&gt;"""", VALUE(REGEXREPLACE($I996, ""\,"", ""."")), """")"),"")</f>
        <v/>
      </c>
      <c r="O996" s="35" t="str">
        <f>IF(Account!$F996&lt;&gt;"", DATEVALUE(MID($A996,4,3) &amp; LEFT($A996,3) &amp; RIGHT($A996,4)) + TIMEVALUE($B996), "")</f>
        <v/>
      </c>
      <c r="P996" s="36" t="str">
        <f>IF(Account!$F996&lt;&gt;"", DATEVALUE(MID($C996,4,3) &amp; LEFT($C996,3) &amp; RIGHT($C996,4)), "")</f>
        <v/>
      </c>
      <c r="Q996" s="37" t="str">
        <f t="array" ref="Q996">IF($R996&lt;&gt;"",IFERROR(INDEX(ISIN!$B:$B,MATCH($R996,ISIN!$C:$C,0))),)</f>
        <v/>
      </c>
      <c r="R996" s="38" t="str">
        <f t="array" ref="R996">IF($E996&lt;&gt;"",IFERROR(INDEX(ISIN!$C:$C,MATCH($E996,ISIN!$A:$A,0)),IFERROR(INDEX($R997:$R1200,MATCH($K996,$K997:$K1200,0)))),IF(AND($Y996="change",$H996="EUR"),IF($O996=$O997,$R997,IF($O996=$O995,$R995)),IFERROR(INDEX($R997:$R1200,MATCH(SUBSTITUTE($I996,"-","",1),$K997:$K1200,0)))))</f>
        <v/>
      </c>
      <c r="S996" s="37" t="str">
        <f t="shared" si="1"/>
        <v/>
      </c>
      <c r="T996" s="39" t="str">
        <f t="shared" si="2"/>
        <v/>
      </c>
      <c r="U996" s="40" t="str">
        <f t="shared" si="3"/>
        <v/>
      </c>
      <c r="V996" s="34" t="str">
        <f t="shared" si="4"/>
        <v/>
      </c>
      <c r="W996" s="41" t="str">
        <f>IFERROR(__xludf.DUMMYFUNCTION(" IF(Account!$F996&lt;&gt;"""", SPLIT(Account!$F996, "" ""), """")"),"")</f>
        <v/>
      </c>
      <c r="X996" s="42"/>
      <c r="Y996" s="42"/>
      <c r="Z996" s="42"/>
      <c r="AA996" s="42"/>
      <c r="AB996" s="42"/>
      <c r="AC996" s="42"/>
      <c r="AD996" s="42"/>
      <c r="AE996" s="42"/>
      <c r="AF996" s="42"/>
      <c r="AG996" s="42"/>
      <c r="AH996" s="42"/>
      <c r="AI996" s="42"/>
      <c r="AJ996" s="42"/>
      <c r="AK996" s="42"/>
    </row>
    <row r="997">
      <c r="A997" s="20"/>
      <c r="B997" s="20"/>
      <c r="C997" s="20"/>
      <c r="D997" s="20"/>
      <c r="E997" s="20"/>
      <c r="F997" s="21"/>
      <c r="G997" s="20"/>
      <c r="H997" s="20"/>
      <c r="I997" s="20"/>
      <c r="J997" s="20"/>
      <c r="K997" s="20"/>
      <c r="L997" s="21"/>
      <c r="M997" s="33" t="str">
        <f>IFERROR(__xludf.DUMMYFUNCTION("IFS(W997=""Achat"",IFERROR(VALUE(X997),VALUE(REGEXREPLACE(T(X997),""[^0-9]"",""""))),W997=""Vente"",-IFERROR(VALUE(X997),VALUE(REGEXREPLACE(T(X997),""[^0-9]"",""""))),Y997=""Change"",0,Y997&lt;&gt;""Change"","""")"),"")</f>
        <v/>
      </c>
      <c r="N997" s="34" t="str">
        <f>IFERROR(__xludf.DUMMYFUNCTION("IF(Account!$F997&lt;&gt;"""", VALUE(REGEXREPLACE($I997, ""\,"", ""."")), """")"),"")</f>
        <v/>
      </c>
      <c r="O997" s="35" t="str">
        <f>IF(Account!$F997&lt;&gt;"", DATEVALUE(MID($A997,4,3) &amp; LEFT($A997,3) &amp; RIGHT($A997,4)) + TIMEVALUE($B997), "")</f>
        <v/>
      </c>
      <c r="P997" s="36" t="str">
        <f>IF(Account!$F997&lt;&gt;"", DATEVALUE(MID($C997,4,3) &amp; LEFT($C997,3) &amp; RIGHT($C997,4)), "")</f>
        <v/>
      </c>
      <c r="Q997" s="37" t="str">
        <f t="array" ref="Q997">IF($R997&lt;&gt;"",IFERROR(INDEX(ISIN!$B:$B,MATCH($R997,ISIN!$C:$C,0))),)</f>
        <v/>
      </c>
      <c r="R997" s="38" t="str">
        <f t="array" ref="R997">IF($E997&lt;&gt;"",IFERROR(INDEX(ISIN!$C:$C,MATCH($E997,ISIN!$A:$A,0)),IFERROR(INDEX($R998:$R1200,MATCH($K997,$K998:$K1200,0)))),IF(AND($Y997="change",$H997="EUR"),IF($O997=$O998,$R998,IF($O997=$O996,$R996)),IFERROR(INDEX($R998:$R1200,MATCH(SUBSTITUTE($I997,"-","",1),$K998:$K1200,0)))))</f>
        <v/>
      </c>
      <c r="S997" s="37" t="str">
        <f t="shared" si="1"/>
        <v/>
      </c>
      <c r="T997" s="39" t="str">
        <f t="shared" si="2"/>
        <v/>
      </c>
      <c r="U997" s="40" t="str">
        <f t="shared" si="3"/>
        <v/>
      </c>
      <c r="V997" s="34" t="str">
        <f t="shared" si="4"/>
        <v/>
      </c>
      <c r="W997" s="41" t="str">
        <f>IFERROR(__xludf.DUMMYFUNCTION(" IF(Account!$F997&lt;&gt;"""", SPLIT(Account!$F997, "" ""), """")"),"")</f>
        <v/>
      </c>
      <c r="X997" s="42"/>
      <c r="Y997" s="42"/>
      <c r="Z997" s="42"/>
      <c r="AA997" s="42"/>
      <c r="AB997" s="42"/>
      <c r="AC997" s="42"/>
      <c r="AD997" s="42"/>
      <c r="AE997" s="42"/>
      <c r="AF997" s="42"/>
      <c r="AG997" s="42"/>
      <c r="AH997" s="42"/>
      <c r="AI997" s="42"/>
      <c r="AJ997" s="42"/>
      <c r="AK997" s="42"/>
    </row>
    <row r="998">
      <c r="A998" s="20"/>
      <c r="B998" s="20"/>
      <c r="C998" s="20"/>
      <c r="D998" s="20"/>
      <c r="E998" s="20"/>
      <c r="F998" s="21"/>
      <c r="G998" s="45"/>
      <c r="H998" s="20"/>
      <c r="I998" s="20"/>
      <c r="J998" s="20"/>
      <c r="K998" s="20"/>
      <c r="L998" s="21"/>
      <c r="M998" s="33" t="str">
        <f>IFERROR(__xludf.DUMMYFUNCTION("IFS(W998=""Achat"",IFERROR(VALUE(X998),VALUE(REGEXREPLACE(T(X998),""[^0-9]"",""""))),W998=""Vente"",-IFERROR(VALUE(X998),VALUE(REGEXREPLACE(T(X998),""[^0-9]"",""""))),Y998=""Change"",0,Y998&lt;&gt;""Change"","""")"),"")</f>
        <v/>
      </c>
      <c r="N998" s="34" t="str">
        <f>IFERROR(__xludf.DUMMYFUNCTION("IF(Account!$F998&lt;&gt;"""", VALUE(REGEXREPLACE($I998, ""\,"", ""."")), """")"),"")</f>
        <v/>
      </c>
      <c r="O998" s="35" t="str">
        <f>IF(Account!$F998&lt;&gt;"", DATEVALUE(MID($A998,4,3) &amp; LEFT($A998,3) &amp; RIGHT($A998,4)) + TIMEVALUE($B998), "")</f>
        <v/>
      </c>
      <c r="P998" s="36" t="str">
        <f>IF(Account!$F998&lt;&gt;"", DATEVALUE(MID($C998,4,3) &amp; LEFT($C998,3) &amp; RIGHT($C998,4)), "")</f>
        <v/>
      </c>
      <c r="Q998" s="37" t="str">
        <f t="array" ref="Q998">IF($R998&lt;&gt;"",IFERROR(INDEX(ISIN!$B:$B,MATCH($R998,ISIN!$C:$C,0))),)</f>
        <v/>
      </c>
      <c r="R998" s="38" t="str">
        <f t="array" ref="R998">IF($E998&lt;&gt;"",IFERROR(INDEX(ISIN!$C:$C,MATCH($E998,ISIN!$A:$A,0)),IFERROR(INDEX($R999:$R1200,MATCH($K998,$K999:$K1200,0)))),IF(AND($Y998="change",$H998="EUR"),IF($O998=$O999,$R999,IF($O998=$O997,$R997)),IFERROR(INDEX($R999:$R1200,MATCH(SUBSTITUTE($I998,"-","",1),$K999:$K1200,0)))))</f>
        <v/>
      </c>
      <c r="S998" s="37" t="str">
        <f t="shared" si="1"/>
        <v/>
      </c>
      <c r="T998" s="39" t="str">
        <f t="shared" si="2"/>
        <v/>
      </c>
      <c r="U998" s="40" t="str">
        <f t="shared" si="3"/>
        <v/>
      </c>
      <c r="V998" s="34" t="str">
        <f t="shared" si="4"/>
        <v/>
      </c>
      <c r="W998" s="41" t="str">
        <f>IFERROR(__xludf.DUMMYFUNCTION(" IF(Account!$F998&lt;&gt;"""", SPLIT(Account!$F998, "" ""), """")"),"")</f>
        <v/>
      </c>
      <c r="X998" s="42"/>
      <c r="Y998" s="42"/>
      <c r="Z998" s="42"/>
      <c r="AA998" s="42"/>
      <c r="AB998" s="42"/>
      <c r="AC998" s="42"/>
      <c r="AD998" s="42"/>
      <c r="AE998" s="42"/>
      <c r="AF998" s="42"/>
      <c r="AG998" s="42"/>
      <c r="AH998" s="42"/>
      <c r="AI998" s="42"/>
      <c r="AJ998" s="42"/>
      <c r="AK998" s="42"/>
    </row>
    <row r="999">
      <c r="A999" s="20"/>
      <c r="B999" s="20"/>
      <c r="C999" s="20"/>
      <c r="D999" s="20"/>
      <c r="E999" s="20"/>
      <c r="F999" s="21"/>
      <c r="G999" s="20"/>
      <c r="H999" s="20"/>
      <c r="I999" s="20"/>
      <c r="J999" s="20"/>
      <c r="K999" s="20"/>
      <c r="L999" s="21"/>
      <c r="M999" s="33" t="str">
        <f>IFERROR(__xludf.DUMMYFUNCTION("IFS(W999=""Achat"",IFERROR(VALUE(X999),VALUE(REGEXREPLACE(T(X999),""[^0-9]"",""""))),W999=""Vente"",-IFERROR(VALUE(X999),VALUE(REGEXREPLACE(T(X999),""[^0-9]"",""""))),Y999=""Change"",0,Y999&lt;&gt;""Change"","""")"),"")</f>
        <v/>
      </c>
      <c r="N999" s="34" t="str">
        <f>IFERROR(__xludf.DUMMYFUNCTION("IF(Account!$F999&lt;&gt;"""", VALUE(REGEXREPLACE($I999, ""\,"", ""."")), """")"),"")</f>
        <v/>
      </c>
      <c r="O999" s="35" t="str">
        <f>IF(Account!$F999&lt;&gt;"", DATEVALUE(MID($A999,4,3) &amp; LEFT($A999,3) &amp; RIGHT($A999,4)) + TIMEVALUE($B999), "")</f>
        <v/>
      </c>
      <c r="P999" s="36" t="str">
        <f>IF(Account!$F999&lt;&gt;"", DATEVALUE(MID($C999,4,3) &amp; LEFT($C999,3) &amp; RIGHT($C999,4)), "")</f>
        <v/>
      </c>
      <c r="Q999" s="37" t="str">
        <f t="array" ref="Q999">IF($R999&lt;&gt;"",IFERROR(INDEX(ISIN!$B:$B,MATCH($R999,ISIN!$C:$C,0))),)</f>
        <v/>
      </c>
      <c r="R999" s="38" t="str">
        <f t="array" ref="R999">IF($E999&lt;&gt;"",IFERROR(INDEX(ISIN!$C:$C,MATCH($E999,ISIN!$A:$A,0)),IFERROR(INDEX($R1000:$R1200,MATCH($K999,$K1000:$K1200,0)))),IF(AND($Y999="change",$H999="EUR"),IF($O999=$O1000,$R1000,IF($O999=$O998,$R998)),IFERROR(INDEX($R1000:$R1200,MATCH(SUBSTITUTE($I999,"-","",1),$K1000:$K1200,0)))))</f>
        <v/>
      </c>
      <c r="S999" s="37" t="str">
        <f t="shared" si="1"/>
        <v/>
      </c>
      <c r="T999" s="39" t="str">
        <f t="shared" si="2"/>
        <v/>
      </c>
      <c r="U999" s="40" t="str">
        <f t="shared" si="3"/>
        <v/>
      </c>
      <c r="V999" s="34" t="str">
        <f t="shared" si="4"/>
        <v/>
      </c>
      <c r="W999" s="41" t="str">
        <f>IFERROR(__xludf.DUMMYFUNCTION(" IF(Account!$F999&lt;&gt;"""", SPLIT(Account!$F999, "" ""), """")"),"")</f>
        <v/>
      </c>
      <c r="X999" s="42"/>
      <c r="Y999" s="42"/>
      <c r="Z999" s="42"/>
      <c r="AA999" s="42"/>
      <c r="AB999" s="42"/>
      <c r="AC999" s="42"/>
      <c r="AD999" s="42"/>
      <c r="AE999" s="42"/>
      <c r="AF999" s="42"/>
      <c r="AG999" s="42"/>
      <c r="AH999" s="42"/>
      <c r="AI999" s="42"/>
      <c r="AJ999" s="42"/>
      <c r="AK999" s="42"/>
    </row>
    <row r="1000">
      <c r="A1000" s="20"/>
      <c r="B1000" s="20"/>
      <c r="C1000" s="20"/>
      <c r="D1000" s="20"/>
      <c r="E1000" s="20"/>
      <c r="F1000" s="21"/>
      <c r="G1000" s="45"/>
      <c r="H1000" s="20"/>
      <c r="I1000" s="20"/>
      <c r="J1000" s="20"/>
      <c r="K1000" s="20"/>
      <c r="L1000" s="21"/>
      <c r="M1000" s="33" t="str">
        <f>IFERROR(__xludf.DUMMYFUNCTION("IFS(W1000=""Achat"",IFERROR(VALUE(X1000),VALUE(REGEXREPLACE(T(X1000),""[^0-9]"",""""))),W1000=""Vente"",-IFERROR(VALUE(X1000),VALUE(REGEXREPLACE(T(X1000),""[^0-9]"",""""))),Y1000=""Change"",0,Y1000&lt;&gt;""Change"","""")"),"")</f>
        <v/>
      </c>
      <c r="N1000" s="34" t="str">
        <f>IFERROR(__xludf.DUMMYFUNCTION("IF(Account!$F1000&lt;&gt;"""", VALUE(REGEXREPLACE($I1000, ""\,"", ""."")), """")"),"")</f>
        <v/>
      </c>
      <c r="O1000" s="35" t="str">
        <f>IF(Account!$F1000&lt;&gt;"", DATEVALUE(MID($A1000,4,3) &amp; LEFT($A1000,3) &amp; RIGHT($A1000,4)) + TIMEVALUE($B1000), "")</f>
        <v/>
      </c>
      <c r="P1000" s="36" t="str">
        <f>IF(Account!$F1000&lt;&gt;"", DATEVALUE(MID($C1000,4,3) &amp; LEFT($C1000,3) &amp; RIGHT($C1000,4)), "")</f>
        <v/>
      </c>
      <c r="Q1000" s="37" t="str">
        <f t="array" ref="Q1000">IF($R1000&lt;&gt;"",IFERROR(INDEX(ISIN!$B:$B,MATCH($R1000,ISIN!$C:$C,0))),)</f>
        <v/>
      </c>
      <c r="R1000" s="38" t="str">
        <f t="array" ref="R1000">IF($E1000&lt;&gt;"",IFERROR(INDEX(ISIN!$C:$C,MATCH($E1000,ISIN!$A:$A,0)),IFERROR(INDEX($R1001:$R1200,MATCH($K1000,$K1001:$K1200,0)))),IF(AND($Y1000="change",$H1000="EUR"),IF($O1000=$O1001,$R1001,IF($O1000=$O999,$R999)),IFERROR(INDEX($R1001:$R1200,MATCH(SUBSTITUTE($I1000,"-","",1),$K1001:$K1200,0)))))</f>
        <v/>
      </c>
      <c r="S1000" s="37" t="str">
        <f t="shared" si="1"/>
        <v/>
      </c>
      <c r="T1000" s="39" t="str">
        <f t="shared" si="2"/>
        <v/>
      </c>
      <c r="U1000" s="40" t="str">
        <f t="shared" si="3"/>
        <v/>
      </c>
      <c r="V1000" s="34" t="str">
        <f t="shared" si="4"/>
        <v/>
      </c>
      <c r="W1000" s="41" t="str">
        <f>IFERROR(__xludf.DUMMYFUNCTION(" IF(Account!$F1000&lt;&gt;"""", SPLIT(Account!$F1000, "" ""), """")"),"")</f>
        <v/>
      </c>
      <c r="X1000" s="42"/>
      <c r="Y1000" s="42"/>
      <c r="Z1000" s="42"/>
      <c r="AA1000" s="42"/>
      <c r="AB1000" s="42"/>
      <c r="AC1000" s="42"/>
      <c r="AD1000" s="42"/>
      <c r="AE1000" s="42"/>
      <c r="AF1000" s="42"/>
      <c r="AG1000" s="42"/>
      <c r="AH1000" s="42"/>
      <c r="AI1000" s="42"/>
      <c r="AJ1000" s="42"/>
      <c r="AK1000" s="42"/>
    </row>
    <row r="1001">
      <c r="A1001" s="20"/>
      <c r="B1001" s="20"/>
      <c r="C1001" s="20"/>
      <c r="D1001" s="20"/>
      <c r="E1001" s="20"/>
      <c r="F1001" s="21"/>
      <c r="G1001" s="20"/>
      <c r="H1001" s="20"/>
      <c r="I1001" s="20"/>
      <c r="J1001" s="20"/>
      <c r="K1001" s="20"/>
      <c r="L1001" s="21"/>
      <c r="M1001" s="33" t="str">
        <f>IFERROR(__xludf.DUMMYFUNCTION("IFS(W1001=""Achat"",IFERROR(VALUE(X1001),VALUE(REGEXREPLACE(T(X1001),""[^0-9]"",""""))),W1001=""Vente"",-IFERROR(VALUE(X1001),VALUE(REGEXREPLACE(T(X1001),""[^0-9]"",""""))),Y1001=""Change"",0,Y1001&lt;&gt;""Change"","""")"),"")</f>
        <v/>
      </c>
      <c r="N1001" s="34" t="str">
        <f>IFERROR(__xludf.DUMMYFUNCTION("IF(Account!$F1001&lt;&gt;"""", VALUE(REGEXREPLACE($I1001, ""\,"", ""."")), """")"),"")</f>
        <v/>
      </c>
      <c r="O1001" s="35" t="str">
        <f>IF(Account!$F1001&lt;&gt;"", DATEVALUE(MID($A1001,4,3) &amp; LEFT($A1001,3) &amp; RIGHT($A1001,4)) + TIMEVALUE($B1001), "")</f>
        <v/>
      </c>
      <c r="P1001" s="36" t="str">
        <f>IF(Account!$F1001&lt;&gt;"", DATEVALUE(MID($C1001,4,3) &amp; LEFT($C1001,3) &amp; RIGHT($C1001,4)), "")</f>
        <v/>
      </c>
      <c r="Q1001" s="37" t="str">
        <f t="array" ref="Q1001">IF($R1001&lt;&gt;"",IFERROR(INDEX(ISIN!$B:$B,MATCH($R1001,ISIN!$C:$C,0))),)</f>
        <v/>
      </c>
      <c r="R1001" s="38" t="str">
        <f t="array" ref="R1001">IF($E1001&lt;&gt;"",IFERROR(INDEX(ISIN!$C:$C,MATCH($E1001,ISIN!$A:$A,0)),IFERROR(INDEX($R1002:$R1200,MATCH($K1001,$K1002:$K1200,0)))),IF(AND($Y1001="change",$H1001="EUR"),IF($O1001=$O1002,$R1002,IF($O1001=$O1000,$R1000)),IFERROR(INDEX($R1002:$R1200,MATCH(SUBSTITUTE($I1001,"-","",1),$K1002:$K1200,0)))))</f>
        <v/>
      </c>
      <c r="S1001" s="37" t="str">
        <f t="shared" si="1"/>
        <v/>
      </c>
      <c r="T1001" s="39" t="str">
        <f t="shared" si="2"/>
        <v/>
      </c>
      <c r="U1001" s="40" t="str">
        <f t="shared" si="3"/>
        <v/>
      </c>
      <c r="V1001" s="34" t="str">
        <f t="shared" si="4"/>
        <v/>
      </c>
      <c r="W1001" s="41" t="str">
        <f>IFERROR(__xludf.DUMMYFUNCTION(" IF(Account!$F1001&lt;&gt;"""", SPLIT(Account!$F1001, "" ""), """")"),"")</f>
        <v/>
      </c>
      <c r="X1001" s="42"/>
      <c r="Y1001" s="42"/>
      <c r="Z1001" s="42"/>
      <c r="AA1001" s="42"/>
      <c r="AB1001" s="42"/>
      <c r="AC1001" s="42"/>
      <c r="AD1001" s="42"/>
      <c r="AE1001" s="42"/>
      <c r="AF1001" s="42"/>
      <c r="AG1001" s="42"/>
      <c r="AH1001" s="42"/>
      <c r="AI1001" s="42"/>
      <c r="AJ1001" s="42"/>
      <c r="AK1001" s="42"/>
    </row>
    <row r="1002">
      <c r="A1002" s="20"/>
      <c r="B1002" s="20"/>
      <c r="C1002" s="20"/>
      <c r="D1002" s="20"/>
      <c r="E1002" s="20"/>
      <c r="F1002" s="21"/>
      <c r="G1002" s="45"/>
      <c r="H1002" s="20"/>
      <c r="I1002" s="20"/>
      <c r="J1002" s="20"/>
      <c r="K1002" s="20"/>
      <c r="L1002" s="21"/>
      <c r="M1002" s="33" t="str">
        <f>IFERROR(__xludf.DUMMYFUNCTION("IFS(W1002=""Achat"",IFERROR(VALUE(X1002),VALUE(REGEXREPLACE(T(X1002),""[^0-9]"",""""))),W1002=""Vente"",-IFERROR(VALUE(X1002),VALUE(REGEXREPLACE(T(X1002),""[^0-9]"",""""))),Y1002=""Change"",0,Y1002&lt;&gt;""Change"","""")"),"")</f>
        <v/>
      </c>
      <c r="N1002" s="34" t="str">
        <f>IFERROR(__xludf.DUMMYFUNCTION("IF(Account!$F1002&lt;&gt;"""", VALUE(REGEXREPLACE($I1002, ""\,"", ""."")), """")"),"")</f>
        <v/>
      </c>
      <c r="O1002" s="35" t="str">
        <f>IF(Account!$F1002&lt;&gt;"", DATEVALUE(MID($A1002,4,3) &amp; LEFT($A1002,3) &amp; RIGHT($A1002,4)) + TIMEVALUE($B1002), "")</f>
        <v/>
      </c>
      <c r="P1002" s="36" t="str">
        <f>IF(Account!$F1002&lt;&gt;"", DATEVALUE(MID($C1002,4,3) &amp; LEFT($C1002,3) &amp; RIGHT($C1002,4)), "")</f>
        <v/>
      </c>
      <c r="Q1002" s="37" t="str">
        <f t="array" ref="Q1002">IF($R1002&lt;&gt;"",IFERROR(INDEX(ISIN!$B:$B,MATCH($R1002,ISIN!$C:$C,0))),)</f>
        <v/>
      </c>
      <c r="R1002" s="38" t="str">
        <f t="array" ref="R1002">IF($E1002&lt;&gt;"",IFERROR(INDEX(ISIN!$C:$C,MATCH($E1002,ISIN!$A:$A,0)),IFERROR(INDEX($R1003:$R1200,MATCH($K1002,$K1003:$K1200,0)))),IF(AND($Y1002="change",$H1002="EUR"),IF($O1002=$O1003,$R1003,IF($O1002=$O1001,$R1001)),IFERROR(INDEX($R1003:$R1200,MATCH(SUBSTITUTE($I1002,"-","",1),$K1003:$K1200,0)))))</f>
        <v/>
      </c>
      <c r="S1002" s="37" t="str">
        <f t="shared" si="1"/>
        <v/>
      </c>
      <c r="T1002" s="39" t="str">
        <f t="shared" si="2"/>
        <v/>
      </c>
      <c r="U1002" s="40" t="str">
        <f t="shared" si="3"/>
        <v/>
      </c>
      <c r="V1002" s="34" t="str">
        <f t="shared" si="4"/>
        <v/>
      </c>
      <c r="W1002" s="41" t="str">
        <f>IFERROR(__xludf.DUMMYFUNCTION(" IF(Account!$F1002&lt;&gt;"""", SPLIT(Account!$F1002, "" ""), """")"),"")</f>
        <v/>
      </c>
      <c r="X1002" s="42"/>
      <c r="Y1002" s="42"/>
      <c r="Z1002" s="42"/>
      <c r="AA1002" s="42"/>
      <c r="AB1002" s="42"/>
      <c r="AC1002" s="42"/>
      <c r="AD1002" s="42"/>
      <c r="AE1002" s="42"/>
      <c r="AF1002" s="42"/>
      <c r="AG1002" s="42"/>
      <c r="AH1002" s="42"/>
      <c r="AI1002" s="42"/>
      <c r="AJ1002" s="42"/>
      <c r="AK1002" s="42"/>
    </row>
    <row r="1003">
      <c r="A1003" s="20"/>
      <c r="B1003" s="20"/>
      <c r="C1003" s="20"/>
      <c r="D1003" s="20"/>
      <c r="E1003" s="20"/>
      <c r="F1003" s="21"/>
      <c r="G1003" s="45"/>
      <c r="H1003" s="20"/>
      <c r="I1003" s="20"/>
      <c r="J1003" s="20"/>
      <c r="K1003" s="20"/>
      <c r="L1003" s="21"/>
      <c r="M1003" s="33" t="str">
        <f>IFERROR(__xludf.DUMMYFUNCTION("IFS(W1003=""Achat"",IFERROR(VALUE(X1003),VALUE(REGEXREPLACE(T(X1003),""[^0-9]"",""""))),W1003=""Vente"",-IFERROR(VALUE(X1003),VALUE(REGEXREPLACE(T(X1003),""[^0-9]"",""""))),Y1003=""Change"",0,Y1003&lt;&gt;""Change"","""")"),"")</f>
        <v/>
      </c>
      <c r="N1003" s="34" t="str">
        <f>IFERROR(__xludf.DUMMYFUNCTION("IF(Account!$F1003&lt;&gt;"""", VALUE(REGEXREPLACE($I1003, ""\,"", ""."")), """")"),"")</f>
        <v/>
      </c>
      <c r="O1003" s="35" t="str">
        <f>IF(Account!$F1003&lt;&gt;"", DATEVALUE(MID($A1003,4,3) &amp; LEFT($A1003,3) &amp; RIGHT($A1003,4)) + TIMEVALUE($B1003), "")</f>
        <v/>
      </c>
      <c r="P1003" s="36" t="str">
        <f>IF(Account!$F1003&lt;&gt;"", DATEVALUE(MID($C1003,4,3) &amp; LEFT($C1003,3) &amp; RIGHT($C1003,4)), "")</f>
        <v/>
      </c>
      <c r="Q1003" s="37" t="str">
        <f t="array" ref="Q1003">IF($R1003&lt;&gt;"",IFERROR(INDEX(ISIN!$B:$B,MATCH($R1003,ISIN!$C:$C,0))),)</f>
        <v/>
      </c>
      <c r="R1003" s="38" t="str">
        <f t="array" ref="R1003">IF($E1003&lt;&gt;"",IFERROR(INDEX(ISIN!$C:$C,MATCH($E1003,ISIN!$A:$A,0)),IFERROR(INDEX($R1004:$R1200,MATCH($K1003,$K1004:$K1200,0)))),IF(AND($Y1003="change",$H1003="EUR"),IF($O1003=$O1004,$R1004,IF($O1003=$O1002,$R1002)),IFERROR(INDEX($R1004:$R1200,MATCH(SUBSTITUTE($I1003,"-","",1),$K1004:$K1200,0)))))</f>
        <v/>
      </c>
      <c r="S1003" s="37" t="str">
        <f t="shared" si="1"/>
        <v/>
      </c>
      <c r="T1003" s="39" t="str">
        <f t="shared" si="2"/>
        <v/>
      </c>
      <c r="U1003" s="40" t="str">
        <f t="shared" si="3"/>
        <v/>
      </c>
      <c r="V1003" s="34" t="str">
        <f t="shared" si="4"/>
        <v/>
      </c>
      <c r="W1003" s="41" t="str">
        <f>IFERROR(__xludf.DUMMYFUNCTION(" IF(Account!$F1003&lt;&gt;"""", SPLIT(Account!$F1003, "" ""), """")"),"")</f>
        <v/>
      </c>
      <c r="X1003" s="42"/>
      <c r="Y1003" s="42"/>
      <c r="Z1003" s="42"/>
      <c r="AA1003" s="42"/>
      <c r="AB1003" s="42"/>
      <c r="AC1003" s="42"/>
      <c r="AD1003" s="42"/>
      <c r="AE1003" s="42"/>
      <c r="AF1003" s="42"/>
      <c r="AG1003" s="42"/>
      <c r="AH1003" s="42"/>
      <c r="AI1003" s="42"/>
      <c r="AJ1003" s="42"/>
      <c r="AK1003" s="42"/>
    </row>
    <row r="1004">
      <c r="A1004" s="20"/>
      <c r="B1004" s="20"/>
      <c r="C1004" s="20"/>
      <c r="D1004" s="20"/>
      <c r="E1004" s="20"/>
      <c r="F1004" s="21"/>
      <c r="G1004" s="45"/>
      <c r="H1004" s="20"/>
      <c r="I1004" s="20"/>
      <c r="J1004" s="20"/>
      <c r="K1004" s="20"/>
      <c r="L1004" s="21"/>
      <c r="M1004" s="33" t="str">
        <f>IFERROR(__xludf.DUMMYFUNCTION("IFS(W1004=""Achat"",IFERROR(VALUE(X1004),VALUE(REGEXREPLACE(T(X1004),""[^0-9]"",""""))),W1004=""Vente"",-IFERROR(VALUE(X1004),VALUE(REGEXREPLACE(T(X1004),""[^0-9]"",""""))),Y1004=""Change"",0,Y1004&lt;&gt;""Change"","""")"),"")</f>
        <v/>
      </c>
      <c r="N1004" s="34" t="str">
        <f>IFERROR(__xludf.DUMMYFUNCTION("IF(Account!$F1004&lt;&gt;"""", VALUE(REGEXREPLACE($I1004, ""\,"", ""."")), """")"),"")</f>
        <v/>
      </c>
      <c r="O1004" s="35" t="str">
        <f>IF(Account!$F1004&lt;&gt;"", DATEVALUE(MID($A1004,4,3) &amp; LEFT($A1004,3) &amp; RIGHT($A1004,4)) + TIMEVALUE($B1004), "")</f>
        <v/>
      </c>
      <c r="P1004" s="36" t="str">
        <f>IF(Account!$F1004&lt;&gt;"", DATEVALUE(MID($C1004,4,3) &amp; LEFT($C1004,3) &amp; RIGHT($C1004,4)), "")</f>
        <v/>
      </c>
      <c r="Q1004" s="37" t="str">
        <f t="array" ref="Q1004">IF($R1004&lt;&gt;"",IFERROR(INDEX(ISIN!$B:$B,MATCH($R1004,ISIN!$C:$C,0))),)</f>
        <v/>
      </c>
      <c r="R1004" s="38" t="str">
        <f t="array" ref="R1004">IF($E1004&lt;&gt;"",IFERROR(INDEX(ISIN!$C:$C,MATCH($E1004,ISIN!$A:$A,0)),IFERROR(INDEX($R1005:$R1200,MATCH($K1004,$K1005:$K1200,0)))),IF(AND($Y1004="change",$H1004="EUR"),IF($O1004=$O1005,$R1005,IF($O1004=$O1003,$R1003)),IFERROR(INDEX($R1005:$R1200,MATCH(SUBSTITUTE($I1004,"-","",1),$K1005:$K1200,0)))))</f>
        <v/>
      </c>
      <c r="S1004" s="37" t="str">
        <f t="shared" si="1"/>
        <v/>
      </c>
      <c r="T1004" s="39" t="str">
        <f t="shared" si="2"/>
        <v/>
      </c>
      <c r="U1004" s="40" t="str">
        <f t="shared" si="3"/>
        <v/>
      </c>
      <c r="V1004" s="34" t="str">
        <f t="shared" si="4"/>
        <v/>
      </c>
      <c r="W1004" s="41" t="str">
        <f>IFERROR(__xludf.DUMMYFUNCTION(" IF(Account!$F1004&lt;&gt;"""", SPLIT(Account!$F1004, "" ""), """")"),"")</f>
        <v/>
      </c>
      <c r="X1004" s="42"/>
      <c r="Y1004" s="42"/>
      <c r="Z1004" s="42"/>
      <c r="AA1004" s="42"/>
      <c r="AB1004" s="42"/>
      <c r="AC1004" s="42"/>
      <c r="AD1004" s="42"/>
      <c r="AE1004" s="42"/>
      <c r="AF1004" s="42"/>
      <c r="AG1004" s="42"/>
      <c r="AH1004" s="42"/>
      <c r="AI1004" s="42"/>
      <c r="AJ1004" s="42"/>
      <c r="AK1004" s="42"/>
    </row>
    <row r="1005">
      <c r="A1005" s="20"/>
      <c r="B1005" s="20"/>
      <c r="C1005" s="20"/>
      <c r="D1005" s="20"/>
      <c r="E1005" s="20"/>
      <c r="F1005" s="21"/>
      <c r="G1005" s="45"/>
      <c r="H1005" s="20"/>
      <c r="I1005" s="20"/>
      <c r="J1005" s="20"/>
      <c r="K1005" s="20"/>
      <c r="L1005" s="21"/>
      <c r="M1005" s="33" t="str">
        <f>IFERROR(__xludf.DUMMYFUNCTION("IFS(W1005=""Achat"",IFERROR(VALUE(X1005),VALUE(REGEXREPLACE(T(X1005),""[^0-9]"",""""))),W1005=""Vente"",-IFERROR(VALUE(X1005),VALUE(REGEXREPLACE(T(X1005),""[^0-9]"",""""))),Y1005=""Change"",0,Y1005&lt;&gt;""Change"","""")"),"")</f>
        <v/>
      </c>
      <c r="N1005" s="34" t="str">
        <f>IFERROR(__xludf.DUMMYFUNCTION("IF(Account!$F1005&lt;&gt;"""", VALUE(REGEXREPLACE($I1005, ""\,"", ""."")), """")"),"")</f>
        <v/>
      </c>
      <c r="O1005" s="35" t="str">
        <f>IF(Account!$F1005&lt;&gt;"", DATEVALUE(MID($A1005,4,3) &amp; LEFT($A1005,3) &amp; RIGHT($A1005,4)) + TIMEVALUE($B1005), "")</f>
        <v/>
      </c>
      <c r="P1005" s="36" t="str">
        <f>IF(Account!$F1005&lt;&gt;"", DATEVALUE(MID($C1005,4,3) &amp; LEFT($C1005,3) &amp; RIGHT($C1005,4)), "")</f>
        <v/>
      </c>
      <c r="Q1005" s="37" t="str">
        <f t="array" ref="Q1005">IF($R1005&lt;&gt;"",IFERROR(INDEX(ISIN!$B:$B,MATCH($R1005,ISIN!$C:$C,0))),)</f>
        <v/>
      </c>
      <c r="R1005" s="38" t="str">
        <f t="array" ref="R1005">IF($E1005&lt;&gt;"",IFERROR(INDEX(ISIN!$C:$C,MATCH($E1005,ISIN!$A:$A,0)),IFERROR(INDEX($R1006:$R1200,MATCH($K1005,$K1006:$K1200,0)))),IF(AND($Y1005="change",$H1005="EUR"),IF($O1005=$O1006,$R1006,IF($O1005=$O1004,$R1004)),IFERROR(INDEX($R1006:$R1200,MATCH(SUBSTITUTE($I1005,"-","",1),$K1006:$K1200,0)))))</f>
        <v/>
      </c>
      <c r="S1005" s="37" t="str">
        <f t="shared" si="1"/>
        <v/>
      </c>
      <c r="T1005" s="39" t="str">
        <f t="shared" si="2"/>
        <v/>
      </c>
      <c r="U1005" s="40" t="str">
        <f t="shared" si="3"/>
        <v/>
      </c>
      <c r="V1005" s="34" t="str">
        <f t="shared" si="4"/>
        <v/>
      </c>
      <c r="W1005" s="41" t="str">
        <f>IFERROR(__xludf.DUMMYFUNCTION(" IF(Account!$F1005&lt;&gt;"""", SPLIT(Account!$F1005, "" ""), """")"),"")</f>
        <v/>
      </c>
      <c r="X1005" s="42"/>
      <c r="Y1005" s="42"/>
      <c r="Z1005" s="42"/>
      <c r="AA1005" s="42"/>
      <c r="AB1005" s="42"/>
      <c r="AC1005" s="42"/>
      <c r="AD1005" s="42"/>
      <c r="AE1005" s="42"/>
      <c r="AF1005" s="42"/>
      <c r="AG1005" s="42"/>
      <c r="AH1005" s="42"/>
      <c r="AI1005" s="42"/>
      <c r="AJ1005" s="42"/>
      <c r="AK1005" s="42"/>
    </row>
    <row r="1006">
      <c r="A1006" s="20"/>
      <c r="B1006" s="20"/>
      <c r="C1006" s="20"/>
      <c r="D1006" s="20"/>
      <c r="E1006" s="20"/>
      <c r="F1006" s="21"/>
      <c r="G1006" s="45"/>
      <c r="H1006" s="20"/>
      <c r="I1006" s="20"/>
      <c r="J1006" s="20"/>
      <c r="K1006" s="20"/>
      <c r="L1006" s="21"/>
      <c r="M1006" s="33" t="str">
        <f>IFERROR(__xludf.DUMMYFUNCTION("IFS(W1006=""Achat"",IFERROR(VALUE(X1006),VALUE(REGEXREPLACE(T(X1006),""[^0-9]"",""""))),W1006=""Vente"",-IFERROR(VALUE(X1006),VALUE(REGEXREPLACE(T(X1006),""[^0-9]"",""""))),Y1006=""Change"",0,Y1006&lt;&gt;""Change"","""")"),"")</f>
        <v/>
      </c>
      <c r="N1006" s="34" t="str">
        <f>IFERROR(__xludf.DUMMYFUNCTION("IF(Account!$F1006&lt;&gt;"""", VALUE(REGEXREPLACE($I1006, ""\,"", ""."")), """")"),"")</f>
        <v/>
      </c>
      <c r="O1006" s="35" t="str">
        <f>IF(Account!$F1006&lt;&gt;"", DATEVALUE(MID($A1006,4,3) &amp; LEFT($A1006,3) &amp; RIGHT($A1006,4)) + TIMEVALUE($B1006), "")</f>
        <v/>
      </c>
      <c r="P1006" s="36" t="str">
        <f>IF(Account!$F1006&lt;&gt;"", DATEVALUE(MID($C1006,4,3) &amp; LEFT($C1006,3) &amp; RIGHT($C1006,4)), "")</f>
        <v/>
      </c>
      <c r="Q1006" s="37" t="str">
        <f t="array" ref="Q1006">IF($R1006&lt;&gt;"",IFERROR(INDEX(ISIN!$B:$B,MATCH($R1006,ISIN!$C:$C,0))),)</f>
        <v/>
      </c>
      <c r="R1006" s="38" t="str">
        <f t="array" ref="R1006">IF($E1006&lt;&gt;"",IFERROR(INDEX(ISIN!$C:$C,MATCH($E1006,ISIN!$A:$A,0)),IFERROR(INDEX($R1007:$R1200,MATCH($K1006,$K1007:$K1200,0)))),IF(AND($Y1006="change",$H1006="EUR"),IF($O1006=$O1007,$R1007,IF($O1006=$O1005,$R1005)),IFERROR(INDEX($R1007:$R1200,MATCH(SUBSTITUTE($I1006,"-","",1),$K1007:$K1200,0)))))</f>
        <v/>
      </c>
      <c r="S1006" s="37" t="str">
        <f t="shared" si="1"/>
        <v/>
      </c>
      <c r="T1006" s="39" t="str">
        <f t="shared" si="2"/>
        <v/>
      </c>
      <c r="U1006" s="40" t="str">
        <f t="shared" si="3"/>
        <v/>
      </c>
      <c r="V1006" s="34" t="str">
        <f t="shared" si="4"/>
        <v/>
      </c>
      <c r="W1006" s="41" t="str">
        <f>IFERROR(__xludf.DUMMYFUNCTION(" IF(Account!$F1006&lt;&gt;"""", SPLIT(Account!$F1006, "" ""), """")"),"")</f>
        <v/>
      </c>
      <c r="X1006" s="42"/>
      <c r="Y1006" s="42"/>
      <c r="Z1006" s="42"/>
      <c r="AA1006" s="42"/>
      <c r="AB1006" s="42"/>
      <c r="AC1006" s="42"/>
      <c r="AD1006" s="42"/>
      <c r="AE1006" s="42"/>
      <c r="AF1006" s="42"/>
      <c r="AG1006" s="42"/>
      <c r="AH1006" s="42"/>
      <c r="AI1006" s="42"/>
      <c r="AJ1006" s="42"/>
      <c r="AK1006" s="42"/>
    </row>
    <row r="1007">
      <c r="A1007" s="20"/>
      <c r="B1007" s="20"/>
      <c r="C1007" s="20"/>
      <c r="D1007" s="20"/>
      <c r="E1007" s="20"/>
      <c r="F1007" s="21"/>
      <c r="G1007" s="45"/>
      <c r="H1007" s="20"/>
      <c r="I1007" s="20"/>
      <c r="J1007" s="20"/>
      <c r="K1007" s="20"/>
      <c r="L1007" s="21"/>
      <c r="M1007" s="33" t="str">
        <f>IFERROR(__xludf.DUMMYFUNCTION("IFS(W1007=""Achat"",IFERROR(VALUE(X1007),VALUE(REGEXREPLACE(T(X1007),""[^0-9]"",""""))),W1007=""Vente"",-IFERROR(VALUE(X1007),VALUE(REGEXREPLACE(T(X1007),""[^0-9]"",""""))),Y1007=""Change"",0,Y1007&lt;&gt;""Change"","""")"),"")</f>
        <v/>
      </c>
      <c r="N1007" s="34" t="str">
        <f>IFERROR(__xludf.DUMMYFUNCTION("IF(Account!$F1007&lt;&gt;"""", VALUE(REGEXREPLACE($I1007, ""\,"", ""."")), """")"),"")</f>
        <v/>
      </c>
      <c r="O1007" s="35" t="str">
        <f>IF(Account!$F1007&lt;&gt;"", DATEVALUE(MID($A1007,4,3) &amp; LEFT($A1007,3) &amp; RIGHT($A1007,4)) + TIMEVALUE($B1007), "")</f>
        <v/>
      </c>
      <c r="P1007" s="36" t="str">
        <f>IF(Account!$F1007&lt;&gt;"", DATEVALUE(MID($C1007,4,3) &amp; LEFT($C1007,3) &amp; RIGHT($C1007,4)), "")</f>
        <v/>
      </c>
      <c r="Q1007" s="37" t="str">
        <f t="array" ref="Q1007">IF($R1007&lt;&gt;"",IFERROR(INDEX(ISIN!$B:$B,MATCH($R1007,ISIN!$C:$C,0))),)</f>
        <v/>
      </c>
      <c r="R1007" s="38" t="str">
        <f t="array" ref="R1007">IF($E1007&lt;&gt;"",IFERROR(INDEX(ISIN!$C:$C,MATCH($E1007,ISIN!$A:$A,0)),IFERROR(INDEX($R1008:$R1200,MATCH($K1007,$K1008:$K1200,0)))),IF(AND($Y1007="change",$H1007="EUR"),IF($O1007=$O1008,$R1008,IF($O1007=$O1006,$R1006)),IFERROR(INDEX($R1008:$R1200,MATCH(SUBSTITUTE($I1007,"-","",1),$K1008:$K1200,0)))))</f>
        <v/>
      </c>
      <c r="S1007" s="37" t="str">
        <f t="shared" si="1"/>
        <v/>
      </c>
      <c r="T1007" s="39" t="str">
        <f t="shared" si="2"/>
        <v/>
      </c>
      <c r="U1007" s="40" t="str">
        <f t="shared" si="3"/>
        <v/>
      </c>
      <c r="V1007" s="34" t="str">
        <f t="shared" si="4"/>
        <v/>
      </c>
      <c r="W1007" s="41" t="str">
        <f>IFERROR(__xludf.DUMMYFUNCTION(" IF(Account!$F1007&lt;&gt;"""", SPLIT(Account!$F1007, "" ""), """")"),"")</f>
        <v/>
      </c>
      <c r="X1007" s="42"/>
      <c r="Y1007" s="42"/>
      <c r="Z1007" s="42"/>
      <c r="AA1007" s="42"/>
      <c r="AB1007" s="42"/>
      <c r="AC1007" s="42"/>
      <c r="AD1007" s="42"/>
      <c r="AE1007" s="42"/>
      <c r="AF1007" s="42"/>
      <c r="AG1007" s="42"/>
      <c r="AH1007" s="42"/>
      <c r="AI1007" s="42"/>
      <c r="AJ1007" s="42"/>
      <c r="AK1007" s="42"/>
    </row>
    <row r="1008">
      <c r="A1008" s="20"/>
      <c r="B1008" s="20"/>
      <c r="C1008" s="20"/>
      <c r="D1008" s="20"/>
      <c r="E1008" s="20"/>
      <c r="F1008" s="21"/>
      <c r="G1008" s="45"/>
      <c r="H1008" s="20"/>
      <c r="I1008" s="20"/>
      <c r="J1008" s="20"/>
      <c r="K1008" s="20"/>
      <c r="L1008" s="21"/>
      <c r="M1008" s="33" t="str">
        <f>IFERROR(__xludf.DUMMYFUNCTION("IFS(W1008=""Achat"",IFERROR(VALUE(X1008),VALUE(REGEXREPLACE(T(X1008),""[^0-9]"",""""))),W1008=""Vente"",-IFERROR(VALUE(X1008),VALUE(REGEXREPLACE(T(X1008),""[^0-9]"",""""))),Y1008=""Change"",0,Y1008&lt;&gt;""Change"","""")"),"")</f>
        <v/>
      </c>
      <c r="N1008" s="34" t="str">
        <f>IFERROR(__xludf.DUMMYFUNCTION("IF(Account!$F1008&lt;&gt;"""", VALUE(REGEXREPLACE($I1008, ""\,"", ""."")), """")"),"")</f>
        <v/>
      </c>
      <c r="O1008" s="35" t="str">
        <f>IF(Account!$F1008&lt;&gt;"", DATEVALUE(MID($A1008,4,3) &amp; LEFT($A1008,3) &amp; RIGHT($A1008,4)) + TIMEVALUE($B1008), "")</f>
        <v/>
      </c>
      <c r="P1008" s="36" t="str">
        <f>IF(Account!$F1008&lt;&gt;"", DATEVALUE(MID($C1008,4,3) &amp; LEFT($C1008,3) &amp; RIGHT($C1008,4)), "")</f>
        <v/>
      </c>
      <c r="Q1008" s="37" t="str">
        <f t="array" ref="Q1008">IF($R1008&lt;&gt;"",IFERROR(INDEX(ISIN!$B:$B,MATCH($R1008,ISIN!$C:$C,0))),)</f>
        <v/>
      </c>
      <c r="R1008" s="38" t="str">
        <f t="array" ref="R1008">IF($E1008&lt;&gt;"",IFERROR(INDEX(ISIN!$C:$C,MATCH($E1008,ISIN!$A:$A,0)),IFERROR(INDEX($R1009:$R1200,MATCH($K1008,$K1009:$K1200,0)))),IF(AND($Y1008="change",$H1008="EUR"),IF($O1008=$O1009,$R1009,IF($O1008=$O1007,$R1007)),IFERROR(INDEX($R1009:$R1200,MATCH(SUBSTITUTE($I1008,"-","",1),$K1009:$K1200,0)))))</f>
        <v/>
      </c>
      <c r="S1008" s="37" t="str">
        <f t="shared" si="1"/>
        <v/>
      </c>
      <c r="T1008" s="39" t="str">
        <f t="shared" si="2"/>
        <v/>
      </c>
      <c r="U1008" s="40" t="str">
        <f t="shared" si="3"/>
        <v/>
      </c>
      <c r="V1008" s="34" t="str">
        <f t="shared" si="4"/>
        <v/>
      </c>
      <c r="W1008" s="41" t="str">
        <f>IFERROR(__xludf.DUMMYFUNCTION(" IF(Account!$F1008&lt;&gt;"""", SPLIT(Account!$F1008, "" ""), """")"),"")</f>
        <v/>
      </c>
      <c r="X1008" s="42"/>
      <c r="Y1008" s="42"/>
      <c r="Z1008" s="42"/>
      <c r="AA1008" s="42"/>
      <c r="AB1008" s="42"/>
      <c r="AC1008" s="42"/>
      <c r="AD1008" s="42"/>
      <c r="AE1008" s="42"/>
      <c r="AF1008" s="42"/>
      <c r="AG1008" s="42"/>
      <c r="AH1008" s="42"/>
      <c r="AI1008" s="42"/>
      <c r="AJ1008" s="42"/>
      <c r="AK1008" s="42"/>
    </row>
    <row r="1009">
      <c r="A1009" s="20"/>
      <c r="B1009" s="20"/>
      <c r="C1009" s="20"/>
      <c r="D1009" s="20"/>
      <c r="E1009" s="20"/>
      <c r="F1009" s="21"/>
      <c r="G1009" s="45"/>
      <c r="H1009" s="20"/>
      <c r="I1009" s="20"/>
      <c r="J1009" s="20"/>
      <c r="K1009" s="20"/>
      <c r="L1009" s="21"/>
      <c r="M1009" s="33" t="str">
        <f>IFERROR(__xludf.DUMMYFUNCTION("IFS(W1009=""Achat"",IFERROR(VALUE(X1009),VALUE(REGEXREPLACE(T(X1009),""[^0-9]"",""""))),W1009=""Vente"",-IFERROR(VALUE(X1009),VALUE(REGEXREPLACE(T(X1009),""[^0-9]"",""""))),Y1009=""Change"",0,Y1009&lt;&gt;""Change"","""")"),"")</f>
        <v/>
      </c>
      <c r="N1009" s="34" t="str">
        <f>IFERROR(__xludf.DUMMYFUNCTION("IF(Account!$F1009&lt;&gt;"""", VALUE(REGEXREPLACE($I1009, ""\,"", ""."")), """")"),"")</f>
        <v/>
      </c>
      <c r="O1009" s="35" t="str">
        <f>IF(Account!$F1009&lt;&gt;"", DATEVALUE(MID($A1009,4,3) &amp; LEFT($A1009,3) &amp; RIGHT($A1009,4)) + TIMEVALUE($B1009), "")</f>
        <v/>
      </c>
      <c r="P1009" s="36" t="str">
        <f>IF(Account!$F1009&lt;&gt;"", DATEVALUE(MID($C1009,4,3) &amp; LEFT($C1009,3) &amp; RIGHT($C1009,4)), "")</f>
        <v/>
      </c>
      <c r="Q1009" s="37" t="str">
        <f t="array" ref="Q1009">IF($R1009&lt;&gt;"",IFERROR(INDEX(ISIN!$B:$B,MATCH($R1009,ISIN!$C:$C,0))),)</f>
        <v/>
      </c>
      <c r="R1009" s="38" t="str">
        <f t="array" ref="R1009">IF($E1009&lt;&gt;"",IFERROR(INDEX(ISIN!$C:$C,MATCH($E1009,ISIN!$A:$A,0)),IFERROR(INDEX($R1010:$R1200,MATCH($K1009,$K1010:$K1200,0)))),IF(AND($Y1009="change",$H1009="EUR"),IF($O1009=$O1010,$R1010,IF($O1009=$O1008,$R1008)),IFERROR(INDEX($R1010:$R1200,MATCH(SUBSTITUTE($I1009,"-","",1),$K1010:$K1200,0)))))</f>
        <v/>
      </c>
      <c r="S1009" s="37" t="str">
        <f t="shared" si="1"/>
        <v/>
      </c>
      <c r="T1009" s="39" t="str">
        <f t="shared" si="2"/>
        <v/>
      </c>
      <c r="U1009" s="40" t="str">
        <f t="shared" si="3"/>
        <v/>
      </c>
      <c r="V1009" s="34" t="str">
        <f t="shared" si="4"/>
        <v/>
      </c>
      <c r="W1009" s="41" t="str">
        <f>IFERROR(__xludf.DUMMYFUNCTION(" IF(Account!$F1009&lt;&gt;"""", SPLIT(Account!$F1009, "" ""), """")"),"")</f>
        <v/>
      </c>
      <c r="X1009" s="42"/>
      <c r="Y1009" s="42"/>
      <c r="Z1009" s="42"/>
      <c r="AA1009" s="42"/>
      <c r="AB1009" s="42"/>
      <c r="AC1009" s="42"/>
      <c r="AD1009" s="42"/>
      <c r="AE1009" s="42"/>
      <c r="AF1009" s="42"/>
      <c r="AG1009" s="42"/>
      <c r="AH1009" s="42"/>
      <c r="AI1009" s="42"/>
      <c r="AJ1009" s="42"/>
      <c r="AK1009" s="42"/>
    </row>
    <row r="1010">
      <c r="A1010" s="20"/>
      <c r="B1010" s="20"/>
      <c r="C1010" s="20"/>
      <c r="D1010" s="20"/>
      <c r="E1010" s="20"/>
      <c r="F1010" s="21"/>
      <c r="G1010" s="20"/>
      <c r="H1010" s="20"/>
      <c r="I1010" s="20"/>
      <c r="J1010" s="20"/>
      <c r="K1010" s="20"/>
      <c r="L1010" s="21"/>
      <c r="M1010" s="33" t="str">
        <f>IFERROR(__xludf.DUMMYFUNCTION("IFS(W1010=""Achat"",IFERROR(VALUE(X1010),VALUE(REGEXREPLACE(T(X1010),""[^0-9]"",""""))),W1010=""Vente"",-IFERROR(VALUE(X1010),VALUE(REGEXREPLACE(T(X1010),""[^0-9]"",""""))),Y1010=""Change"",0,Y1010&lt;&gt;""Change"","""")"),"")</f>
        <v/>
      </c>
      <c r="N1010" s="34" t="str">
        <f>IFERROR(__xludf.DUMMYFUNCTION("IF(Account!$F1010&lt;&gt;"""", VALUE(REGEXREPLACE($I1010, ""\,"", ""."")), """")"),"")</f>
        <v/>
      </c>
      <c r="O1010" s="35" t="str">
        <f>IF(Account!$F1010&lt;&gt;"", DATEVALUE(MID($A1010,4,3) &amp; LEFT($A1010,3) &amp; RIGHT($A1010,4)) + TIMEVALUE($B1010), "")</f>
        <v/>
      </c>
      <c r="P1010" s="36" t="str">
        <f>IF(Account!$F1010&lt;&gt;"", DATEVALUE(MID($C1010,4,3) &amp; LEFT($C1010,3) &amp; RIGHT($C1010,4)), "")</f>
        <v/>
      </c>
      <c r="Q1010" s="37" t="str">
        <f t="array" ref="Q1010">IF($R1010&lt;&gt;"",IFERROR(INDEX(ISIN!$B:$B,MATCH($R1010,ISIN!$C:$C,0))),)</f>
        <v/>
      </c>
      <c r="R1010" s="38" t="str">
        <f t="array" ref="R1010">IF($E1010&lt;&gt;"",IFERROR(INDEX(ISIN!$C:$C,MATCH($E1010,ISIN!$A:$A,0)),IFERROR(INDEX($R1011:$R1200,MATCH($K1010,$K1011:$K1200,0)))),IF(AND($Y1010="change",$H1010="EUR"),IF($O1010=$O1011,$R1011,IF($O1010=$O1009,$R1009)),IFERROR(INDEX($R1011:$R1200,MATCH(SUBSTITUTE($I1010,"-","",1),$K1011:$K1200,0)))))</f>
        <v/>
      </c>
      <c r="S1010" s="37" t="str">
        <f t="shared" si="1"/>
        <v/>
      </c>
      <c r="T1010" s="39" t="str">
        <f t="shared" si="2"/>
        <v/>
      </c>
      <c r="U1010" s="40" t="str">
        <f t="shared" si="3"/>
        <v/>
      </c>
      <c r="V1010" s="34" t="str">
        <f t="shared" si="4"/>
        <v/>
      </c>
      <c r="W1010" s="41" t="str">
        <f>IFERROR(__xludf.DUMMYFUNCTION(" IF(Account!$F1010&lt;&gt;"""", SPLIT(Account!$F1010, "" ""), """")"),"")</f>
        <v/>
      </c>
      <c r="X1010" s="42"/>
      <c r="Y1010" s="42"/>
      <c r="Z1010" s="42"/>
      <c r="AA1010" s="42"/>
      <c r="AB1010" s="42"/>
      <c r="AC1010" s="42"/>
      <c r="AD1010" s="42"/>
      <c r="AE1010" s="42"/>
      <c r="AF1010" s="42"/>
      <c r="AG1010" s="42"/>
      <c r="AH1010" s="42"/>
      <c r="AI1010" s="42"/>
      <c r="AJ1010" s="42"/>
      <c r="AK1010" s="42"/>
    </row>
    <row r="1011">
      <c r="A1011" s="20"/>
      <c r="B1011" s="20"/>
      <c r="C1011" s="20"/>
      <c r="D1011" s="20"/>
      <c r="E1011" s="20"/>
      <c r="F1011" s="21"/>
      <c r="G1011" s="45"/>
      <c r="H1011" s="20"/>
      <c r="I1011" s="20"/>
      <c r="J1011" s="20"/>
      <c r="K1011" s="20"/>
      <c r="L1011" s="21"/>
      <c r="M1011" s="33" t="str">
        <f>IFERROR(__xludf.DUMMYFUNCTION("IFS(W1011=""Achat"",IFERROR(VALUE(X1011),VALUE(REGEXREPLACE(T(X1011),""[^0-9]"",""""))),W1011=""Vente"",-IFERROR(VALUE(X1011),VALUE(REGEXREPLACE(T(X1011),""[^0-9]"",""""))),Y1011=""Change"",0,Y1011&lt;&gt;""Change"","""")"),"")</f>
        <v/>
      </c>
      <c r="N1011" s="34" t="str">
        <f>IFERROR(__xludf.DUMMYFUNCTION("IF(Account!$F1011&lt;&gt;"""", VALUE(REGEXREPLACE($I1011, ""\,"", ""."")), """")"),"")</f>
        <v/>
      </c>
      <c r="O1011" s="35" t="str">
        <f>IF(Account!$F1011&lt;&gt;"", DATEVALUE(MID($A1011,4,3) &amp; LEFT($A1011,3) &amp; RIGHT($A1011,4)) + TIMEVALUE($B1011), "")</f>
        <v/>
      </c>
      <c r="P1011" s="36" t="str">
        <f>IF(Account!$F1011&lt;&gt;"", DATEVALUE(MID($C1011,4,3) &amp; LEFT($C1011,3) &amp; RIGHT($C1011,4)), "")</f>
        <v/>
      </c>
      <c r="Q1011" s="37" t="str">
        <f t="array" ref="Q1011">IF($R1011&lt;&gt;"",IFERROR(INDEX(ISIN!$B:$B,MATCH($R1011,ISIN!$C:$C,0))),)</f>
        <v/>
      </c>
      <c r="R1011" s="38" t="str">
        <f t="array" ref="R1011">IF($E1011&lt;&gt;"",IFERROR(INDEX(ISIN!$C:$C,MATCH($E1011,ISIN!$A:$A,0)),IFERROR(INDEX($R1012:$R1200,MATCH($K1011,$K1012:$K1200,0)))),IF(AND($Y1011="change",$H1011="EUR"),IF($O1011=$O1012,$R1012,IF($O1011=$O1010,$R1010)),IFERROR(INDEX($R1012:$R1200,MATCH(SUBSTITUTE($I1011,"-","",1),$K1012:$K1200,0)))))</f>
        <v/>
      </c>
      <c r="S1011" s="37" t="str">
        <f t="shared" si="1"/>
        <v/>
      </c>
      <c r="T1011" s="39" t="str">
        <f t="shared" si="2"/>
        <v/>
      </c>
      <c r="U1011" s="40" t="str">
        <f t="shared" si="3"/>
        <v/>
      </c>
      <c r="V1011" s="34" t="str">
        <f t="shared" si="4"/>
        <v/>
      </c>
      <c r="W1011" s="41" t="str">
        <f>IFERROR(__xludf.DUMMYFUNCTION(" IF(Account!$F1011&lt;&gt;"""", SPLIT(Account!$F1011, "" ""), """")"),"")</f>
        <v/>
      </c>
      <c r="X1011" s="42"/>
      <c r="Y1011" s="42"/>
      <c r="Z1011" s="42"/>
      <c r="AA1011" s="42"/>
      <c r="AB1011" s="42"/>
      <c r="AC1011" s="42"/>
      <c r="AD1011" s="42"/>
      <c r="AE1011" s="42"/>
      <c r="AF1011" s="42"/>
      <c r="AG1011" s="42"/>
      <c r="AH1011" s="42"/>
      <c r="AI1011" s="42"/>
      <c r="AJ1011" s="42"/>
      <c r="AK1011" s="42"/>
    </row>
    <row r="1012">
      <c r="A1012" s="20"/>
      <c r="B1012" s="20"/>
      <c r="C1012" s="20"/>
      <c r="D1012" s="20"/>
      <c r="E1012" s="20"/>
      <c r="F1012" s="21"/>
      <c r="G1012" s="20"/>
      <c r="H1012" s="20"/>
      <c r="I1012" s="20"/>
      <c r="J1012" s="20"/>
      <c r="K1012" s="20"/>
      <c r="L1012" s="21"/>
      <c r="M1012" s="33" t="str">
        <f>IFERROR(__xludf.DUMMYFUNCTION("IFS(W1012=""Achat"",IFERROR(VALUE(X1012),VALUE(REGEXREPLACE(T(X1012),""[^0-9]"",""""))),W1012=""Vente"",-IFERROR(VALUE(X1012),VALUE(REGEXREPLACE(T(X1012),""[^0-9]"",""""))),Y1012=""Change"",0,Y1012&lt;&gt;""Change"","""")"),"")</f>
        <v/>
      </c>
      <c r="N1012" s="34" t="str">
        <f>IFERROR(__xludf.DUMMYFUNCTION("IF(Account!$F1012&lt;&gt;"""", VALUE(REGEXREPLACE($I1012, ""\,"", ""."")), """")"),"")</f>
        <v/>
      </c>
      <c r="O1012" s="35" t="str">
        <f>IF(Account!$F1012&lt;&gt;"", DATEVALUE(MID($A1012,4,3) &amp; LEFT($A1012,3) &amp; RIGHT($A1012,4)) + TIMEVALUE($B1012), "")</f>
        <v/>
      </c>
      <c r="P1012" s="36" t="str">
        <f>IF(Account!$F1012&lt;&gt;"", DATEVALUE(MID($C1012,4,3) &amp; LEFT($C1012,3) &amp; RIGHT($C1012,4)), "")</f>
        <v/>
      </c>
      <c r="Q1012" s="37" t="str">
        <f t="array" ref="Q1012">IF($R1012&lt;&gt;"",IFERROR(INDEX(ISIN!$B:$B,MATCH($R1012,ISIN!$C:$C,0))),)</f>
        <v/>
      </c>
      <c r="R1012" s="38" t="str">
        <f t="array" ref="R1012">IF($E1012&lt;&gt;"",IFERROR(INDEX(ISIN!$C:$C,MATCH($E1012,ISIN!$A:$A,0)),IFERROR(INDEX($R1013:$R1200,MATCH($K1012,$K1013:$K1200,0)))),IF(AND($Y1012="change",$H1012="EUR"),IF($O1012=$O1013,$R1013,IF($O1012=$O1011,$R1011)),IFERROR(INDEX($R1013:$R1200,MATCH(SUBSTITUTE($I1012,"-","",1),$K1013:$K1200,0)))))</f>
        <v/>
      </c>
      <c r="S1012" s="37" t="str">
        <f t="shared" si="1"/>
        <v/>
      </c>
      <c r="T1012" s="39" t="str">
        <f t="shared" si="2"/>
        <v/>
      </c>
      <c r="U1012" s="40" t="str">
        <f t="shared" si="3"/>
        <v/>
      </c>
      <c r="V1012" s="34" t="str">
        <f t="shared" si="4"/>
        <v/>
      </c>
      <c r="W1012" s="41" t="str">
        <f>IFERROR(__xludf.DUMMYFUNCTION(" IF(Account!$F1012&lt;&gt;"""", SPLIT(Account!$F1012, "" ""), """")"),"")</f>
        <v/>
      </c>
      <c r="X1012" s="42"/>
      <c r="Y1012" s="42"/>
      <c r="Z1012" s="42"/>
      <c r="AA1012" s="42"/>
      <c r="AB1012" s="42"/>
      <c r="AC1012" s="42"/>
      <c r="AD1012" s="42"/>
      <c r="AE1012" s="42"/>
      <c r="AF1012" s="42"/>
      <c r="AG1012" s="42"/>
      <c r="AH1012" s="42"/>
      <c r="AI1012" s="42"/>
      <c r="AJ1012" s="42"/>
      <c r="AK1012" s="42"/>
    </row>
    <row r="1013">
      <c r="A1013" s="45"/>
      <c r="B1013" s="45"/>
      <c r="C1013" s="45"/>
      <c r="D1013" s="45"/>
      <c r="E1013" s="45"/>
      <c r="F1013" s="46"/>
      <c r="G1013" s="45"/>
      <c r="H1013" s="45"/>
      <c r="I1013" s="45"/>
      <c r="J1013" s="45"/>
      <c r="K1013" s="45"/>
      <c r="L1013" s="21"/>
      <c r="M1013" s="33" t="str">
        <f>IFERROR(__xludf.DUMMYFUNCTION("IFS(W1013=""Achat"",IFERROR(VALUE(X1013),VALUE(REGEXREPLACE(T(X1013),""[^0-9]"",""""))),W1013=""Vente"",-IFERROR(VALUE(X1013),VALUE(REGEXREPLACE(T(X1013),""[^0-9]"",""""))),Y1013=""Change"",0,Y1013&lt;&gt;""Change"","""")"),"")</f>
        <v/>
      </c>
      <c r="N1013" s="34" t="str">
        <f>IFERROR(__xludf.DUMMYFUNCTION("IF(Account!$F1013&lt;&gt;"""", VALUE(REGEXREPLACE($I1013, ""\,"", ""."")), """")"),"")</f>
        <v/>
      </c>
      <c r="O1013" s="35" t="str">
        <f>IF(Account!$F1013&lt;&gt;"", DATEVALUE(MID($A1013,4,3) &amp; LEFT($A1013,3) &amp; RIGHT($A1013,4)) + TIMEVALUE($B1013), "")</f>
        <v/>
      </c>
      <c r="P1013" s="36" t="str">
        <f>IF(Account!$F1013&lt;&gt;"", DATEVALUE(MID($C1013,4,3) &amp; LEFT($C1013,3) &amp; RIGHT($C1013,4)), "")</f>
        <v/>
      </c>
      <c r="Q1013" s="37" t="str">
        <f t="array" ref="Q1013">IF($R1013&lt;&gt;"",IFERROR(INDEX(ISIN!$B:$B,MATCH($R1013,ISIN!$C:$C,0))),)</f>
        <v/>
      </c>
      <c r="R1013" s="38" t="str">
        <f t="array" ref="R1013">IF($E1013&lt;&gt;"",IFERROR(INDEX(ISIN!$C:$C,MATCH($E1013,ISIN!$A:$A,0)),IFERROR(INDEX($R1014:$R1200,MATCH($K1013,$K1014:$K1200,0)))),IF(AND($Y1013="change",$H1013="EUR"),IF($O1013=$O1014,$R1014,IF($O1013=$O1012,$R1012)),IFERROR(INDEX($R1014:$R1200,MATCH(SUBSTITUTE($I1013,"-","",1),$K1014:$K1200,0)))))</f>
        <v/>
      </c>
      <c r="S1013" s="37" t="str">
        <f t="shared" si="1"/>
        <v/>
      </c>
      <c r="T1013" s="39" t="str">
        <f t="shared" si="2"/>
        <v/>
      </c>
      <c r="U1013" s="40" t="str">
        <f t="shared" si="3"/>
        <v/>
      </c>
      <c r="V1013" s="34" t="str">
        <f t="shared" si="4"/>
        <v/>
      </c>
      <c r="W1013" s="41" t="str">
        <f>IFERROR(__xludf.DUMMYFUNCTION(" IF(Account!$F1013&lt;&gt;"""", SPLIT(Account!$F1013, "" ""), """")"),"")</f>
        <v/>
      </c>
      <c r="X1013" s="42"/>
      <c r="Y1013" s="42"/>
      <c r="Z1013" s="42"/>
      <c r="AA1013" s="42"/>
      <c r="AB1013" s="42"/>
      <c r="AC1013" s="42"/>
      <c r="AD1013" s="42"/>
      <c r="AE1013" s="42"/>
      <c r="AF1013" s="42"/>
      <c r="AG1013" s="42"/>
      <c r="AH1013" s="42"/>
      <c r="AI1013" s="42"/>
      <c r="AJ1013" s="42"/>
      <c r="AK1013" s="42"/>
    </row>
    <row r="1014">
      <c r="A1014" s="20"/>
      <c r="B1014" s="20"/>
      <c r="C1014" s="20"/>
      <c r="D1014" s="20"/>
      <c r="E1014" s="20"/>
      <c r="F1014" s="21"/>
      <c r="G1014" s="45"/>
      <c r="H1014" s="20"/>
      <c r="I1014" s="20"/>
      <c r="J1014" s="20"/>
      <c r="K1014" s="20"/>
      <c r="L1014" s="21"/>
      <c r="M1014" s="33" t="str">
        <f>IFERROR(__xludf.DUMMYFUNCTION("IFS(W1014=""Achat"",IFERROR(VALUE(X1014),VALUE(REGEXREPLACE(T(X1014),""[^0-9]"",""""))),W1014=""Vente"",-IFERROR(VALUE(X1014),VALUE(REGEXREPLACE(T(X1014),""[^0-9]"",""""))),Y1014=""Change"",0,Y1014&lt;&gt;""Change"","""")"),"")</f>
        <v/>
      </c>
      <c r="N1014" s="34" t="str">
        <f>IFERROR(__xludf.DUMMYFUNCTION("IF(Account!$F1014&lt;&gt;"""", VALUE(REGEXREPLACE($I1014, ""\,"", ""."")), """")"),"")</f>
        <v/>
      </c>
      <c r="O1014" s="35" t="str">
        <f>IF(Account!$F1014&lt;&gt;"", DATEVALUE(MID($A1014,4,3) &amp; LEFT($A1014,3) &amp; RIGHT($A1014,4)) + TIMEVALUE($B1014), "")</f>
        <v/>
      </c>
      <c r="P1014" s="36" t="str">
        <f>IF(Account!$F1014&lt;&gt;"", DATEVALUE(MID($C1014,4,3) &amp; LEFT($C1014,3) &amp; RIGHT($C1014,4)), "")</f>
        <v/>
      </c>
      <c r="Q1014" s="37" t="str">
        <f t="array" ref="Q1014">IF($R1014&lt;&gt;"",IFERROR(INDEX(ISIN!$B:$B,MATCH($R1014,ISIN!$C:$C,0))),)</f>
        <v/>
      </c>
      <c r="R1014" s="38" t="str">
        <f t="array" ref="R1014">IF($E1014&lt;&gt;"",IFERROR(INDEX(ISIN!$C:$C,MATCH($E1014,ISIN!$A:$A,0)),IFERROR(INDEX($R1015:$R1200,MATCH($K1014,$K1015:$K1200,0)))),IF(AND($Y1014="change",$H1014="EUR"),IF($O1014=$O1015,$R1015,IF($O1014=$O1013,$R1013)),IFERROR(INDEX($R1015:$R1200,MATCH(SUBSTITUTE($I1014,"-","",1),$K1015:$K1200,0)))))</f>
        <v/>
      </c>
      <c r="S1014" s="37" t="str">
        <f t="shared" si="1"/>
        <v/>
      </c>
      <c r="T1014" s="39" t="str">
        <f t="shared" si="2"/>
        <v/>
      </c>
      <c r="U1014" s="40" t="str">
        <f t="shared" si="3"/>
        <v/>
      </c>
      <c r="V1014" s="34" t="str">
        <f t="shared" si="4"/>
        <v/>
      </c>
      <c r="W1014" s="41" t="str">
        <f>IFERROR(__xludf.DUMMYFUNCTION(" IF(Account!$F1014&lt;&gt;"""", SPLIT(Account!$F1014, "" ""), """")"),"")</f>
        <v/>
      </c>
      <c r="X1014" s="42"/>
      <c r="Y1014" s="42"/>
      <c r="Z1014" s="42"/>
      <c r="AA1014" s="42"/>
      <c r="AB1014" s="42"/>
      <c r="AC1014" s="42"/>
      <c r="AD1014" s="42"/>
      <c r="AE1014" s="42"/>
      <c r="AF1014" s="42"/>
      <c r="AG1014" s="42"/>
      <c r="AH1014" s="42"/>
      <c r="AI1014" s="42"/>
      <c r="AJ1014" s="42"/>
      <c r="AK1014" s="42"/>
    </row>
    <row r="1015">
      <c r="A1015" s="20"/>
      <c r="B1015" s="20"/>
      <c r="C1015" s="20"/>
      <c r="D1015" s="20"/>
      <c r="E1015" s="20"/>
      <c r="F1015" s="21"/>
      <c r="G1015" s="45"/>
      <c r="H1015" s="20"/>
      <c r="I1015" s="20"/>
      <c r="J1015" s="20"/>
      <c r="K1015" s="20"/>
      <c r="L1015" s="21"/>
      <c r="M1015" s="33" t="str">
        <f>IFERROR(__xludf.DUMMYFUNCTION("IFS(W1015=""Achat"",IFERROR(VALUE(X1015),VALUE(REGEXREPLACE(T(X1015),""[^0-9]"",""""))),W1015=""Vente"",-IFERROR(VALUE(X1015),VALUE(REGEXREPLACE(T(X1015),""[^0-9]"",""""))),Y1015=""Change"",0,Y1015&lt;&gt;""Change"","""")"),"")</f>
        <v/>
      </c>
      <c r="N1015" s="34" t="str">
        <f>IFERROR(__xludf.DUMMYFUNCTION("IF(Account!$F1015&lt;&gt;"""", VALUE(REGEXREPLACE($I1015, ""\,"", ""."")), """")"),"")</f>
        <v/>
      </c>
      <c r="O1015" s="35" t="str">
        <f>IF(Account!$F1015&lt;&gt;"", DATEVALUE(MID($A1015,4,3) &amp; LEFT($A1015,3) &amp; RIGHT($A1015,4)) + TIMEVALUE($B1015), "")</f>
        <v/>
      </c>
      <c r="P1015" s="36" t="str">
        <f>IF(Account!$F1015&lt;&gt;"", DATEVALUE(MID($C1015,4,3) &amp; LEFT($C1015,3) &amp; RIGHT($C1015,4)), "")</f>
        <v/>
      </c>
      <c r="Q1015" s="37" t="str">
        <f t="array" ref="Q1015">IF($R1015&lt;&gt;"",IFERROR(INDEX(ISIN!$B:$B,MATCH($R1015,ISIN!$C:$C,0))),)</f>
        <v/>
      </c>
      <c r="R1015" s="38" t="str">
        <f t="array" ref="R1015">IF($E1015&lt;&gt;"",IFERROR(INDEX(ISIN!$C:$C,MATCH($E1015,ISIN!$A:$A,0)),IFERROR(INDEX($R1016:$R1200,MATCH($K1015,$K1016:$K1200,0)))),IF(AND($Y1015="change",$H1015="EUR"),IF($O1015=$O1016,$R1016,IF($O1015=$O1014,$R1014)),IFERROR(INDEX($R1016:$R1200,MATCH(SUBSTITUTE($I1015,"-","",1),$K1016:$K1200,0)))))</f>
        <v/>
      </c>
      <c r="S1015" s="37" t="str">
        <f t="shared" si="1"/>
        <v/>
      </c>
      <c r="T1015" s="39" t="str">
        <f t="shared" si="2"/>
        <v/>
      </c>
      <c r="U1015" s="40" t="str">
        <f t="shared" si="3"/>
        <v/>
      </c>
      <c r="V1015" s="34" t="str">
        <f t="shared" si="4"/>
        <v/>
      </c>
      <c r="W1015" s="41" t="str">
        <f>IFERROR(__xludf.DUMMYFUNCTION(" IF(Account!$F1015&lt;&gt;"""", SPLIT(Account!$F1015, "" ""), """")"),"")</f>
        <v/>
      </c>
      <c r="X1015" s="42"/>
      <c r="Y1015" s="42"/>
      <c r="Z1015" s="42"/>
      <c r="AA1015" s="42"/>
      <c r="AB1015" s="42"/>
      <c r="AC1015" s="42"/>
      <c r="AD1015" s="42"/>
      <c r="AE1015" s="42"/>
      <c r="AF1015" s="42"/>
      <c r="AG1015" s="42"/>
      <c r="AH1015" s="42"/>
      <c r="AI1015" s="42"/>
      <c r="AJ1015" s="42"/>
      <c r="AK1015" s="42"/>
    </row>
    <row r="1016">
      <c r="A1016" s="20"/>
      <c r="B1016" s="20"/>
      <c r="C1016" s="20"/>
      <c r="D1016" s="20"/>
      <c r="E1016" s="20"/>
      <c r="F1016" s="21"/>
      <c r="G1016" s="45"/>
      <c r="H1016" s="20"/>
      <c r="I1016" s="20"/>
      <c r="J1016" s="20"/>
      <c r="K1016" s="20"/>
      <c r="L1016" s="21"/>
      <c r="M1016" s="33" t="str">
        <f>IFERROR(__xludf.DUMMYFUNCTION("IFS(W1016=""Achat"",IFERROR(VALUE(X1016),VALUE(REGEXREPLACE(T(X1016),""[^0-9]"",""""))),W1016=""Vente"",-IFERROR(VALUE(X1016),VALUE(REGEXREPLACE(T(X1016),""[^0-9]"",""""))),Y1016=""Change"",0,Y1016&lt;&gt;""Change"","""")"),"")</f>
        <v/>
      </c>
      <c r="N1016" s="34" t="str">
        <f>IFERROR(__xludf.DUMMYFUNCTION("IF(Account!$F1016&lt;&gt;"""", VALUE(REGEXREPLACE($I1016, ""\,"", ""."")), """")"),"")</f>
        <v/>
      </c>
      <c r="O1016" s="35" t="str">
        <f>IF(Account!$F1016&lt;&gt;"", DATEVALUE(MID($A1016,4,3) &amp; LEFT($A1016,3) &amp; RIGHT($A1016,4)) + TIMEVALUE($B1016), "")</f>
        <v/>
      </c>
      <c r="P1016" s="36" t="str">
        <f>IF(Account!$F1016&lt;&gt;"", DATEVALUE(MID($C1016,4,3) &amp; LEFT($C1016,3) &amp; RIGHT($C1016,4)), "")</f>
        <v/>
      </c>
      <c r="Q1016" s="37" t="str">
        <f t="array" ref="Q1016">IF($R1016&lt;&gt;"",IFERROR(INDEX(ISIN!$B:$B,MATCH($R1016,ISIN!$C:$C,0))),)</f>
        <v/>
      </c>
      <c r="R1016" s="38" t="str">
        <f t="array" ref="R1016">IF($E1016&lt;&gt;"",IFERROR(INDEX(ISIN!$C:$C,MATCH($E1016,ISIN!$A:$A,0)),IFERROR(INDEX($R1017:$R1200,MATCH($K1016,$K1017:$K1200,0)))),IF(AND($Y1016="change",$H1016="EUR"),IF($O1016=$O1017,$R1017,IF($O1016=$O1015,$R1015)),IFERROR(INDEX($R1017:$R1200,MATCH(SUBSTITUTE($I1016,"-","",1),$K1017:$K1200,0)))))</f>
        <v/>
      </c>
      <c r="S1016" s="37" t="str">
        <f t="shared" si="1"/>
        <v/>
      </c>
      <c r="T1016" s="39" t="str">
        <f t="shared" si="2"/>
        <v/>
      </c>
      <c r="U1016" s="40" t="str">
        <f t="shared" si="3"/>
        <v/>
      </c>
      <c r="V1016" s="34" t="str">
        <f t="shared" si="4"/>
        <v/>
      </c>
      <c r="W1016" s="41" t="str">
        <f>IFERROR(__xludf.DUMMYFUNCTION(" IF(Account!$F1016&lt;&gt;"""", SPLIT(Account!$F1016, "" ""), """")"),"")</f>
        <v/>
      </c>
      <c r="X1016" s="42"/>
      <c r="Y1016" s="42"/>
      <c r="Z1016" s="42"/>
      <c r="AA1016" s="42"/>
      <c r="AB1016" s="42"/>
      <c r="AC1016" s="42"/>
      <c r="AD1016" s="42"/>
      <c r="AE1016" s="42"/>
      <c r="AF1016" s="42"/>
      <c r="AG1016" s="42"/>
      <c r="AH1016" s="42"/>
      <c r="AI1016" s="42"/>
      <c r="AJ1016" s="42"/>
      <c r="AK1016" s="42"/>
    </row>
    <row r="1017">
      <c r="A1017" s="20"/>
      <c r="B1017" s="20"/>
      <c r="C1017" s="20"/>
      <c r="D1017" s="20"/>
      <c r="E1017" s="20"/>
      <c r="F1017" s="21"/>
      <c r="G1017" s="20"/>
      <c r="H1017" s="20"/>
      <c r="I1017" s="20"/>
      <c r="J1017" s="20"/>
      <c r="K1017" s="20"/>
      <c r="L1017" s="21"/>
      <c r="M1017" s="33" t="str">
        <f>IFERROR(__xludf.DUMMYFUNCTION("IFS(W1017=""Achat"",IFERROR(VALUE(X1017),VALUE(REGEXREPLACE(T(X1017),""[^0-9]"",""""))),W1017=""Vente"",-IFERROR(VALUE(X1017),VALUE(REGEXREPLACE(T(X1017),""[^0-9]"",""""))),Y1017=""Change"",0,Y1017&lt;&gt;""Change"","""")"),"")</f>
        <v/>
      </c>
      <c r="N1017" s="34" t="str">
        <f>IFERROR(__xludf.DUMMYFUNCTION("IF(Account!$F1017&lt;&gt;"""", VALUE(REGEXREPLACE($I1017, ""\,"", ""."")), """")"),"")</f>
        <v/>
      </c>
      <c r="O1017" s="35" t="str">
        <f>IF(Account!$F1017&lt;&gt;"", DATEVALUE(MID($A1017,4,3) &amp; LEFT($A1017,3) &amp; RIGHT($A1017,4)) + TIMEVALUE($B1017), "")</f>
        <v/>
      </c>
      <c r="P1017" s="36" t="str">
        <f>IF(Account!$F1017&lt;&gt;"", DATEVALUE(MID($C1017,4,3) &amp; LEFT($C1017,3) &amp; RIGHT($C1017,4)), "")</f>
        <v/>
      </c>
      <c r="Q1017" s="37" t="str">
        <f t="array" ref="Q1017">IF($R1017&lt;&gt;"",IFERROR(INDEX(ISIN!$B:$B,MATCH($R1017,ISIN!$C:$C,0))),)</f>
        <v/>
      </c>
      <c r="R1017" s="38" t="str">
        <f t="array" ref="R1017">IF($E1017&lt;&gt;"",IFERROR(INDEX(ISIN!$C:$C,MATCH($E1017,ISIN!$A:$A,0)),IFERROR(INDEX($R1018:$R1200,MATCH($K1017,$K1018:$K1200,0)))),IF(AND($Y1017="change",$H1017="EUR"),IF($O1017=$O1018,$R1018,IF($O1017=$O1016,$R1016)),IFERROR(INDEX($R1018:$R1200,MATCH(SUBSTITUTE($I1017,"-","",1),$K1018:$K1200,0)))))</f>
        <v/>
      </c>
      <c r="S1017" s="37" t="str">
        <f t="shared" si="1"/>
        <v/>
      </c>
      <c r="T1017" s="39" t="str">
        <f t="shared" si="2"/>
        <v/>
      </c>
      <c r="U1017" s="40" t="str">
        <f t="shared" si="3"/>
        <v/>
      </c>
      <c r="V1017" s="34" t="str">
        <f t="shared" si="4"/>
        <v/>
      </c>
      <c r="W1017" s="41" t="str">
        <f>IFERROR(__xludf.DUMMYFUNCTION(" IF(Account!$F1017&lt;&gt;"""", SPLIT(Account!$F1017, "" ""), """")"),"")</f>
        <v/>
      </c>
      <c r="X1017" s="42"/>
      <c r="Y1017" s="42"/>
      <c r="Z1017" s="42"/>
      <c r="AA1017" s="42"/>
      <c r="AB1017" s="42"/>
      <c r="AC1017" s="42"/>
      <c r="AD1017" s="42"/>
      <c r="AE1017" s="42"/>
      <c r="AF1017" s="42"/>
      <c r="AG1017" s="42"/>
      <c r="AH1017" s="42"/>
      <c r="AI1017" s="42"/>
      <c r="AJ1017" s="42"/>
      <c r="AK1017" s="42"/>
    </row>
    <row r="1018">
      <c r="A1018" s="20"/>
      <c r="B1018" s="20"/>
      <c r="C1018" s="20"/>
      <c r="D1018" s="20"/>
      <c r="E1018" s="20"/>
      <c r="F1018" s="21"/>
      <c r="G1018" s="45"/>
      <c r="H1018" s="20"/>
      <c r="I1018" s="20"/>
      <c r="J1018" s="20"/>
      <c r="K1018" s="20"/>
      <c r="L1018" s="21"/>
      <c r="M1018" s="33" t="str">
        <f>IFERROR(__xludf.DUMMYFUNCTION("IFS(W1018=""Achat"",IFERROR(VALUE(X1018),VALUE(REGEXREPLACE(T(X1018),""[^0-9]"",""""))),W1018=""Vente"",-IFERROR(VALUE(X1018),VALUE(REGEXREPLACE(T(X1018),""[^0-9]"",""""))),Y1018=""Change"",0,Y1018&lt;&gt;""Change"","""")"),"")</f>
        <v/>
      </c>
      <c r="N1018" s="34" t="str">
        <f>IFERROR(__xludf.DUMMYFUNCTION("IF(Account!$F1018&lt;&gt;"""", VALUE(REGEXREPLACE($I1018, ""\,"", ""."")), """")"),"")</f>
        <v/>
      </c>
      <c r="O1018" s="35" t="str">
        <f>IF(Account!$F1018&lt;&gt;"", DATEVALUE(MID($A1018,4,3) &amp; LEFT($A1018,3) &amp; RIGHT($A1018,4)) + TIMEVALUE($B1018), "")</f>
        <v/>
      </c>
      <c r="P1018" s="36" t="str">
        <f>IF(Account!$F1018&lt;&gt;"", DATEVALUE(MID($C1018,4,3) &amp; LEFT($C1018,3) &amp; RIGHT($C1018,4)), "")</f>
        <v/>
      </c>
      <c r="Q1018" s="37" t="str">
        <f t="array" ref="Q1018">IF($R1018&lt;&gt;"",IFERROR(INDEX(ISIN!$B:$B,MATCH($R1018,ISIN!$C:$C,0))),)</f>
        <v/>
      </c>
      <c r="R1018" s="38" t="str">
        <f t="array" ref="R1018">IF($E1018&lt;&gt;"",IFERROR(INDEX(ISIN!$C:$C,MATCH($E1018,ISIN!$A:$A,0)),IFERROR(INDEX($R1019:$R1200,MATCH($K1018,$K1019:$K1200,0)))),IF(AND($Y1018="change",$H1018="EUR"),IF($O1018=$O1019,$R1019,IF($O1018=$O1017,$R1017)),IFERROR(INDEX($R1019:$R1200,MATCH(SUBSTITUTE($I1018,"-","",1),$K1019:$K1200,0)))))</f>
        <v/>
      </c>
      <c r="S1018" s="37" t="str">
        <f t="shared" si="1"/>
        <v/>
      </c>
      <c r="T1018" s="39" t="str">
        <f t="shared" si="2"/>
        <v/>
      </c>
      <c r="U1018" s="40" t="str">
        <f t="shared" si="3"/>
        <v/>
      </c>
      <c r="V1018" s="34" t="str">
        <f t="shared" si="4"/>
        <v/>
      </c>
      <c r="W1018" s="41" t="str">
        <f>IFERROR(__xludf.DUMMYFUNCTION(" IF(Account!$F1018&lt;&gt;"""", SPLIT(Account!$F1018, "" ""), """")"),"")</f>
        <v/>
      </c>
      <c r="X1018" s="42"/>
      <c r="Y1018" s="42"/>
      <c r="Z1018" s="42"/>
      <c r="AA1018" s="42"/>
      <c r="AB1018" s="42"/>
      <c r="AC1018" s="42"/>
      <c r="AD1018" s="42"/>
      <c r="AE1018" s="42"/>
      <c r="AF1018" s="42"/>
      <c r="AG1018" s="42"/>
      <c r="AH1018" s="42"/>
      <c r="AI1018" s="42"/>
      <c r="AJ1018" s="42"/>
      <c r="AK1018" s="42"/>
    </row>
    <row r="1019">
      <c r="A1019" s="20"/>
      <c r="B1019" s="20"/>
      <c r="C1019" s="20"/>
      <c r="D1019" s="20"/>
      <c r="E1019" s="20"/>
      <c r="F1019" s="21"/>
      <c r="G1019" s="20"/>
      <c r="H1019" s="20"/>
      <c r="I1019" s="20"/>
      <c r="J1019" s="20"/>
      <c r="K1019" s="20"/>
      <c r="L1019" s="21"/>
      <c r="M1019" s="33" t="str">
        <f>IFERROR(__xludf.DUMMYFUNCTION("IFS(W1019=""Achat"",IFERROR(VALUE(X1019),VALUE(REGEXREPLACE(T(X1019),""[^0-9]"",""""))),W1019=""Vente"",-IFERROR(VALUE(X1019),VALUE(REGEXREPLACE(T(X1019),""[^0-9]"",""""))),Y1019=""Change"",0,Y1019&lt;&gt;""Change"","""")"),"")</f>
        <v/>
      </c>
      <c r="N1019" s="34" t="str">
        <f>IFERROR(__xludf.DUMMYFUNCTION("IF(Account!$F1019&lt;&gt;"""", VALUE(REGEXREPLACE($I1019, ""\,"", ""."")), """")"),"")</f>
        <v/>
      </c>
      <c r="O1019" s="35" t="str">
        <f>IF(Account!$F1019&lt;&gt;"", DATEVALUE(MID($A1019,4,3) &amp; LEFT($A1019,3) &amp; RIGHT($A1019,4)) + TIMEVALUE($B1019), "")</f>
        <v/>
      </c>
      <c r="P1019" s="36" t="str">
        <f>IF(Account!$F1019&lt;&gt;"", DATEVALUE(MID($C1019,4,3) &amp; LEFT($C1019,3) &amp; RIGHT($C1019,4)), "")</f>
        <v/>
      </c>
      <c r="Q1019" s="37" t="str">
        <f t="array" ref="Q1019">IF($R1019&lt;&gt;"",IFERROR(INDEX(ISIN!$B:$B,MATCH($R1019,ISIN!$C:$C,0))),)</f>
        <v/>
      </c>
      <c r="R1019" s="38" t="str">
        <f t="array" ref="R1019">IF($E1019&lt;&gt;"",IFERROR(INDEX(ISIN!$C:$C,MATCH($E1019,ISIN!$A:$A,0)),IFERROR(INDEX($R1020:$R1200,MATCH($K1019,$K1020:$K1200,0)))),IF(AND($Y1019="change",$H1019="EUR"),IF($O1019=$O1020,$R1020,IF($O1019=$O1018,$R1018)),IFERROR(INDEX($R1020:$R1200,MATCH(SUBSTITUTE($I1019,"-","",1),$K1020:$K1200,0)))))</f>
        <v/>
      </c>
      <c r="S1019" s="37" t="str">
        <f t="shared" si="1"/>
        <v/>
      </c>
      <c r="T1019" s="39" t="str">
        <f t="shared" si="2"/>
        <v/>
      </c>
      <c r="U1019" s="40" t="str">
        <f t="shared" si="3"/>
        <v/>
      </c>
      <c r="V1019" s="34" t="str">
        <f t="shared" si="4"/>
        <v/>
      </c>
      <c r="W1019" s="41" t="str">
        <f>IFERROR(__xludf.DUMMYFUNCTION(" IF(Account!$F1019&lt;&gt;"""", SPLIT(Account!$F1019, "" ""), """")"),"")</f>
        <v/>
      </c>
      <c r="X1019" s="42"/>
      <c r="Y1019" s="42"/>
      <c r="Z1019" s="42"/>
      <c r="AA1019" s="42"/>
      <c r="AB1019" s="42"/>
      <c r="AC1019" s="42"/>
      <c r="AD1019" s="42"/>
      <c r="AE1019" s="42"/>
      <c r="AF1019" s="42"/>
      <c r="AG1019" s="42"/>
      <c r="AH1019" s="42"/>
      <c r="AI1019" s="42"/>
      <c r="AJ1019" s="42"/>
      <c r="AK1019" s="42"/>
    </row>
    <row r="1020">
      <c r="A1020" s="20"/>
      <c r="B1020" s="20"/>
      <c r="C1020" s="20"/>
      <c r="D1020" s="20"/>
      <c r="E1020" s="20"/>
      <c r="F1020" s="21"/>
      <c r="G1020" s="45"/>
      <c r="H1020" s="20"/>
      <c r="I1020" s="20"/>
      <c r="J1020" s="20"/>
      <c r="K1020" s="20"/>
      <c r="L1020" s="21"/>
      <c r="M1020" s="33" t="str">
        <f>IFERROR(__xludf.DUMMYFUNCTION("IFS(W1020=""Achat"",IFERROR(VALUE(X1020),VALUE(REGEXREPLACE(T(X1020),""[^0-9]"",""""))),W1020=""Vente"",-IFERROR(VALUE(X1020),VALUE(REGEXREPLACE(T(X1020),""[^0-9]"",""""))),Y1020=""Change"",0,Y1020&lt;&gt;""Change"","""")"),"")</f>
        <v/>
      </c>
      <c r="N1020" s="34" t="str">
        <f>IFERROR(__xludf.DUMMYFUNCTION("IF(Account!$F1020&lt;&gt;"""", VALUE(REGEXREPLACE($I1020, ""\,"", ""."")), """")"),"")</f>
        <v/>
      </c>
      <c r="O1020" s="35" t="str">
        <f>IF(Account!$F1020&lt;&gt;"", DATEVALUE(MID($A1020,4,3) &amp; LEFT($A1020,3) &amp; RIGHT($A1020,4)) + TIMEVALUE($B1020), "")</f>
        <v/>
      </c>
      <c r="P1020" s="36" t="str">
        <f>IF(Account!$F1020&lt;&gt;"", DATEVALUE(MID($C1020,4,3) &amp; LEFT($C1020,3) &amp; RIGHT($C1020,4)), "")</f>
        <v/>
      </c>
      <c r="Q1020" s="37" t="str">
        <f t="array" ref="Q1020">IF($R1020&lt;&gt;"",IFERROR(INDEX(ISIN!$B:$B,MATCH($R1020,ISIN!$C:$C,0))),)</f>
        <v/>
      </c>
      <c r="R1020" s="38" t="str">
        <f t="array" ref="R1020">IF($E1020&lt;&gt;"",IFERROR(INDEX(ISIN!$C:$C,MATCH($E1020,ISIN!$A:$A,0)),IFERROR(INDEX($R1021:$R1200,MATCH($K1020,$K1021:$K1200,0)))),IF(AND($Y1020="change",$H1020="EUR"),IF($O1020=$O1021,$R1021,IF($O1020=$O1019,$R1019)),IFERROR(INDEX($R1021:$R1200,MATCH(SUBSTITUTE($I1020,"-","",1),$K1021:$K1200,0)))))</f>
        <v/>
      </c>
      <c r="S1020" s="37" t="str">
        <f t="shared" si="1"/>
        <v/>
      </c>
      <c r="T1020" s="39" t="str">
        <f t="shared" si="2"/>
        <v/>
      </c>
      <c r="U1020" s="40" t="str">
        <f t="shared" si="3"/>
        <v/>
      </c>
      <c r="V1020" s="34" t="str">
        <f t="shared" si="4"/>
        <v/>
      </c>
      <c r="W1020" s="41" t="str">
        <f>IFERROR(__xludf.DUMMYFUNCTION(" IF(Account!$F1020&lt;&gt;"""", SPLIT(Account!$F1020, "" ""), """")"),"")</f>
        <v/>
      </c>
      <c r="X1020" s="42"/>
      <c r="Y1020" s="42"/>
      <c r="Z1020" s="42"/>
      <c r="AA1020" s="42"/>
      <c r="AB1020" s="42"/>
      <c r="AC1020" s="42"/>
      <c r="AD1020" s="42"/>
      <c r="AE1020" s="42"/>
      <c r="AF1020" s="42"/>
      <c r="AG1020" s="42"/>
      <c r="AH1020" s="42"/>
      <c r="AI1020" s="42"/>
      <c r="AJ1020" s="42"/>
      <c r="AK1020" s="42"/>
    </row>
    <row r="1021">
      <c r="A1021" s="20"/>
      <c r="B1021" s="20"/>
      <c r="C1021" s="20"/>
      <c r="D1021" s="20"/>
      <c r="E1021" s="20"/>
      <c r="F1021" s="21"/>
      <c r="G1021" s="20"/>
      <c r="H1021" s="20"/>
      <c r="I1021" s="20"/>
      <c r="J1021" s="20"/>
      <c r="K1021" s="20"/>
      <c r="L1021" s="21"/>
      <c r="M1021" s="33" t="str">
        <f>IFERROR(__xludf.DUMMYFUNCTION("IFS(W1021=""Achat"",IFERROR(VALUE(X1021),VALUE(REGEXREPLACE(T(X1021),""[^0-9]"",""""))),W1021=""Vente"",-IFERROR(VALUE(X1021),VALUE(REGEXREPLACE(T(X1021),""[^0-9]"",""""))),Y1021=""Change"",0,Y1021&lt;&gt;""Change"","""")"),"")</f>
        <v/>
      </c>
      <c r="N1021" s="34" t="str">
        <f>IFERROR(__xludf.DUMMYFUNCTION("IF(Account!$F1021&lt;&gt;"""", VALUE(REGEXREPLACE($I1021, ""\,"", ""."")), """")"),"")</f>
        <v/>
      </c>
      <c r="O1021" s="35" t="str">
        <f>IF(Account!$F1021&lt;&gt;"", DATEVALUE(MID($A1021,4,3) &amp; LEFT($A1021,3) &amp; RIGHT($A1021,4)) + TIMEVALUE($B1021), "")</f>
        <v/>
      </c>
      <c r="P1021" s="36" t="str">
        <f>IF(Account!$F1021&lt;&gt;"", DATEVALUE(MID($C1021,4,3) &amp; LEFT($C1021,3) &amp; RIGHT($C1021,4)), "")</f>
        <v/>
      </c>
      <c r="Q1021" s="37" t="str">
        <f t="array" ref="Q1021">IF($R1021&lt;&gt;"",IFERROR(INDEX(ISIN!$B:$B,MATCH($R1021,ISIN!$C:$C,0))),)</f>
        <v/>
      </c>
      <c r="R1021" s="38" t="str">
        <f t="array" ref="R1021">IF($E1021&lt;&gt;"",IFERROR(INDEX(ISIN!$C:$C,MATCH($E1021,ISIN!$A:$A,0)),IFERROR(INDEX($R1022:$R1200,MATCH($K1021,$K1022:$K1200,0)))),IF(AND($Y1021="change",$H1021="EUR"),IF($O1021=$O1022,$R1022,IF($O1021=$O1020,$R1020)),IFERROR(INDEX($R1022:$R1200,MATCH(SUBSTITUTE($I1021,"-","",1),$K1022:$K1200,0)))))</f>
        <v/>
      </c>
      <c r="S1021" s="37" t="str">
        <f t="shared" si="1"/>
        <v/>
      </c>
      <c r="T1021" s="39" t="str">
        <f t="shared" si="2"/>
        <v/>
      </c>
      <c r="U1021" s="40" t="str">
        <f t="shared" si="3"/>
        <v/>
      </c>
      <c r="V1021" s="34" t="str">
        <f t="shared" si="4"/>
        <v/>
      </c>
      <c r="W1021" s="41" t="str">
        <f>IFERROR(__xludf.DUMMYFUNCTION(" IF(Account!$F1021&lt;&gt;"""", SPLIT(Account!$F1021, "" ""), """")"),"")</f>
        <v/>
      </c>
      <c r="X1021" s="42"/>
      <c r="Y1021" s="42"/>
      <c r="Z1021" s="42"/>
      <c r="AA1021" s="42"/>
      <c r="AB1021" s="42"/>
      <c r="AC1021" s="42"/>
      <c r="AD1021" s="42"/>
      <c r="AE1021" s="42"/>
      <c r="AF1021" s="42"/>
      <c r="AG1021" s="42"/>
      <c r="AH1021" s="42"/>
      <c r="AI1021" s="42"/>
      <c r="AJ1021" s="42"/>
      <c r="AK1021" s="42"/>
    </row>
    <row r="1022">
      <c r="A1022" s="20"/>
      <c r="B1022" s="20"/>
      <c r="C1022" s="20"/>
      <c r="D1022" s="20"/>
      <c r="E1022" s="20"/>
      <c r="F1022" s="21"/>
      <c r="G1022" s="45"/>
      <c r="H1022" s="20"/>
      <c r="I1022" s="20"/>
      <c r="J1022" s="20"/>
      <c r="K1022" s="20"/>
      <c r="L1022" s="21"/>
      <c r="M1022" s="33" t="str">
        <f>IFERROR(__xludf.DUMMYFUNCTION("IFS(W1022=""Achat"",IFERROR(VALUE(X1022),VALUE(REGEXREPLACE(T(X1022),""[^0-9]"",""""))),W1022=""Vente"",-IFERROR(VALUE(X1022),VALUE(REGEXREPLACE(T(X1022),""[^0-9]"",""""))),Y1022=""Change"",0,Y1022&lt;&gt;""Change"","""")"),"")</f>
        <v/>
      </c>
      <c r="N1022" s="34" t="str">
        <f>IFERROR(__xludf.DUMMYFUNCTION("IF(Account!$F1022&lt;&gt;"""", VALUE(REGEXREPLACE($I1022, ""\,"", ""."")), """")"),"")</f>
        <v/>
      </c>
      <c r="O1022" s="35" t="str">
        <f>IF(Account!$F1022&lt;&gt;"", DATEVALUE(MID($A1022,4,3) &amp; LEFT($A1022,3) &amp; RIGHT($A1022,4)) + TIMEVALUE($B1022), "")</f>
        <v/>
      </c>
      <c r="P1022" s="36" t="str">
        <f>IF(Account!$F1022&lt;&gt;"", DATEVALUE(MID($C1022,4,3) &amp; LEFT($C1022,3) &amp; RIGHT($C1022,4)), "")</f>
        <v/>
      </c>
      <c r="Q1022" s="37" t="str">
        <f t="array" ref="Q1022">IF($R1022&lt;&gt;"",IFERROR(INDEX(ISIN!$B:$B,MATCH($R1022,ISIN!$C:$C,0))),)</f>
        <v/>
      </c>
      <c r="R1022" s="38" t="str">
        <f t="array" ref="R1022">IF($E1022&lt;&gt;"",IFERROR(INDEX(ISIN!$C:$C,MATCH($E1022,ISIN!$A:$A,0)),IFERROR(INDEX($R1023:$R1200,MATCH($K1022,$K1023:$K1200,0)))),IF(AND($Y1022="change",$H1022="EUR"),IF($O1022=$O1023,$R1023,IF($O1022=$O1021,$R1021)),IFERROR(INDEX($R1023:$R1200,MATCH(SUBSTITUTE($I1022,"-","",1),$K1023:$K1200,0)))))</f>
        <v/>
      </c>
      <c r="S1022" s="37" t="str">
        <f t="shared" si="1"/>
        <v/>
      </c>
      <c r="T1022" s="39" t="str">
        <f t="shared" si="2"/>
        <v/>
      </c>
      <c r="U1022" s="40" t="str">
        <f t="shared" si="3"/>
        <v/>
      </c>
      <c r="V1022" s="34" t="str">
        <f t="shared" si="4"/>
        <v/>
      </c>
      <c r="W1022" s="41" t="str">
        <f>IFERROR(__xludf.DUMMYFUNCTION(" IF(Account!$F1022&lt;&gt;"""", SPLIT(Account!$F1022, "" ""), """")"),"")</f>
        <v/>
      </c>
      <c r="X1022" s="42"/>
      <c r="Y1022" s="42"/>
      <c r="Z1022" s="42"/>
      <c r="AA1022" s="42"/>
      <c r="AB1022" s="42"/>
      <c r="AC1022" s="42"/>
      <c r="AD1022" s="42"/>
      <c r="AE1022" s="42"/>
      <c r="AF1022" s="42"/>
      <c r="AG1022" s="42"/>
      <c r="AH1022" s="42"/>
      <c r="AI1022" s="42"/>
      <c r="AJ1022" s="42"/>
      <c r="AK1022" s="42"/>
    </row>
    <row r="1023">
      <c r="A1023" s="20"/>
      <c r="B1023" s="20"/>
      <c r="C1023" s="20"/>
      <c r="D1023" s="20"/>
      <c r="E1023" s="20"/>
      <c r="F1023" s="21"/>
      <c r="G1023" s="20"/>
      <c r="H1023" s="20"/>
      <c r="I1023" s="20"/>
      <c r="J1023" s="20"/>
      <c r="K1023" s="20"/>
      <c r="L1023" s="21"/>
      <c r="M1023" s="33" t="str">
        <f>IFERROR(__xludf.DUMMYFUNCTION("IFS(W1023=""Achat"",IFERROR(VALUE(X1023),VALUE(REGEXREPLACE(T(X1023),""[^0-9]"",""""))),W1023=""Vente"",-IFERROR(VALUE(X1023),VALUE(REGEXREPLACE(T(X1023),""[^0-9]"",""""))),Y1023=""Change"",0,Y1023&lt;&gt;""Change"","""")"),"")</f>
        <v/>
      </c>
      <c r="N1023" s="34" t="str">
        <f>IFERROR(__xludf.DUMMYFUNCTION("IF(Account!$F1023&lt;&gt;"""", VALUE(REGEXREPLACE($I1023, ""\,"", ""."")), """")"),"")</f>
        <v/>
      </c>
      <c r="O1023" s="35" t="str">
        <f>IF(Account!$F1023&lt;&gt;"", DATEVALUE(MID($A1023,4,3) &amp; LEFT($A1023,3) &amp; RIGHT($A1023,4)) + TIMEVALUE($B1023), "")</f>
        <v/>
      </c>
      <c r="P1023" s="36" t="str">
        <f>IF(Account!$F1023&lt;&gt;"", DATEVALUE(MID($C1023,4,3) &amp; LEFT($C1023,3) &amp; RIGHT($C1023,4)), "")</f>
        <v/>
      </c>
      <c r="Q1023" s="37" t="str">
        <f t="array" ref="Q1023">IF($R1023&lt;&gt;"",IFERROR(INDEX(ISIN!$B:$B,MATCH($R1023,ISIN!$C:$C,0))),)</f>
        <v/>
      </c>
      <c r="R1023" s="38" t="str">
        <f t="array" ref="R1023">IF($E1023&lt;&gt;"",IFERROR(INDEX(ISIN!$C:$C,MATCH($E1023,ISIN!$A:$A,0)),IFERROR(INDEX($R1024:$R1200,MATCH($K1023,$K1024:$K1200,0)))),IF(AND($Y1023="change",$H1023="EUR"),IF($O1023=$O1024,$R1024,IF($O1023=$O1022,$R1022)),IFERROR(INDEX($R1024:$R1200,MATCH(SUBSTITUTE($I1023,"-","",1),$K1024:$K1200,0)))))</f>
        <v/>
      </c>
      <c r="S1023" s="37" t="str">
        <f t="shared" si="1"/>
        <v/>
      </c>
      <c r="T1023" s="39" t="str">
        <f t="shared" si="2"/>
        <v/>
      </c>
      <c r="U1023" s="40" t="str">
        <f t="shared" si="3"/>
        <v/>
      </c>
      <c r="V1023" s="34" t="str">
        <f t="shared" si="4"/>
        <v/>
      </c>
      <c r="W1023" s="41" t="str">
        <f>IFERROR(__xludf.DUMMYFUNCTION(" IF(Account!$F1023&lt;&gt;"""", SPLIT(Account!$F1023, "" ""), """")"),"")</f>
        <v/>
      </c>
      <c r="X1023" s="42"/>
      <c r="Y1023" s="42"/>
      <c r="Z1023" s="42"/>
      <c r="AA1023" s="42"/>
      <c r="AB1023" s="42"/>
      <c r="AC1023" s="42"/>
      <c r="AD1023" s="42"/>
      <c r="AE1023" s="42"/>
      <c r="AF1023" s="42"/>
      <c r="AG1023" s="42"/>
      <c r="AH1023" s="42"/>
      <c r="AI1023" s="42"/>
      <c r="AJ1023" s="42"/>
      <c r="AK1023" s="42"/>
    </row>
    <row r="1024">
      <c r="A1024" s="20"/>
      <c r="B1024" s="20"/>
      <c r="C1024" s="20"/>
      <c r="D1024" s="20"/>
      <c r="E1024" s="20"/>
      <c r="F1024" s="21"/>
      <c r="G1024" s="45"/>
      <c r="H1024" s="20"/>
      <c r="I1024" s="20"/>
      <c r="J1024" s="20"/>
      <c r="K1024" s="20"/>
      <c r="L1024" s="21"/>
      <c r="M1024" s="33" t="str">
        <f>IFERROR(__xludf.DUMMYFUNCTION("IFS(W1024=""Achat"",IFERROR(VALUE(X1024),VALUE(REGEXREPLACE(T(X1024),""[^0-9]"",""""))),W1024=""Vente"",-IFERROR(VALUE(X1024),VALUE(REGEXREPLACE(T(X1024),""[^0-9]"",""""))),Y1024=""Change"",0,Y1024&lt;&gt;""Change"","""")"),"")</f>
        <v/>
      </c>
      <c r="N1024" s="34" t="str">
        <f>IFERROR(__xludf.DUMMYFUNCTION("IF(Account!$F1024&lt;&gt;"""", VALUE(REGEXREPLACE($I1024, ""\,"", ""."")), """")"),"")</f>
        <v/>
      </c>
      <c r="O1024" s="35" t="str">
        <f>IF(Account!$F1024&lt;&gt;"", DATEVALUE(MID($A1024,4,3) &amp; LEFT($A1024,3) &amp; RIGHT($A1024,4)) + TIMEVALUE($B1024), "")</f>
        <v/>
      </c>
      <c r="P1024" s="36" t="str">
        <f>IF(Account!$F1024&lt;&gt;"", DATEVALUE(MID($C1024,4,3) &amp; LEFT($C1024,3) &amp; RIGHT($C1024,4)), "")</f>
        <v/>
      </c>
      <c r="Q1024" s="37" t="str">
        <f t="array" ref="Q1024">IF($R1024&lt;&gt;"",IFERROR(INDEX(ISIN!$B:$B,MATCH($R1024,ISIN!$C:$C,0))),)</f>
        <v/>
      </c>
      <c r="R1024" s="38" t="str">
        <f t="array" ref="R1024">IF($E1024&lt;&gt;"",IFERROR(INDEX(ISIN!$C:$C,MATCH($E1024,ISIN!$A:$A,0)),IFERROR(INDEX($R1025:$R1200,MATCH($K1024,$K1025:$K1200,0)))),IF(AND($Y1024="change",$H1024="EUR"),IF($O1024=$O1025,$R1025,IF($O1024=$O1023,$R1023)),IFERROR(INDEX($R1025:$R1200,MATCH(SUBSTITUTE($I1024,"-","",1),$K1025:$K1200,0)))))</f>
        <v/>
      </c>
      <c r="S1024" s="37" t="str">
        <f t="shared" si="1"/>
        <v/>
      </c>
      <c r="T1024" s="39" t="str">
        <f t="shared" si="2"/>
        <v/>
      </c>
      <c r="U1024" s="40" t="str">
        <f t="shared" si="3"/>
        <v/>
      </c>
      <c r="V1024" s="34" t="str">
        <f t="shared" si="4"/>
        <v/>
      </c>
      <c r="W1024" s="41" t="str">
        <f>IFERROR(__xludf.DUMMYFUNCTION(" IF(Account!$F1024&lt;&gt;"""", SPLIT(Account!$F1024, "" ""), """")"),"")</f>
        <v/>
      </c>
      <c r="X1024" s="42"/>
      <c r="Y1024" s="42"/>
      <c r="Z1024" s="42"/>
      <c r="AA1024" s="42"/>
      <c r="AB1024" s="42"/>
      <c r="AC1024" s="42"/>
      <c r="AD1024" s="42"/>
      <c r="AE1024" s="42"/>
      <c r="AF1024" s="42"/>
      <c r="AG1024" s="42"/>
      <c r="AH1024" s="42"/>
      <c r="AI1024" s="42"/>
      <c r="AJ1024" s="42"/>
      <c r="AK1024" s="42"/>
    </row>
    <row r="1025">
      <c r="A1025" s="20"/>
      <c r="B1025" s="20"/>
      <c r="C1025" s="20"/>
      <c r="D1025" s="20"/>
      <c r="E1025" s="20"/>
      <c r="F1025" s="21"/>
      <c r="G1025" s="20"/>
      <c r="H1025" s="20"/>
      <c r="I1025" s="20"/>
      <c r="J1025" s="20"/>
      <c r="K1025" s="20"/>
      <c r="L1025" s="21"/>
      <c r="M1025" s="33" t="str">
        <f>IFERROR(__xludf.DUMMYFUNCTION("IFS(W1025=""Achat"",IFERROR(VALUE(X1025),VALUE(REGEXREPLACE(T(X1025),""[^0-9]"",""""))),W1025=""Vente"",-IFERROR(VALUE(X1025),VALUE(REGEXREPLACE(T(X1025),""[^0-9]"",""""))),Y1025=""Change"",0,Y1025&lt;&gt;""Change"","""")"),"")</f>
        <v/>
      </c>
      <c r="N1025" s="34" t="str">
        <f>IFERROR(__xludf.DUMMYFUNCTION("IF(Account!$F1025&lt;&gt;"""", VALUE(REGEXREPLACE($I1025, ""\,"", ""."")), """")"),"")</f>
        <v/>
      </c>
      <c r="O1025" s="35" t="str">
        <f>IF(Account!$F1025&lt;&gt;"", DATEVALUE(MID($A1025,4,3) &amp; LEFT($A1025,3) &amp; RIGHT($A1025,4)) + TIMEVALUE($B1025), "")</f>
        <v/>
      </c>
      <c r="P1025" s="36" t="str">
        <f>IF(Account!$F1025&lt;&gt;"", DATEVALUE(MID($C1025,4,3) &amp; LEFT($C1025,3) &amp; RIGHT($C1025,4)), "")</f>
        <v/>
      </c>
      <c r="Q1025" s="37" t="str">
        <f t="array" ref="Q1025">IF($R1025&lt;&gt;"",IFERROR(INDEX(ISIN!$B:$B,MATCH($R1025,ISIN!$C:$C,0))),)</f>
        <v/>
      </c>
      <c r="R1025" s="38" t="str">
        <f t="array" ref="R1025">IF($E1025&lt;&gt;"",IFERROR(INDEX(ISIN!$C:$C,MATCH($E1025,ISIN!$A:$A,0)),IFERROR(INDEX($R1026:$R1200,MATCH($K1025,$K1026:$K1200,0)))),IF(AND($Y1025="change",$H1025="EUR"),IF($O1025=$O1026,$R1026,IF($O1025=$O1024,$R1024)),IFERROR(INDEX($R1026:$R1200,MATCH(SUBSTITUTE($I1025,"-","",1),$K1026:$K1200,0)))))</f>
        <v/>
      </c>
      <c r="S1025" s="37" t="str">
        <f t="shared" si="1"/>
        <v/>
      </c>
      <c r="T1025" s="39" t="str">
        <f t="shared" si="2"/>
        <v/>
      </c>
      <c r="U1025" s="40" t="str">
        <f t="shared" si="3"/>
        <v/>
      </c>
      <c r="V1025" s="34" t="str">
        <f t="shared" si="4"/>
        <v/>
      </c>
      <c r="W1025" s="41" t="str">
        <f>IFERROR(__xludf.DUMMYFUNCTION(" IF(Account!$F1025&lt;&gt;"""", SPLIT(Account!$F1025, "" ""), """")"),"")</f>
        <v/>
      </c>
      <c r="X1025" s="42"/>
      <c r="Y1025" s="42"/>
      <c r="Z1025" s="42"/>
      <c r="AA1025" s="42"/>
      <c r="AB1025" s="42"/>
      <c r="AC1025" s="42"/>
      <c r="AD1025" s="42"/>
      <c r="AE1025" s="42"/>
      <c r="AF1025" s="42"/>
      <c r="AG1025" s="42"/>
      <c r="AH1025" s="42"/>
      <c r="AI1025" s="42"/>
      <c r="AJ1025" s="42"/>
      <c r="AK1025" s="42"/>
    </row>
    <row r="1026">
      <c r="A1026" s="20"/>
      <c r="B1026" s="20"/>
      <c r="C1026" s="20"/>
      <c r="D1026" s="20"/>
      <c r="E1026" s="20"/>
      <c r="F1026" s="21"/>
      <c r="G1026" s="45"/>
      <c r="H1026" s="20"/>
      <c r="I1026" s="20"/>
      <c r="J1026" s="20"/>
      <c r="K1026" s="20"/>
      <c r="L1026" s="21"/>
      <c r="M1026" s="33" t="str">
        <f>IFERROR(__xludf.DUMMYFUNCTION("IFS(W1026=""Achat"",IFERROR(VALUE(X1026),VALUE(REGEXREPLACE(T(X1026),""[^0-9]"",""""))),W1026=""Vente"",-IFERROR(VALUE(X1026),VALUE(REGEXREPLACE(T(X1026),""[^0-9]"",""""))),Y1026=""Change"",0,Y1026&lt;&gt;""Change"","""")"),"")</f>
        <v/>
      </c>
      <c r="N1026" s="34" t="str">
        <f>IFERROR(__xludf.DUMMYFUNCTION("IF(Account!$F1026&lt;&gt;"""", VALUE(REGEXREPLACE($I1026, ""\,"", ""."")), """")"),"")</f>
        <v/>
      </c>
      <c r="O1026" s="35" t="str">
        <f>IF(Account!$F1026&lt;&gt;"", DATEVALUE(MID($A1026,4,3) &amp; LEFT($A1026,3) &amp; RIGHT($A1026,4)) + TIMEVALUE($B1026), "")</f>
        <v/>
      </c>
      <c r="P1026" s="36" t="str">
        <f>IF(Account!$F1026&lt;&gt;"", DATEVALUE(MID($C1026,4,3) &amp; LEFT($C1026,3) &amp; RIGHT($C1026,4)), "")</f>
        <v/>
      </c>
      <c r="Q1026" s="37" t="str">
        <f t="array" ref="Q1026">IF($R1026&lt;&gt;"",IFERROR(INDEX(ISIN!$B:$B,MATCH($R1026,ISIN!$C:$C,0))),)</f>
        <v/>
      </c>
      <c r="R1026" s="38" t="str">
        <f t="array" ref="R1026">IF($E1026&lt;&gt;"",IFERROR(INDEX(ISIN!$C:$C,MATCH($E1026,ISIN!$A:$A,0)),IFERROR(INDEX($R1027:$R1200,MATCH($K1026,$K1027:$K1200,0)))),IF(AND($Y1026="change",$H1026="EUR"),IF($O1026=$O1027,$R1027,IF($O1026=$O1025,$R1025)),IFERROR(INDEX($R1027:$R1200,MATCH(SUBSTITUTE($I1026,"-","",1),$K1027:$K1200,0)))))</f>
        <v/>
      </c>
      <c r="S1026" s="37" t="str">
        <f t="shared" si="1"/>
        <v/>
      </c>
      <c r="T1026" s="39" t="str">
        <f t="shared" si="2"/>
        <v/>
      </c>
      <c r="U1026" s="40" t="str">
        <f t="shared" si="3"/>
        <v/>
      </c>
      <c r="V1026" s="34" t="str">
        <f t="shared" si="4"/>
        <v/>
      </c>
      <c r="W1026" s="41" t="str">
        <f>IFERROR(__xludf.DUMMYFUNCTION(" IF(Account!$F1026&lt;&gt;"""", SPLIT(Account!$F1026, "" ""), """")"),"")</f>
        <v/>
      </c>
      <c r="X1026" s="42"/>
      <c r="Y1026" s="42"/>
      <c r="Z1026" s="42"/>
      <c r="AA1026" s="42"/>
      <c r="AB1026" s="42"/>
      <c r="AC1026" s="42"/>
      <c r="AD1026" s="42"/>
      <c r="AE1026" s="42"/>
      <c r="AF1026" s="42"/>
      <c r="AG1026" s="42"/>
      <c r="AH1026" s="42"/>
      <c r="AI1026" s="42"/>
      <c r="AJ1026" s="42"/>
      <c r="AK1026" s="42"/>
    </row>
    <row r="1027">
      <c r="A1027" s="20"/>
      <c r="B1027" s="20"/>
      <c r="C1027" s="20"/>
      <c r="D1027" s="20"/>
      <c r="E1027" s="20"/>
      <c r="F1027" s="21"/>
      <c r="G1027" s="20"/>
      <c r="H1027" s="20"/>
      <c r="I1027" s="20"/>
      <c r="J1027" s="20"/>
      <c r="K1027" s="20"/>
      <c r="L1027" s="21"/>
      <c r="M1027" s="33" t="str">
        <f>IFERROR(__xludf.DUMMYFUNCTION("IFS(W1027=""Achat"",IFERROR(VALUE(X1027),VALUE(REGEXREPLACE(T(X1027),""[^0-9]"",""""))),W1027=""Vente"",-IFERROR(VALUE(X1027),VALUE(REGEXREPLACE(T(X1027),""[^0-9]"",""""))),Y1027=""Change"",0,Y1027&lt;&gt;""Change"","""")"),"")</f>
        <v/>
      </c>
      <c r="N1027" s="34" t="str">
        <f>IFERROR(__xludf.DUMMYFUNCTION("IF(Account!$F1027&lt;&gt;"""", VALUE(REGEXREPLACE($I1027, ""\,"", ""."")), """")"),"")</f>
        <v/>
      </c>
      <c r="O1027" s="35" t="str">
        <f>IF(Account!$F1027&lt;&gt;"", DATEVALUE(MID($A1027,4,3) &amp; LEFT($A1027,3) &amp; RIGHT($A1027,4)) + TIMEVALUE($B1027), "")</f>
        <v/>
      </c>
      <c r="P1027" s="36" t="str">
        <f>IF(Account!$F1027&lt;&gt;"", DATEVALUE(MID($C1027,4,3) &amp; LEFT($C1027,3) &amp; RIGHT($C1027,4)), "")</f>
        <v/>
      </c>
      <c r="Q1027" s="37" t="str">
        <f t="array" ref="Q1027">IF($R1027&lt;&gt;"",IFERROR(INDEX(ISIN!$B:$B,MATCH($R1027,ISIN!$C:$C,0))),)</f>
        <v/>
      </c>
      <c r="R1027" s="38" t="str">
        <f t="array" ref="R1027">IF($E1027&lt;&gt;"",IFERROR(INDEX(ISIN!$C:$C,MATCH($E1027,ISIN!$A:$A,0)),IFERROR(INDEX($R1028:$R1200,MATCH($K1027,$K1028:$K1200,0)))),IF(AND($Y1027="change",$H1027="EUR"),IF($O1027=$O1028,$R1028,IF($O1027=$O1026,$R1026)),IFERROR(INDEX($R1028:$R1200,MATCH(SUBSTITUTE($I1027,"-","",1),$K1028:$K1200,0)))))</f>
        <v/>
      </c>
      <c r="S1027" s="37" t="str">
        <f t="shared" si="1"/>
        <v/>
      </c>
      <c r="T1027" s="39" t="str">
        <f t="shared" si="2"/>
        <v/>
      </c>
      <c r="U1027" s="40" t="str">
        <f t="shared" si="3"/>
        <v/>
      </c>
      <c r="V1027" s="34" t="str">
        <f t="shared" si="4"/>
        <v/>
      </c>
      <c r="W1027" s="41" t="str">
        <f>IFERROR(__xludf.DUMMYFUNCTION(" IF(Account!$F1027&lt;&gt;"""", SPLIT(Account!$F1027, "" ""), """")"),"")</f>
        <v/>
      </c>
      <c r="X1027" s="42"/>
      <c r="Y1027" s="42"/>
      <c r="Z1027" s="42"/>
      <c r="AA1027" s="42"/>
      <c r="AB1027" s="42"/>
      <c r="AC1027" s="42"/>
      <c r="AD1027" s="42"/>
      <c r="AE1027" s="42"/>
      <c r="AF1027" s="42"/>
      <c r="AG1027" s="42"/>
      <c r="AH1027" s="42"/>
      <c r="AI1027" s="42"/>
      <c r="AJ1027" s="42"/>
      <c r="AK1027" s="42"/>
    </row>
    <row r="1028">
      <c r="A1028" s="20"/>
      <c r="B1028" s="20"/>
      <c r="C1028" s="20"/>
      <c r="D1028" s="20"/>
      <c r="E1028" s="20"/>
      <c r="F1028" s="21"/>
      <c r="G1028" s="45"/>
      <c r="H1028" s="20"/>
      <c r="I1028" s="20"/>
      <c r="J1028" s="20"/>
      <c r="K1028" s="20"/>
      <c r="L1028" s="21"/>
      <c r="M1028" s="33" t="str">
        <f>IFERROR(__xludf.DUMMYFUNCTION("IFS(W1028=""Achat"",IFERROR(VALUE(X1028),VALUE(REGEXREPLACE(T(X1028),""[^0-9]"",""""))),W1028=""Vente"",-IFERROR(VALUE(X1028),VALUE(REGEXREPLACE(T(X1028),""[^0-9]"",""""))),Y1028=""Change"",0,Y1028&lt;&gt;""Change"","""")"),"")</f>
        <v/>
      </c>
      <c r="N1028" s="34" t="str">
        <f>IFERROR(__xludf.DUMMYFUNCTION("IF(Account!$F1028&lt;&gt;"""", VALUE(REGEXREPLACE($I1028, ""\,"", ""."")), """")"),"")</f>
        <v/>
      </c>
      <c r="O1028" s="35" t="str">
        <f>IF(Account!$F1028&lt;&gt;"", DATEVALUE(MID($A1028,4,3) &amp; LEFT($A1028,3) &amp; RIGHT($A1028,4)) + TIMEVALUE($B1028), "")</f>
        <v/>
      </c>
      <c r="P1028" s="36" t="str">
        <f>IF(Account!$F1028&lt;&gt;"", DATEVALUE(MID($C1028,4,3) &amp; LEFT($C1028,3) &amp; RIGHT($C1028,4)), "")</f>
        <v/>
      </c>
      <c r="Q1028" s="37" t="str">
        <f t="array" ref="Q1028">IF($R1028&lt;&gt;"",IFERROR(INDEX(ISIN!$B:$B,MATCH($R1028,ISIN!$C:$C,0))),)</f>
        <v/>
      </c>
      <c r="R1028" s="38" t="str">
        <f t="array" ref="R1028">IF($E1028&lt;&gt;"",IFERROR(INDEX(ISIN!$C:$C,MATCH($E1028,ISIN!$A:$A,0)),IFERROR(INDEX($R1029:$R1200,MATCH($K1028,$K1029:$K1200,0)))),IF(AND($Y1028="change",$H1028="EUR"),IF($O1028=$O1029,$R1029,IF($O1028=$O1027,$R1027)),IFERROR(INDEX($R1029:$R1200,MATCH(SUBSTITUTE($I1028,"-","",1),$K1029:$K1200,0)))))</f>
        <v/>
      </c>
      <c r="S1028" s="37" t="str">
        <f t="shared" si="1"/>
        <v/>
      </c>
      <c r="T1028" s="39" t="str">
        <f t="shared" si="2"/>
        <v/>
      </c>
      <c r="U1028" s="40" t="str">
        <f t="shared" si="3"/>
        <v/>
      </c>
      <c r="V1028" s="34" t="str">
        <f t="shared" si="4"/>
        <v/>
      </c>
      <c r="W1028" s="41" t="str">
        <f>IFERROR(__xludf.DUMMYFUNCTION(" IF(Account!$F1028&lt;&gt;"""", SPLIT(Account!$F1028, "" ""), """")"),"")</f>
        <v/>
      </c>
      <c r="X1028" s="42"/>
      <c r="Y1028" s="42"/>
      <c r="Z1028" s="42"/>
      <c r="AA1028" s="42"/>
      <c r="AB1028" s="42"/>
      <c r="AC1028" s="42"/>
      <c r="AD1028" s="42"/>
      <c r="AE1028" s="42"/>
      <c r="AF1028" s="42"/>
      <c r="AG1028" s="42"/>
      <c r="AH1028" s="42"/>
      <c r="AI1028" s="42"/>
      <c r="AJ1028" s="42"/>
      <c r="AK1028" s="42"/>
    </row>
    <row r="1029">
      <c r="A1029" s="20"/>
      <c r="B1029" s="20"/>
      <c r="C1029" s="20"/>
      <c r="D1029" s="20"/>
      <c r="E1029" s="20"/>
      <c r="F1029" s="21"/>
      <c r="G1029" s="20"/>
      <c r="H1029" s="20"/>
      <c r="I1029" s="20"/>
      <c r="J1029" s="20"/>
      <c r="K1029" s="20"/>
      <c r="L1029" s="21"/>
      <c r="M1029" s="33" t="str">
        <f>IFERROR(__xludf.DUMMYFUNCTION("IFS(W1029=""Achat"",IFERROR(VALUE(X1029),VALUE(REGEXREPLACE(T(X1029),""[^0-9]"",""""))),W1029=""Vente"",-IFERROR(VALUE(X1029),VALUE(REGEXREPLACE(T(X1029),""[^0-9]"",""""))),Y1029=""Change"",0,Y1029&lt;&gt;""Change"","""")"),"")</f>
        <v/>
      </c>
      <c r="N1029" s="34" t="str">
        <f>IFERROR(__xludf.DUMMYFUNCTION("IF(Account!$F1029&lt;&gt;"""", VALUE(REGEXREPLACE($I1029, ""\,"", ""."")), """")"),"")</f>
        <v/>
      </c>
      <c r="O1029" s="35" t="str">
        <f>IF(Account!$F1029&lt;&gt;"", DATEVALUE(MID($A1029,4,3) &amp; LEFT($A1029,3) &amp; RIGHT($A1029,4)) + TIMEVALUE($B1029), "")</f>
        <v/>
      </c>
      <c r="P1029" s="36" t="str">
        <f>IF(Account!$F1029&lt;&gt;"", DATEVALUE(MID($C1029,4,3) &amp; LEFT($C1029,3) &amp; RIGHT($C1029,4)), "")</f>
        <v/>
      </c>
      <c r="Q1029" s="37" t="str">
        <f t="array" ref="Q1029">IF($R1029&lt;&gt;"",IFERROR(INDEX(ISIN!$B:$B,MATCH($R1029,ISIN!$C:$C,0))),)</f>
        <v/>
      </c>
      <c r="R1029" s="38" t="str">
        <f t="array" ref="R1029">IF($E1029&lt;&gt;"",IFERROR(INDEX(ISIN!$C:$C,MATCH($E1029,ISIN!$A:$A,0)),IFERROR(INDEX($R1030:$R1200,MATCH($K1029,$K1030:$K1200,0)))),IF(AND($Y1029="change",$H1029="EUR"),IF($O1029=$O1030,$R1030,IF($O1029=$O1028,$R1028)),IFERROR(INDEX($R1030:$R1200,MATCH(SUBSTITUTE($I1029,"-","",1),$K1030:$K1200,0)))))</f>
        <v/>
      </c>
      <c r="S1029" s="37" t="str">
        <f t="shared" si="1"/>
        <v/>
      </c>
      <c r="T1029" s="39" t="str">
        <f t="shared" si="2"/>
        <v/>
      </c>
      <c r="U1029" s="40" t="str">
        <f t="shared" si="3"/>
        <v/>
      </c>
      <c r="V1029" s="34" t="str">
        <f t="shared" si="4"/>
        <v/>
      </c>
      <c r="W1029" s="41" t="str">
        <f>IFERROR(__xludf.DUMMYFUNCTION(" IF(Account!$F1029&lt;&gt;"""", SPLIT(Account!$F1029, "" ""), """")"),"")</f>
        <v/>
      </c>
      <c r="X1029" s="42"/>
      <c r="Y1029" s="42"/>
      <c r="Z1029" s="42"/>
      <c r="AA1029" s="42"/>
      <c r="AB1029" s="42"/>
      <c r="AC1029" s="42"/>
      <c r="AD1029" s="42"/>
      <c r="AE1029" s="42"/>
      <c r="AF1029" s="42"/>
      <c r="AG1029" s="42"/>
      <c r="AH1029" s="42"/>
      <c r="AI1029" s="42"/>
      <c r="AJ1029" s="42"/>
      <c r="AK1029" s="42"/>
    </row>
    <row r="1030">
      <c r="A1030" s="20"/>
      <c r="B1030" s="20"/>
      <c r="C1030" s="20"/>
      <c r="D1030" s="20"/>
      <c r="E1030" s="20"/>
      <c r="F1030" s="21"/>
      <c r="G1030" s="45"/>
      <c r="H1030" s="20"/>
      <c r="I1030" s="20"/>
      <c r="J1030" s="20"/>
      <c r="K1030" s="20"/>
      <c r="L1030" s="21"/>
      <c r="M1030" s="33" t="str">
        <f>IFERROR(__xludf.DUMMYFUNCTION("IFS(W1030=""Achat"",IFERROR(VALUE(X1030),VALUE(REGEXREPLACE(T(X1030),""[^0-9]"",""""))),W1030=""Vente"",-IFERROR(VALUE(X1030),VALUE(REGEXREPLACE(T(X1030),""[^0-9]"",""""))),Y1030=""Change"",0,Y1030&lt;&gt;""Change"","""")"),"")</f>
        <v/>
      </c>
      <c r="N1030" s="34" t="str">
        <f>IFERROR(__xludf.DUMMYFUNCTION("IF(Account!$F1030&lt;&gt;"""", VALUE(REGEXREPLACE($I1030, ""\,"", ""."")), """")"),"")</f>
        <v/>
      </c>
      <c r="O1030" s="35" t="str">
        <f>IF(Account!$F1030&lt;&gt;"", DATEVALUE(MID($A1030,4,3) &amp; LEFT($A1030,3) &amp; RIGHT($A1030,4)) + TIMEVALUE($B1030), "")</f>
        <v/>
      </c>
      <c r="P1030" s="36" t="str">
        <f>IF(Account!$F1030&lt;&gt;"", DATEVALUE(MID($C1030,4,3) &amp; LEFT($C1030,3) &amp; RIGHT($C1030,4)), "")</f>
        <v/>
      </c>
      <c r="Q1030" s="37" t="str">
        <f t="array" ref="Q1030">IF($R1030&lt;&gt;"",IFERROR(INDEX(ISIN!$B:$B,MATCH($R1030,ISIN!$C:$C,0))),)</f>
        <v/>
      </c>
      <c r="R1030" s="38" t="str">
        <f t="array" ref="R1030">IF($E1030&lt;&gt;"",IFERROR(INDEX(ISIN!$C:$C,MATCH($E1030,ISIN!$A:$A,0)),IFERROR(INDEX($R1031:$R1200,MATCH($K1030,$K1031:$K1200,0)))),IF(AND($Y1030="change",$H1030="EUR"),IF($O1030=$O1031,$R1031,IF($O1030=$O1029,$R1029)),IFERROR(INDEX($R1031:$R1200,MATCH(SUBSTITUTE($I1030,"-","",1),$K1031:$K1200,0)))))</f>
        <v/>
      </c>
      <c r="S1030" s="37" t="str">
        <f t="shared" si="1"/>
        <v/>
      </c>
      <c r="T1030" s="39" t="str">
        <f t="shared" si="2"/>
        <v/>
      </c>
      <c r="U1030" s="40" t="str">
        <f t="shared" si="3"/>
        <v/>
      </c>
      <c r="V1030" s="34" t="str">
        <f t="shared" si="4"/>
        <v/>
      </c>
      <c r="W1030" s="41" t="str">
        <f>IFERROR(__xludf.DUMMYFUNCTION(" IF(Account!$F1030&lt;&gt;"""", SPLIT(Account!$F1030, "" ""), """")"),"")</f>
        <v/>
      </c>
      <c r="X1030" s="42"/>
      <c r="Y1030" s="42"/>
      <c r="Z1030" s="42"/>
      <c r="AA1030" s="42"/>
      <c r="AB1030" s="42"/>
      <c r="AC1030" s="42"/>
      <c r="AD1030" s="42"/>
      <c r="AE1030" s="42"/>
      <c r="AF1030" s="42"/>
      <c r="AG1030" s="42"/>
      <c r="AH1030" s="42"/>
      <c r="AI1030" s="42"/>
      <c r="AJ1030" s="42"/>
      <c r="AK1030" s="42"/>
    </row>
    <row r="1031">
      <c r="A1031" s="20"/>
      <c r="B1031" s="20"/>
      <c r="C1031" s="20"/>
      <c r="D1031" s="20"/>
      <c r="E1031" s="20"/>
      <c r="F1031" s="21"/>
      <c r="G1031" s="20"/>
      <c r="H1031" s="20"/>
      <c r="I1031" s="20"/>
      <c r="J1031" s="20"/>
      <c r="K1031" s="20"/>
      <c r="L1031" s="21"/>
      <c r="M1031" s="33" t="str">
        <f>IFERROR(__xludf.DUMMYFUNCTION("IFS(W1031=""Achat"",IFERROR(VALUE(X1031),VALUE(REGEXREPLACE(T(X1031),""[^0-9]"",""""))),W1031=""Vente"",-IFERROR(VALUE(X1031),VALUE(REGEXREPLACE(T(X1031),""[^0-9]"",""""))),Y1031=""Change"",0,Y1031&lt;&gt;""Change"","""")"),"")</f>
        <v/>
      </c>
      <c r="N1031" s="34" t="str">
        <f>IFERROR(__xludf.DUMMYFUNCTION("IF(Account!$F1031&lt;&gt;"""", VALUE(REGEXREPLACE($I1031, ""\,"", ""."")), """")"),"")</f>
        <v/>
      </c>
      <c r="O1031" s="35" t="str">
        <f>IF(Account!$F1031&lt;&gt;"", DATEVALUE(MID($A1031,4,3) &amp; LEFT($A1031,3) &amp; RIGHT($A1031,4)) + TIMEVALUE($B1031), "")</f>
        <v/>
      </c>
      <c r="P1031" s="36" t="str">
        <f>IF(Account!$F1031&lt;&gt;"", DATEVALUE(MID($C1031,4,3) &amp; LEFT($C1031,3) &amp; RIGHT($C1031,4)), "")</f>
        <v/>
      </c>
      <c r="Q1031" s="37" t="str">
        <f t="array" ref="Q1031">IF($R1031&lt;&gt;"",IFERROR(INDEX(ISIN!$B:$B,MATCH($R1031,ISIN!$C:$C,0))),)</f>
        <v/>
      </c>
      <c r="R1031" s="38" t="str">
        <f t="array" ref="R1031">IF($E1031&lt;&gt;"",IFERROR(INDEX(ISIN!$C:$C,MATCH($E1031,ISIN!$A:$A,0)),IFERROR(INDEX($R1032:$R1200,MATCH($K1031,$K1032:$K1200,0)))),IF(AND($Y1031="change",$H1031="EUR"),IF($O1031=$O1032,$R1032,IF($O1031=$O1030,$R1030)),IFERROR(INDEX($R1032:$R1200,MATCH(SUBSTITUTE($I1031,"-","",1),$K1032:$K1200,0)))))</f>
        <v/>
      </c>
      <c r="S1031" s="37" t="str">
        <f t="shared" si="1"/>
        <v/>
      </c>
      <c r="T1031" s="39" t="str">
        <f t="shared" si="2"/>
        <v/>
      </c>
      <c r="U1031" s="40" t="str">
        <f t="shared" si="3"/>
        <v/>
      </c>
      <c r="V1031" s="34" t="str">
        <f t="shared" si="4"/>
        <v/>
      </c>
      <c r="W1031" s="41" t="str">
        <f>IFERROR(__xludf.DUMMYFUNCTION(" IF(Account!$F1031&lt;&gt;"""", SPLIT(Account!$F1031, "" ""), """")"),"")</f>
        <v/>
      </c>
      <c r="X1031" s="42"/>
      <c r="Y1031" s="42"/>
      <c r="Z1031" s="42"/>
      <c r="AA1031" s="42"/>
      <c r="AB1031" s="42"/>
      <c r="AC1031" s="42"/>
      <c r="AD1031" s="42"/>
      <c r="AE1031" s="42"/>
      <c r="AF1031" s="42"/>
      <c r="AG1031" s="42"/>
      <c r="AH1031" s="42"/>
      <c r="AI1031" s="42"/>
      <c r="AJ1031" s="42"/>
      <c r="AK1031" s="42"/>
    </row>
    <row r="1032">
      <c r="A1032" s="20"/>
      <c r="B1032" s="20"/>
      <c r="C1032" s="20"/>
      <c r="D1032" s="20"/>
      <c r="E1032" s="20"/>
      <c r="F1032" s="21"/>
      <c r="G1032" s="45"/>
      <c r="H1032" s="20"/>
      <c r="I1032" s="20"/>
      <c r="J1032" s="20"/>
      <c r="K1032" s="20"/>
      <c r="L1032" s="21"/>
      <c r="M1032" s="33" t="str">
        <f>IFERROR(__xludf.DUMMYFUNCTION("IFS(W1032=""Achat"",IFERROR(VALUE(X1032),VALUE(REGEXREPLACE(T(X1032),""[^0-9]"",""""))),W1032=""Vente"",-IFERROR(VALUE(X1032),VALUE(REGEXREPLACE(T(X1032),""[^0-9]"",""""))),Y1032=""Change"",0,Y1032&lt;&gt;""Change"","""")"),"")</f>
        <v/>
      </c>
      <c r="N1032" s="34" t="str">
        <f>IFERROR(__xludf.DUMMYFUNCTION("IF(Account!$F1032&lt;&gt;"""", VALUE(REGEXREPLACE($I1032, ""\,"", ""."")), """")"),"")</f>
        <v/>
      </c>
      <c r="O1032" s="35" t="str">
        <f>IF(Account!$F1032&lt;&gt;"", DATEVALUE(MID($A1032,4,3) &amp; LEFT($A1032,3) &amp; RIGHT($A1032,4)) + TIMEVALUE($B1032), "")</f>
        <v/>
      </c>
      <c r="P1032" s="36" t="str">
        <f>IF(Account!$F1032&lt;&gt;"", DATEVALUE(MID($C1032,4,3) &amp; LEFT($C1032,3) &amp; RIGHT($C1032,4)), "")</f>
        <v/>
      </c>
      <c r="Q1032" s="37" t="str">
        <f t="array" ref="Q1032">IF($R1032&lt;&gt;"",IFERROR(INDEX(ISIN!$B:$B,MATCH($R1032,ISIN!$C:$C,0))),)</f>
        <v/>
      </c>
      <c r="R1032" s="38" t="str">
        <f t="array" ref="R1032">IF($E1032&lt;&gt;"",IFERROR(INDEX(ISIN!$C:$C,MATCH($E1032,ISIN!$A:$A,0)),IFERROR(INDEX($R1033:$R1200,MATCH($K1032,$K1033:$K1200,0)))),IF(AND($Y1032="change",$H1032="EUR"),IF($O1032=$O1033,$R1033,IF($O1032=$O1031,$R1031)),IFERROR(INDEX($R1033:$R1200,MATCH(SUBSTITUTE($I1032,"-","",1),$K1033:$K1200,0)))))</f>
        <v/>
      </c>
      <c r="S1032" s="37" t="str">
        <f t="shared" si="1"/>
        <v/>
      </c>
      <c r="T1032" s="39" t="str">
        <f t="shared" si="2"/>
        <v/>
      </c>
      <c r="U1032" s="40" t="str">
        <f t="shared" si="3"/>
        <v/>
      </c>
      <c r="V1032" s="34" t="str">
        <f t="shared" si="4"/>
        <v/>
      </c>
      <c r="W1032" s="41" t="str">
        <f>IFERROR(__xludf.DUMMYFUNCTION(" IF(Account!$F1032&lt;&gt;"""", SPLIT(Account!$F1032, "" ""), """")"),"")</f>
        <v/>
      </c>
      <c r="X1032" s="42"/>
      <c r="Y1032" s="42"/>
      <c r="Z1032" s="42"/>
      <c r="AA1032" s="42"/>
      <c r="AB1032" s="42"/>
      <c r="AC1032" s="42"/>
      <c r="AD1032" s="42"/>
      <c r="AE1032" s="42"/>
      <c r="AF1032" s="42"/>
      <c r="AG1032" s="42"/>
      <c r="AH1032" s="42"/>
      <c r="AI1032" s="42"/>
      <c r="AJ1032" s="42"/>
      <c r="AK1032" s="42"/>
    </row>
    <row r="1033">
      <c r="A1033" s="20"/>
      <c r="B1033" s="20"/>
      <c r="C1033" s="20"/>
      <c r="D1033" s="20"/>
      <c r="E1033" s="20"/>
      <c r="F1033" s="21"/>
      <c r="G1033" s="45"/>
      <c r="H1033" s="20"/>
      <c r="I1033" s="20"/>
      <c r="J1033" s="20"/>
      <c r="K1033" s="20"/>
      <c r="L1033" s="21"/>
      <c r="M1033" s="33" t="str">
        <f>IFERROR(__xludf.DUMMYFUNCTION("IFS(W1033=""Achat"",IFERROR(VALUE(X1033),VALUE(REGEXREPLACE(T(X1033),""[^0-9]"",""""))),W1033=""Vente"",-IFERROR(VALUE(X1033),VALUE(REGEXREPLACE(T(X1033),""[^0-9]"",""""))),Y1033=""Change"",0,Y1033&lt;&gt;""Change"","""")"),"")</f>
        <v/>
      </c>
      <c r="N1033" s="34" t="str">
        <f>IFERROR(__xludf.DUMMYFUNCTION("IF(Account!$F1033&lt;&gt;"""", VALUE(REGEXREPLACE($I1033, ""\,"", ""."")), """")"),"")</f>
        <v/>
      </c>
      <c r="O1033" s="35" t="str">
        <f>IF(Account!$F1033&lt;&gt;"", DATEVALUE(MID($A1033,4,3) &amp; LEFT($A1033,3) &amp; RIGHT($A1033,4)) + TIMEVALUE($B1033), "")</f>
        <v/>
      </c>
      <c r="P1033" s="36" t="str">
        <f>IF(Account!$F1033&lt;&gt;"", DATEVALUE(MID($C1033,4,3) &amp; LEFT($C1033,3) &amp; RIGHT($C1033,4)), "")</f>
        <v/>
      </c>
      <c r="Q1033" s="37" t="str">
        <f t="array" ref="Q1033">IF($R1033&lt;&gt;"",IFERROR(INDEX(ISIN!$B:$B,MATCH($R1033,ISIN!$C:$C,0))),)</f>
        <v/>
      </c>
      <c r="R1033" s="38" t="str">
        <f t="array" ref="R1033">IF($E1033&lt;&gt;"",IFERROR(INDEX(ISIN!$C:$C,MATCH($E1033,ISIN!$A:$A,0)),IFERROR(INDEX($R1034:$R1200,MATCH($K1033,$K1034:$K1200,0)))),IF(AND($Y1033="change",$H1033="EUR"),IF($O1033=$O1034,$R1034,IF($O1033=$O1032,$R1032)),IFERROR(INDEX($R1034:$R1200,MATCH(SUBSTITUTE($I1033,"-","",1),$K1034:$K1200,0)))))</f>
        <v/>
      </c>
      <c r="S1033" s="37" t="str">
        <f t="shared" si="1"/>
        <v/>
      </c>
      <c r="T1033" s="39" t="str">
        <f t="shared" si="2"/>
        <v/>
      </c>
      <c r="U1033" s="40" t="str">
        <f t="shared" si="3"/>
        <v/>
      </c>
      <c r="V1033" s="34" t="str">
        <f t="shared" si="4"/>
        <v/>
      </c>
      <c r="W1033" s="41" t="str">
        <f>IFERROR(__xludf.DUMMYFUNCTION(" IF(Account!$F1033&lt;&gt;"""", SPLIT(Account!$F1033, "" ""), """")"),"")</f>
        <v/>
      </c>
      <c r="X1033" s="42"/>
      <c r="Y1033" s="42"/>
      <c r="Z1033" s="42"/>
      <c r="AA1033" s="42"/>
      <c r="AB1033" s="42"/>
      <c r="AC1033" s="42"/>
      <c r="AD1033" s="42"/>
      <c r="AE1033" s="42"/>
      <c r="AF1033" s="42"/>
      <c r="AG1033" s="42"/>
      <c r="AH1033" s="42"/>
      <c r="AI1033" s="42"/>
      <c r="AJ1033" s="42"/>
      <c r="AK1033" s="42"/>
    </row>
    <row r="1034">
      <c r="A1034" s="20"/>
      <c r="B1034" s="20"/>
      <c r="C1034" s="20"/>
      <c r="D1034" s="20"/>
      <c r="E1034" s="20"/>
      <c r="F1034" s="21"/>
      <c r="G1034" s="45"/>
      <c r="H1034" s="20"/>
      <c r="I1034" s="20"/>
      <c r="J1034" s="20"/>
      <c r="K1034" s="20"/>
      <c r="L1034" s="21"/>
      <c r="M1034" s="33" t="str">
        <f>IFERROR(__xludf.DUMMYFUNCTION("IFS(W1034=""Achat"",IFERROR(VALUE(X1034),VALUE(REGEXREPLACE(T(X1034),""[^0-9]"",""""))),W1034=""Vente"",-IFERROR(VALUE(X1034),VALUE(REGEXREPLACE(T(X1034),""[^0-9]"",""""))),Y1034=""Change"",0,Y1034&lt;&gt;""Change"","""")"),"")</f>
        <v/>
      </c>
      <c r="N1034" s="34" t="str">
        <f>IFERROR(__xludf.DUMMYFUNCTION("IF(Account!$F1034&lt;&gt;"""", VALUE(REGEXREPLACE($I1034, ""\,"", ""."")), """")"),"")</f>
        <v/>
      </c>
      <c r="O1034" s="35" t="str">
        <f>IF(Account!$F1034&lt;&gt;"", DATEVALUE(MID($A1034,4,3) &amp; LEFT($A1034,3) &amp; RIGHT($A1034,4)) + TIMEVALUE($B1034), "")</f>
        <v/>
      </c>
      <c r="P1034" s="36" t="str">
        <f>IF(Account!$F1034&lt;&gt;"", DATEVALUE(MID($C1034,4,3) &amp; LEFT($C1034,3) &amp; RIGHT($C1034,4)), "")</f>
        <v/>
      </c>
      <c r="Q1034" s="37" t="str">
        <f t="array" ref="Q1034">IF($R1034&lt;&gt;"",IFERROR(INDEX(ISIN!$B:$B,MATCH($R1034,ISIN!$C:$C,0))),)</f>
        <v/>
      </c>
      <c r="R1034" s="38" t="str">
        <f t="array" ref="R1034">IF($E1034&lt;&gt;"",IFERROR(INDEX(ISIN!$C:$C,MATCH($E1034,ISIN!$A:$A,0)),IFERROR(INDEX($R1035:$R1200,MATCH($K1034,$K1035:$K1200,0)))),IF(AND($Y1034="change",$H1034="EUR"),IF($O1034=$O1035,$R1035,IF($O1034=$O1033,$R1033)),IFERROR(INDEX($R1035:$R1200,MATCH(SUBSTITUTE($I1034,"-","",1),$K1035:$K1200,0)))))</f>
        <v/>
      </c>
      <c r="S1034" s="37" t="str">
        <f t="shared" si="1"/>
        <v/>
      </c>
      <c r="T1034" s="39" t="str">
        <f t="shared" si="2"/>
        <v/>
      </c>
      <c r="U1034" s="40" t="str">
        <f t="shared" si="3"/>
        <v/>
      </c>
      <c r="V1034" s="34" t="str">
        <f t="shared" si="4"/>
        <v/>
      </c>
      <c r="W1034" s="41" t="str">
        <f>IFERROR(__xludf.DUMMYFUNCTION(" IF(Account!$F1034&lt;&gt;"""", SPLIT(Account!$F1034, "" ""), """")"),"")</f>
        <v/>
      </c>
      <c r="X1034" s="42"/>
      <c r="Y1034" s="42"/>
      <c r="Z1034" s="42"/>
      <c r="AA1034" s="42"/>
      <c r="AB1034" s="42"/>
      <c r="AC1034" s="42"/>
      <c r="AD1034" s="42"/>
      <c r="AE1034" s="42"/>
      <c r="AF1034" s="42"/>
      <c r="AG1034" s="42"/>
      <c r="AH1034" s="42"/>
      <c r="AI1034" s="42"/>
      <c r="AJ1034" s="42"/>
      <c r="AK1034" s="42"/>
    </row>
    <row r="1035">
      <c r="A1035" s="20"/>
      <c r="B1035" s="20"/>
      <c r="C1035" s="20"/>
      <c r="D1035" s="20"/>
      <c r="E1035" s="20"/>
      <c r="F1035" s="21"/>
      <c r="G1035" s="45"/>
      <c r="H1035" s="20"/>
      <c r="I1035" s="20"/>
      <c r="J1035" s="20"/>
      <c r="K1035" s="20"/>
      <c r="L1035" s="21"/>
      <c r="M1035" s="33" t="str">
        <f>IFERROR(__xludf.DUMMYFUNCTION("IFS(W1035=""Achat"",IFERROR(VALUE(X1035),VALUE(REGEXREPLACE(T(X1035),""[^0-9]"",""""))),W1035=""Vente"",-IFERROR(VALUE(X1035),VALUE(REGEXREPLACE(T(X1035),""[^0-9]"",""""))),Y1035=""Change"",0,Y1035&lt;&gt;""Change"","""")"),"")</f>
        <v/>
      </c>
      <c r="N1035" s="34" t="str">
        <f>IFERROR(__xludf.DUMMYFUNCTION("IF(Account!$F1035&lt;&gt;"""", VALUE(REGEXREPLACE($I1035, ""\,"", ""."")), """")"),"")</f>
        <v/>
      </c>
      <c r="O1035" s="35" t="str">
        <f>IF(Account!$F1035&lt;&gt;"", DATEVALUE(MID($A1035,4,3) &amp; LEFT($A1035,3) &amp; RIGHT($A1035,4)) + TIMEVALUE($B1035), "")</f>
        <v/>
      </c>
      <c r="P1035" s="36" t="str">
        <f>IF(Account!$F1035&lt;&gt;"", DATEVALUE(MID($C1035,4,3) &amp; LEFT($C1035,3) &amp; RIGHT($C1035,4)), "")</f>
        <v/>
      </c>
      <c r="Q1035" s="37" t="str">
        <f t="array" ref="Q1035">IF($R1035&lt;&gt;"",IFERROR(INDEX(ISIN!$B:$B,MATCH($R1035,ISIN!$C:$C,0))),)</f>
        <v/>
      </c>
      <c r="R1035" s="38" t="str">
        <f t="array" ref="R1035">IF($E1035&lt;&gt;"",IFERROR(INDEX(ISIN!$C:$C,MATCH($E1035,ISIN!$A:$A,0)),IFERROR(INDEX($R1036:$R1200,MATCH($K1035,$K1036:$K1200,0)))),IF(AND($Y1035="change",$H1035="EUR"),IF($O1035=$O1036,$R1036,IF($O1035=$O1034,$R1034)),IFERROR(INDEX($R1036:$R1200,MATCH(SUBSTITUTE($I1035,"-","",1),$K1036:$K1200,0)))))</f>
        <v/>
      </c>
      <c r="S1035" s="37" t="str">
        <f t="shared" si="1"/>
        <v/>
      </c>
      <c r="T1035" s="39" t="str">
        <f t="shared" si="2"/>
        <v/>
      </c>
      <c r="U1035" s="40" t="str">
        <f t="shared" si="3"/>
        <v/>
      </c>
      <c r="V1035" s="34" t="str">
        <f t="shared" si="4"/>
        <v/>
      </c>
      <c r="W1035" s="41" t="str">
        <f>IFERROR(__xludf.DUMMYFUNCTION(" IF(Account!$F1035&lt;&gt;"""", SPLIT(Account!$F1035, "" ""), """")"),"")</f>
        <v/>
      </c>
      <c r="X1035" s="42"/>
      <c r="Y1035" s="42"/>
      <c r="Z1035" s="42"/>
      <c r="AA1035" s="42"/>
      <c r="AB1035" s="42"/>
      <c r="AC1035" s="42"/>
      <c r="AD1035" s="42"/>
      <c r="AE1035" s="42"/>
      <c r="AF1035" s="42"/>
      <c r="AG1035" s="42"/>
      <c r="AH1035" s="42"/>
      <c r="AI1035" s="42"/>
      <c r="AJ1035" s="42"/>
      <c r="AK1035" s="42"/>
    </row>
    <row r="1036">
      <c r="A1036" s="20"/>
      <c r="B1036" s="20"/>
      <c r="C1036" s="20"/>
      <c r="D1036" s="20"/>
      <c r="E1036" s="20"/>
      <c r="F1036" s="21"/>
      <c r="G1036" s="45"/>
      <c r="H1036" s="20"/>
      <c r="I1036" s="20"/>
      <c r="J1036" s="20"/>
      <c r="K1036" s="20"/>
      <c r="L1036" s="21"/>
      <c r="M1036" s="33" t="str">
        <f>IFERROR(__xludf.DUMMYFUNCTION("IFS(W1036=""Achat"",IFERROR(VALUE(X1036),VALUE(REGEXREPLACE(T(X1036),""[^0-9]"",""""))),W1036=""Vente"",-IFERROR(VALUE(X1036),VALUE(REGEXREPLACE(T(X1036),""[^0-9]"",""""))),Y1036=""Change"",0,Y1036&lt;&gt;""Change"","""")"),"")</f>
        <v/>
      </c>
      <c r="N1036" s="34" t="str">
        <f>IFERROR(__xludf.DUMMYFUNCTION("IF(Account!$F1036&lt;&gt;"""", VALUE(REGEXREPLACE($I1036, ""\,"", ""."")), """")"),"")</f>
        <v/>
      </c>
      <c r="O1036" s="35" t="str">
        <f>IF(Account!$F1036&lt;&gt;"", DATEVALUE(MID($A1036,4,3) &amp; LEFT($A1036,3) &amp; RIGHT($A1036,4)) + TIMEVALUE($B1036), "")</f>
        <v/>
      </c>
      <c r="P1036" s="36" t="str">
        <f>IF(Account!$F1036&lt;&gt;"", DATEVALUE(MID($C1036,4,3) &amp; LEFT($C1036,3) &amp; RIGHT($C1036,4)), "")</f>
        <v/>
      </c>
      <c r="Q1036" s="37" t="str">
        <f t="array" ref="Q1036">IF($R1036&lt;&gt;"",IFERROR(INDEX(ISIN!$B:$B,MATCH($R1036,ISIN!$C:$C,0))),)</f>
        <v/>
      </c>
      <c r="R1036" s="38" t="str">
        <f t="array" ref="R1036">IF($E1036&lt;&gt;"",IFERROR(INDEX(ISIN!$C:$C,MATCH($E1036,ISIN!$A:$A,0)),IFERROR(INDEX($R1037:$R1200,MATCH($K1036,$K1037:$K1200,0)))),IF(AND($Y1036="change",$H1036="EUR"),IF($O1036=$O1037,$R1037,IF($O1036=$O1035,$R1035)),IFERROR(INDEX($R1037:$R1200,MATCH(SUBSTITUTE($I1036,"-","",1),$K1037:$K1200,0)))))</f>
        <v/>
      </c>
      <c r="S1036" s="37" t="str">
        <f t="shared" si="1"/>
        <v/>
      </c>
      <c r="T1036" s="39" t="str">
        <f t="shared" si="2"/>
        <v/>
      </c>
      <c r="U1036" s="40" t="str">
        <f t="shared" si="3"/>
        <v/>
      </c>
      <c r="V1036" s="34" t="str">
        <f t="shared" si="4"/>
        <v/>
      </c>
      <c r="W1036" s="41" t="str">
        <f>IFERROR(__xludf.DUMMYFUNCTION(" IF(Account!$F1036&lt;&gt;"""", SPLIT(Account!$F1036, "" ""), """")"),"")</f>
        <v/>
      </c>
      <c r="X1036" s="42"/>
      <c r="Y1036" s="42"/>
      <c r="Z1036" s="42"/>
      <c r="AA1036" s="42"/>
      <c r="AB1036" s="42"/>
      <c r="AC1036" s="42"/>
      <c r="AD1036" s="42"/>
      <c r="AE1036" s="42"/>
      <c r="AF1036" s="42"/>
      <c r="AG1036" s="42"/>
      <c r="AH1036" s="42"/>
      <c r="AI1036" s="42"/>
      <c r="AJ1036" s="42"/>
      <c r="AK1036" s="42"/>
    </row>
    <row r="1037">
      <c r="A1037" s="20"/>
      <c r="B1037" s="20"/>
      <c r="C1037" s="20"/>
      <c r="D1037" s="20"/>
      <c r="E1037" s="20"/>
      <c r="F1037" s="21"/>
      <c r="G1037" s="45"/>
      <c r="H1037" s="20"/>
      <c r="I1037" s="20"/>
      <c r="J1037" s="20"/>
      <c r="K1037" s="20"/>
      <c r="L1037" s="21"/>
      <c r="M1037" s="33" t="str">
        <f>IFERROR(__xludf.DUMMYFUNCTION("IFS(W1037=""Achat"",IFERROR(VALUE(X1037),VALUE(REGEXREPLACE(T(X1037),""[^0-9]"",""""))),W1037=""Vente"",-IFERROR(VALUE(X1037),VALUE(REGEXREPLACE(T(X1037),""[^0-9]"",""""))),Y1037=""Change"",0,Y1037&lt;&gt;""Change"","""")"),"")</f>
        <v/>
      </c>
      <c r="N1037" s="34" t="str">
        <f>IFERROR(__xludf.DUMMYFUNCTION("IF(Account!$F1037&lt;&gt;"""", VALUE(REGEXREPLACE($I1037, ""\,"", ""."")), """")"),"")</f>
        <v/>
      </c>
      <c r="O1037" s="35" t="str">
        <f>IF(Account!$F1037&lt;&gt;"", DATEVALUE(MID($A1037,4,3) &amp; LEFT($A1037,3) &amp; RIGHT($A1037,4)) + TIMEVALUE($B1037), "")</f>
        <v/>
      </c>
      <c r="P1037" s="36" t="str">
        <f>IF(Account!$F1037&lt;&gt;"", DATEVALUE(MID($C1037,4,3) &amp; LEFT($C1037,3) &amp; RIGHT($C1037,4)), "")</f>
        <v/>
      </c>
      <c r="Q1037" s="37" t="str">
        <f t="array" ref="Q1037">IF($R1037&lt;&gt;"",IFERROR(INDEX(ISIN!$B:$B,MATCH($R1037,ISIN!$C:$C,0))),)</f>
        <v/>
      </c>
      <c r="R1037" s="38" t="str">
        <f t="array" ref="R1037">IF($E1037&lt;&gt;"",IFERROR(INDEX(ISIN!$C:$C,MATCH($E1037,ISIN!$A:$A,0)),IFERROR(INDEX($R1038:$R1200,MATCH($K1037,$K1038:$K1200,0)))),IF(AND($Y1037="change",$H1037="EUR"),IF($O1037=$O1038,$R1038,IF($O1037=$O1036,$R1036)),IFERROR(INDEX($R1038:$R1200,MATCH(SUBSTITUTE($I1037,"-","",1),$K1038:$K1200,0)))))</f>
        <v/>
      </c>
      <c r="S1037" s="37" t="str">
        <f t="shared" si="1"/>
        <v/>
      </c>
      <c r="T1037" s="39" t="str">
        <f t="shared" si="2"/>
        <v/>
      </c>
      <c r="U1037" s="40" t="str">
        <f t="shared" si="3"/>
        <v/>
      </c>
      <c r="V1037" s="34" t="str">
        <f t="shared" si="4"/>
        <v/>
      </c>
      <c r="W1037" s="41" t="str">
        <f>IFERROR(__xludf.DUMMYFUNCTION(" IF(Account!$F1037&lt;&gt;"""", SPLIT(Account!$F1037, "" ""), """")"),"")</f>
        <v/>
      </c>
      <c r="X1037" s="42"/>
      <c r="Y1037" s="42"/>
      <c r="Z1037" s="42"/>
      <c r="AA1037" s="42"/>
      <c r="AB1037" s="42"/>
      <c r="AC1037" s="42"/>
      <c r="AD1037" s="42"/>
      <c r="AE1037" s="42"/>
      <c r="AF1037" s="42"/>
      <c r="AG1037" s="42"/>
      <c r="AH1037" s="42"/>
      <c r="AI1037" s="42"/>
      <c r="AJ1037" s="42"/>
      <c r="AK1037" s="42"/>
    </row>
    <row r="1038">
      <c r="A1038" s="20"/>
      <c r="B1038" s="20"/>
      <c r="C1038" s="20"/>
      <c r="D1038" s="20"/>
      <c r="E1038" s="20"/>
      <c r="F1038" s="21"/>
      <c r="G1038" s="45"/>
      <c r="H1038" s="20"/>
      <c r="I1038" s="20"/>
      <c r="J1038" s="20"/>
      <c r="K1038" s="20"/>
      <c r="L1038" s="21"/>
      <c r="M1038" s="33" t="str">
        <f>IFERROR(__xludf.DUMMYFUNCTION("IFS(W1038=""Achat"",IFERROR(VALUE(X1038),VALUE(REGEXREPLACE(T(X1038),""[^0-9]"",""""))),W1038=""Vente"",-IFERROR(VALUE(X1038),VALUE(REGEXREPLACE(T(X1038),""[^0-9]"",""""))),Y1038=""Change"",0,Y1038&lt;&gt;""Change"","""")"),"")</f>
        <v/>
      </c>
      <c r="N1038" s="34" t="str">
        <f>IFERROR(__xludf.DUMMYFUNCTION("IF(Account!$F1038&lt;&gt;"""", VALUE(REGEXREPLACE($I1038, ""\,"", ""."")), """")"),"")</f>
        <v/>
      </c>
      <c r="O1038" s="35" t="str">
        <f>IF(Account!$F1038&lt;&gt;"", DATEVALUE(MID($A1038,4,3) &amp; LEFT($A1038,3) &amp; RIGHT($A1038,4)) + TIMEVALUE($B1038), "")</f>
        <v/>
      </c>
      <c r="P1038" s="36" t="str">
        <f>IF(Account!$F1038&lt;&gt;"", DATEVALUE(MID($C1038,4,3) &amp; LEFT($C1038,3) &amp; RIGHT($C1038,4)), "")</f>
        <v/>
      </c>
      <c r="Q1038" s="37" t="str">
        <f t="array" ref="Q1038">IF($R1038&lt;&gt;"",IFERROR(INDEX(ISIN!$B:$B,MATCH($R1038,ISIN!$C:$C,0))),)</f>
        <v/>
      </c>
      <c r="R1038" s="38" t="str">
        <f t="array" ref="R1038">IF($E1038&lt;&gt;"",IFERROR(INDEX(ISIN!$C:$C,MATCH($E1038,ISIN!$A:$A,0)),IFERROR(INDEX($R1039:$R1200,MATCH($K1038,$K1039:$K1200,0)))),IF(AND($Y1038="change",$H1038="EUR"),IF($O1038=$O1039,$R1039,IF($O1038=$O1037,$R1037)),IFERROR(INDEX($R1039:$R1200,MATCH(SUBSTITUTE($I1038,"-","",1),$K1039:$K1200,0)))))</f>
        <v/>
      </c>
      <c r="S1038" s="37" t="str">
        <f t="shared" si="1"/>
        <v/>
      </c>
      <c r="T1038" s="39" t="str">
        <f t="shared" si="2"/>
        <v/>
      </c>
      <c r="U1038" s="40" t="str">
        <f t="shared" si="3"/>
        <v/>
      </c>
      <c r="V1038" s="34" t="str">
        <f t="shared" si="4"/>
        <v/>
      </c>
      <c r="W1038" s="41" t="str">
        <f>IFERROR(__xludf.DUMMYFUNCTION(" IF(Account!$F1038&lt;&gt;"""", SPLIT(Account!$F1038, "" ""), """")"),"")</f>
        <v/>
      </c>
      <c r="X1038" s="42"/>
      <c r="Y1038" s="42"/>
      <c r="Z1038" s="42"/>
      <c r="AA1038" s="42"/>
      <c r="AB1038" s="42"/>
      <c r="AC1038" s="42"/>
      <c r="AD1038" s="42"/>
      <c r="AE1038" s="42"/>
      <c r="AF1038" s="42"/>
      <c r="AG1038" s="42"/>
      <c r="AH1038" s="42"/>
      <c r="AI1038" s="42"/>
      <c r="AJ1038" s="42"/>
      <c r="AK1038" s="42"/>
    </row>
    <row r="1039">
      <c r="A1039" s="20"/>
      <c r="B1039" s="20"/>
      <c r="C1039" s="20"/>
      <c r="D1039" s="20"/>
      <c r="E1039" s="20"/>
      <c r="F1039" s="21"/>
      <c r="G1039" s="45"/>
      <c r="H1039" s="20"/>
      <c r="I1039" s="20"/>
      <c r="J1039" s="20"/>
      <c r="K1039" s="20"/>
      <c r="L1039" s="21"/>
      <c r="M1039" s="33" t="str">
        <f>IFERROR(__xludf.DUMMYFUNCTION("IFS(W1039=""Achat"",IFERROR(VALUE(X1039),VALUE(REGEXREPLACE(T(X1039),""[^0-9]"",""""))),W1039=""Vente"",-IFERROR(VALUE(X1039),VALUE(REGEXREPLACE(T(X1039),""[^0-9]"",""""))),Y1039=""Change"",0,Y1039&lt;&gt;""Change"","""")"),"")</f>
        <v/>
      </c>
      <c r="N1039" s="34" t="str">
        <f>IFERROR(__xludf.DUMMYFUNCTION("IF(Account!$F1039&lt;&gt;"""", VALUE(REGEXREPLACE($I1039, ""\,"", ""."")), """")"),"")</f>
        <v/>
      </c>
      <c r="O1039" s="35" t="str">
        <f>IF(Account!$F1039&lt;&gt;"", DATEVALUE(MID($A1039,4,3) &amp; LEFT($A1039,3) &amp; RIGHT($A1039,4)) + TIMEVALUE($B1039), "")</f>
        <v/>
      </c>
      <c r="P1039" s="36" t="str">
        <f>IF(Account!$F1039&lt;&gt;"", DATEVALUE(MID($C1039,4,3) &amp; LEFT($C1039,3) &amp; RIGHT($C1039,4)), "")</f>
        <v/>
      </c>
      <c r="Q1039" s="37" t="str">
        <f t="array" ref="Q1039">IF($R1039&lt;&gt;"",IFERROR(INDEX(ISIN!$B:$B,MATCH($R1039,ISIN!$C:$C,0))),)</f>
        <v/>
      </c>
      <c r="R1039" s="38" t="str">
        <f t="array" ref="R1039">IF($E1039&lt;&gt;"",IFERROR(INDEX(ISIN!$C:$C,MATCH($E1039,ISIN!$A:$A,0)),IFERROR(INDEX($R1040:$R1200,MATCH($K1039,$K1040:$K1200,0)))),IF(AND($Y1039="change",$H1039="EUR"),IF($O1039=$O1040,$R1040,IF($O1039=$O1038,$R1038)),IFERROR(INDEX($R1040:$R1200,MATCH(SUBSTITUTE($I1039,"-","",1),$K1040:$K1200,0)))))</f>
        <v/>
      </c>
      <c r="S1039" s="37" t="str">
        <f t="shared" si="1"/>
        <v/>
      </c>
      <c r="T1039" s="39" t="str">
        <f t="shared" si="2"/>
        <v/>
      </c>
      <c r="U1039" s="40" t="str">
        <f t="shared" si="3"/>
        <v/>
      </c>
      <c r="V1039" s="34" t="str">
        <f t="shared" si="4"/>
        <v/>
      </c>
      <c r="W1039" s="41" t="str">
        <f>IFERROR(__xludf.DUMMYFUNCTION(" IF(Account!$F1039&lt;&gt;"""", SPLIT(Account!$F1039, "" ""), """")"),"")</f>
        <v/>
      </c>
      <c r="X1039" s="42"/>
      <c r="Y1039" s="42"/>
      <c r="Z1039" s="42"/>
      <c r="AA1039" s="42"/>
      <c r="AB1039" s="42"/>
      <c r="AC1039" s="42"/>
      <c r="AD1039" s="42"/>
      <c r="AE1039" s="42"/>
      <c r="AF1039" s="42"/>
      <c r="AG1039" s="42"/>
      <c r="AH1039" s="42"/>
      <c r="AI1039" s="42"/>
      <c r="AJ1039" s="42"/>
      <c r="AK1039" s="42"/>
    </row>
    <row r="1040">
      <c r="A1040" s="20"/>
      <c r="B1040" s="20"/>
      <c r="C1040" s="20"/>
      <c r="D1040" s="20"/>
      <c r="E1040" s="20"/>
      <c r="F1040" s="21"/>
      <c r="G1040" s="45"/>
      <c r="H1040" s="20"/>
      <c r="I1040" s="20"/>
      <c r="J1040" s="20"/>
      <c r="K1040" s="20"/>
      <c r="L1040" s="21"/>
      <c r="M1040" s="33" t="str">
        <f>IFERROR(__xludf.DUMMYFUNCTION("IFS(W1040=""Achat"",IFERROR(VALUE(X1040),VALUE(REGEXREPLACE(T(X1040),""[^0-9]"",""""))),W1040=""Vente"",-IFERROR(VALUE(X1040),VALUE(REGEXREPLACE(T(X1040),""[^0-9]"",""""))),Y1040=""Change"",0,Y1040&lt;&gt;""Change"","""")"),"")</f>
        <v/>
      </c>
      <c r="N1040" s="34" t="str">
        <f>IFERROR(__xludf.DUMMYFUNCTION("IF(Account!$F1040&lt;&gt;"""", VALUE(REGEXREPLACE($I1040, ""\,"", ""."")), """")"),"")</f>
        <v/>
      </c>
      <c r="O1040" s="35" t="str">
        <f>IF(Account!$F1040&lt;&gt;"", DATEVALUE(MID($A1040,4,3) &amp; LEFT($A1040,3) &amp; RIGHT($A1040,4)) + TIMEVALUE($B1040), "")</f>
        <v/>
      </c>
      <c r="P1040" s="36" t="str">
        <f>IF(Account!$F1040&lt;&gt;"", DATEVALUE(MID($C1040,4,3) &amp; LEFT($C1040,3) &amp; RIGHT($C1040,4)), "")</f>
        <v/>
      </c>
      <c r="Q1040" s="37" t="str">
        <f t="array" ref="Q1040">IF($R1040&lt;&gt;"",IFERROR(INDEX(ISIN!$B:$B,MATCH($R1040,ISIN!$C:$C,0))),)</f>
        <v/>
      </c>
      <c r="R1040" s="38" t="str">
        <f t="array" ref="R1040">IF($E1040&lt;&gt;"",IFERROR(INDEX(ISIN!$C:$C,MATCH($E1040,ISIN!$A:$A,0)),IFERROR(INDEX($R1041:$R1200,MATCH($K1040,$K1041:$K1200,0)))),IF(AND($Y1040="change",$H1040="EUR"),IF($O1040=$O1041,$R1041,IF($O1040=$O1039,$R1039)),IFERROR(INDEX($R1041:$R1200,MATCH(SUBSTITUTE($I1040,"-","",1),$K1041:$K1200,0)))))</f>
        <v/>
      </c>
      <c r="S1040" s="37" t="str">
        <f t="shared" si="1"/>
        <v/>
      </c>
      <c r="T1040" s="39" t="str">
        <f t="shared" si="2"/>
        <v/>
      </c>
      <c r="U1040" s="40" t="str">
        <f t="shared" si="3"/>
        <v/>
      </c>
      <c r="V1040" s="34" t="str">
        <f t="shared" si="4"/>
        <v/>
      </c>
      <c r="W1040" s="41" t="str">
        <f>IFERROR(__xludf.DUMMYFUNCTION(" IF(Account!$F1040&lt;&gt;"""", SPLIT(Account!$F1040, "" ""), """")"),"")</f>
        <v/>
      </c>
      <c r="X1040" s="42"/>
      <c r="Y1040" s="42"/>
      <c r="Z1040" s="42"/>
      <c r="AA1040" s="42"/>
      <c r="AB1040" s="42"/>
      <c r="AC1040" s="42"/>
      <c r="AD1040" s="42"/>
      <c r="AE1040" s="42"/>
      <c r="AF1040" s="42"/>
      <c r="AG1040" s="42"/>
      <c r="AH1040" s="42"/>
      <c r="AI1040" s="42"/>
      <c r="AJ1040" s="42"/>
      <c r="AK1040" s="42"/>
    </row>
    <row r="1041">
      <c r="A1041" s="20"/>
      <c r="B1041" s="20"/>
      <c r="C1041" s="20"/>
      <c r="D1041" s="20"/>
      <c r="E1041" s="20"/>
      <c r="F1041" s="21"/>
      <c r="G1041" s="20"/>
      <c r="H1041" s="20"/>
      <c r="I1041" s="20"/>
      <c r="J1041" s="20"/>
      <c r="K1041" s="20"/>
      <c r="L1041" s="21"/>
      <c r="M1041" s="33" t="str">
        <f>IFERROR(__xludf.DUMMYFUNCTION("IFS(W1041=""Achat"",IFERROR(VALUE(X1041),VALUE(REGEXREPLACE(T(X1041),""[^0-9]"",""""))),W1041=""Vente"",-IFERROR(VALUE(X1041),VALUE(REGEXREPLACE(T(X1041),""[^0-9]"",""""))),Y1041=""Change"",0,Y1041&lt;&gt;""Change"","""")"),"")</f>
        <v/>
      </c>
      <c r="N1041" s="34" t="str">
        <f>IFERROR(__xludf.DUMMYFUNCTION("IF(Account!$F1041&lt;&gt;"""", VALUE(REGEXREPLACE($I1041, ""\,"", ""."")), """")"),"")</f>
        <v/>
      </c>
      <c r="O1041" s="35" t="str">
        <f>IF(Account!$F1041&lt;&gt;"", DATEVALUE(MID($A1041,4,3) &amp; LEFT($A1041,3) &amp; RIGHT($A1041,4)) + TIMEVALUE($B1041), "")</f>
        <v/>
      </c>
      <c r="P1041" s="36" t="str">
        <f>IF(Account!$F1041&lt;&gt;"", DATEVALUE(MID($C1041,4,3) &amp; LEFT($C1041,3) &amp; RIGHT($C1041,4)), "")</f>
        <v/>
      </c>
      <c r="Q1041" s="37" t="str">
        <f t="array" ref="Q1041">IF($R1041&lt;&gt;"",IFERROR(INDEX(ISIN!$B:$B,MATCH($R1041,ISIN!$C:$C,0))),)</f>
        <v/>
      </c>
      <c r="R1041" s="38" t="str">
        <f t="array" ref="R1041">IF($E1041&lt;&gt;"",IFERROR(INDEX(ISIN!$C:$C,MATCH($E1041,ISIN!$A:$A,0)),IFERROR(INDEX($R1042:$R1200,MATCH($K1041,$K1042:$K1200,0)))),IF(AND($Y1041="change",$H1041="EUR"),IF($O1041=$O1042,$R1042,IF($O1041=$O1040,$R1040)),IFERROR(INDEX($R1042:$R1200,MATCH(SUBSTITUTE($I1041,"-","",1),$K1042:$K1200,0)))))</f>
        <v/>
      </c>
      <c r="S1041" s="37" t="str">
        <f t="shared" si="1"/>
        <v/>
      </c>
      <c r="T1041" s="39" t="str">
        <f t="shared" si="2"/>
        <v/>
      </c>
      <c r="U1041" s="40" t="str">
        <f t="shared" si="3"/>
        <v/>
      </c>
      <c r="V1041" s="34" t="str">
        <f t="shared" si="4"/>
        <v/>
      </c>
      <c r="W1041" s="41" t="str">
        <f>IFERROR(__xludf.DUMMYFUNCTION(" IF(Account!$F1041&lt;&gt;"""", SPLIT(Account!$F1041, "" ""), """")"),"")</f>
        <v/>
      </c>
      <c r="X1041" s="42"/>
      <c r="Y1041" s="42"/>
      <c r="Z1041" s="42"/>
      <c r="AA1041" s="42"/>
      <c r="AB1041" s="42"/>
      <c r="AC1041" s="42"/>
      <c r="AD1041" s="42"/>
      <c r="AE1041" s="42"/>
      <c r="AF1041" s="42"/>
      <c r="AG1041" s="42"/>
      <c r="AH1041" s="42"/>
      <c r="AI1041" s="42"/>
      <c r="AJ1041" s="42"/>
      <c r="AK1041" s="42"/>
    </row>
    <row r="1042">
      <c r="A1042" s="20"/>
      <c r="B1042" s="20"/>
      <c r="C1042" s="20"/>
      <c r="D1042" s="20"/>
      <c r="E1042" s="20"/>
      <c r="F1042" s="21"/>
      <c r="G1042" s="45"/>
      <c r="H1042" s="20"/>
      <c r="I1042" s="20"/>
      <c r="J1042" s="20"/>
      <c r="K1042" s="20"/>
      <c r="L1042" s="21"/>
      <c r="M1042" s="33" t="str">
        <f>IFERROR(__xludf.DUMMYFUNCTION("IFS(W1042=""Achat"",IFERROR(VALUE(X1042),VALUE(REGEXREPLACE(T(X1042),""[^0-9]"",""""))),W1042=""Vente"",-IFERROR(VALUE(X1042),VALUE(REGEXREPLACE(T(X1042),""[^0-9]"",""""))),Y1042=""Change"",0,Y1042&lt;&gt;""Change"","""")"),"")</f>
        <v/>
      </c>
      <c r="N1042" s="34" t="str">
        <f>IFERROR(__xludf.DUMMYFUNCTION("IF(Account!$F1042&lt;&gt;"""", VALUE(REGEXREPLACE($I1042, ""\,"", ""."")), """")"),"")</f>
        <v/>
      </c>
      <c r="O1042" s="35" t="str">
        <f>IF(Account!$F1042&lt;&gt;"", DATEVALUE(MID($A1042,4,3) &amp; LEFT($A1042,3) &amp; RIGHT($A1042,4)) + TIMEVALUE($B1042), "")</f>
        <v/>
      </c>
      <c r="P1042" s="36" t="str">
        <f>IF(Account!$F1042&lt;&gt;"", DATEVALUE(MID($C1042,4,3) &amp; LEFT($C1042,3) &amp; RIGHT($C1042,4)), "")</f>
        <v/>
      </c>
      <c r="Q1042" s="37" t="str">
        <f t="array" ref="Q1042">IF($R1042&lt;&gt;"",IFERROR(INDEX(ISIN!$B:$B,MATCH($R1042,ISIN!$C:$C,0))),)</f>
        <v/>
      </c>
      <c r="R1042" s="38" t="str">
        <f t="array" ref="R1042">IF($E1042&lt;&gt;"",IFERROR(INDEX(ISIN!$C:$C,MATCH($E1042,ISIN!$A:$A,0)),IFERROR(INDEX($R1043:$R1200,MATCH($K1042,$K1043:$K1200,0)))),IF(AND($Y1042="change",$H1042="EUR"),IF($O1042=$O1043,$R1043,IF($O1042=$O1041,$R1041)),IFERROR(INDEX($R1043:$R1200,MATCH(SUBSTITUTE($I1042,"-","",1),$K1043:$K1200,0)))))</f>
        <v/>
      </c>
      <c r="S1042" s="37" t="str">
        <f t="shared" si="1"/>
        <v/>
      </c>
      <c r="T1042" s="39" t="str">
        <f t="shared" si="2"/>
        <v/>
      </c>
      <c r="U1042" s="40" t="str">
        <f t="shared" si="3"/>
        <v/>
      </c>
      <c r="V1042" s="34" t="str">
        <f t="shared" si="4"/>
        <v/>
      </c>
      <c r="W1042" s="41" t="str">
        <f>IFERROR(__xludf.DUMMYFUNCTION(" IF(Account!$F1042&lt;&gt;"""", SPLIT(Account!$F1042, "" ""), """")"),"")</f>
        <v/>
      </c>
      <c r="X1042" s="42"/>
      <c r="Y1042" s="42"/>
      <c r="Z1042" s="42"/>
      <c r="AA1042" s="42"/>
      <c r="AB1042" s="42"/>
      <c r="AC1042" s="42"/>
      <c r="AD1042" s="42"/>
      <c r="AE1042" s="42"/>
      <c r="AF1042" s="42"/>
      <c r="AG1042" s="42"/>
      <c r="AH1042" s="42"/>
      <c r="AI1042" s="42"/>
      <c r="AJ1042" s="42"/>
      <c r="AK1042" s="42"/>
    </row>
    <row r="1043">
      <c r="A1043" s="20"/>
      <c r="B1043" s="20"/>
      <c r="C1043" s="20"/>
      <c r="D1043" s="20"/>
      <c r="E1043" s="20"/>
      <c r="F1043" s="21"/>
      <c r="G1043" s="20"/>
      <c r="H1043" s="20"/>
      <c r="I1043" s="20"/>
      <c r="J1043" s="20"/>
      <c r="K1043" s="20"/>
      <c r="L1043" s="21"/>
      <c r="M1043" s="33" t="str">
        <f>IFERROR(__xludf.DUMMYFUNCTION("IFS(W1043=""Achat"",IFERROR(VALUE(X1043),VALUE(REGEXREPLACE(T(X1043),""[^0-9]"",""""))),W1043=""Vente"",-IFERROR(VALUE(X1043),VALUE(REGEXREPLACE(T(X1043),""[^0-9]"",""""))),Y1043=""Change"",0,Y1043&lt;&gt;""Change"","""")"),"")</f>
        <v/>
      </c>
      <c r="N1043" s="34" t="str">
        <f>IFERROR(__xludf.DUMMYFUNCTION("IF(Account!$F1043&lt;&gt;"""", VALUE(REGEXREPLACE($I1043, ""\,"", ""."")), """")"),"")</f>
        <v/>
      </c>
      <c r="O1043" s="35" t="str">
        <f>IF(Account!$F1043&lt;&gt;"", DATEVALUE(MID($A1043,4,3) &amp; LEFT($A1043,3) &amp; RIGHT($A1043,4)) + TIMEVALUE($B1043), "")</f>
        <v/>
      </c>
      <c r="P1043" s="36" t="str">
        <f>IF(Account!$F1043&lt;&gt;"", DATEVALUE(MID($C1043,4,3) &amp; LEFT($C1043,3) &amp; RIGHT($C1043,4)), "")</f>
        <v/>
      </c>
      <c r="Q1043" s="37" t="str">
        <f t="array" ref="Q1043">IF($R1043&lt;&gt;"",IFERROR(INDEX(ISIN!$B:$B,MATCH($R1043,ISIN!$C:$C,0))),)</f>
        <v/>
      </c>
      <c r="R1043" s="38" t="str">
        <f t="array" ref="R1043">IF($E1043&lt;&gt;"",IFERROR(INDEX(ISIN!$C:$C,MATCH($E1043,ISIN!$A:$A,0)),IFERROR(INDEX($R1044:$R1200,MATCH($K1043,$K1044:$K1200,0)))),IF(AND($Y1043="change",$H1043="EUR"),IF($O1043=$O1044,$R1044,IF($O1043=$O1042,$R1042)),IFERROR(INDEX($R1044:$R1200,MATCH(SUBSTITUTE($I1043,"-","",1),$K1044:$K1200,0)))))</f>
        <v/>
      </c>
      <c r="S1043" s="37" t="str">
        <f t="shared" si="1"/>
        <v/>
      </c>
      <c r="T1043" s="39" t="str">
        <f t="shared" si="2"/>
        <v/>
      </c>
      <c r="U1043" s="40" t="str">
        <f t="shared" si="3"/>
        <v/>
      </c>
      <c r="V1043" s="34" t="str">
        <f t="shared" si="4"/>
        <v/>
      </c>
      <c r="W1043" s="41" t="str">
        <f>IFERROR(__xludf.DUMMYFUNCTION(" IF(Account!$F1043&lt;&gt;"""", SPLIT(Account!$F1043, "" ""), """")"),"")</f>
        <v/>
      </c>
      <c r="X1043" s="42"/>
      <c r="Y1043" s="42"/>
      <c r="Z1043" s="42"/>
      <c r="AA1043" s="42"/>
      <c r="AB1043" s="42"/>
      <c r="AC1043" s="42"/>
      <c r="AD1043" s="42"/>
      <c r="AE1043" s="42"/>
      <c r="AF1043" s="42"/>
      <c r="AG1043" s="42"/>
      <c r="AH1043" s="42"/>
      <c r="AI1043" s="42"/>
      <c r="AJ1043" s="42"/>
      <c r="AK1043" s="42"/>
    </row>
    <row r="1044">
      <c r="A1044" s="20"/>
      <c r="B1044" s="20"/>
      <c r="C1044" s="20"/>
      <c r="D1044" s="20"/>
      <c r="E1044" s="20"/>
      <c r="F1044" s="21"/>
      <c r="G1044" s="45"/>
      <c r="H1044" s="20"/>
      <c r="I1044" s="20"/>
      <c r="J1044" s="20"/>
      <c r="K1044" s="20"/>
      <c r="L1044" s="21"/>
      <c r="M1044" s="33" t="str">
        <f>IFERROR(__xludf.DUMMYFUNCTION("IFS(W1044=""Achat"",IFERROR(VALUE(X1044),VALUE(REGEXREPLACE(T(X1044),""[^0-9]"",""""))),W1044=""Vente"",-IFERROR(VALUE(X1044),VALUE(REGEXREPLACE(T(X1044),""[^0-9]"",""""))),Y1044=""Change"",0,Y1044&lt;&gt;""Change"","""")"),"")</f>
        <v/>
      </c>
      <c r="N1044" s="34" t="str">
        <f>IFERROR(__xludf.DUMMYFUNCTION("IF(Account!$F1044&lt;&gt;"""", VALUE(REGEXREPLACE($I1044, ""\,"", ""."")), """")"),"")</f>
        <v/>
      </c>
      <c r="O1044" s="35" t="str">
        <f>IF(Account!$F1044&lt;&gt;"", DATEVALUE(MID($A1044,4,3) &amp; LEFT($A1044,3) &amp; RIGHT($A1044,4)) + TIMEVALUE($B1044), "")</f>
        <v/>
      </c>
      <c r="P1044" s="36" t="str">
        <f>IF(Account!$F1044&lt;&gt;"", DATEVALUE(MID($C1044,4,3) &amp; LEFT($C1044,3) &amp; RIGHT($C1044,4)), "")</f>
        <v/>
      </c>
      <c r="Q1044" s="37" t="str">
        <f t="array" ref="Q1044">IF($R1044&lt;&gt;"",IFERROR(INDEX(ISIN!$B:$B,MATCH($R1044,ISIN!$C:$C,0))),)</f>
        <v/>
      </c>
      <c r="R1044" s="38" t="str">
        <f t="array" ref="R1044">IF($E1044&lt;&gt;"",IFERROR(INDEX(ISIN!$C:$C,MATCH($E1044,ISIN!$A:$A,0)),IFERROR(INDEX($R1045:$R1200,MATCH($K1044,$K1045:$K1200,0)))),IF(AND($Y1044="change",$H1044="EUR"),IF($O1044=$O1045,$R1045,IF($O1044=$O1043,$R1043)),IFERROR(INDEX($R1045:$R1200,MATCH(SUBSTITUTE($I1044,"-","",1),$K1045:$K1200,0)))))</f>
        <v/>
      </c>
      <c r="S1044" s="37" t="str">
        <f t="shared" si="1"/>
        <v/>
      </c>
      <c r="T1044" s="39" t="str">
        <f t="shared" si="2"/>
        <v/>
      </c>
      <c r="U1044" s="40" t="str">
        <f t="shared" si="3"/>
        <v/>
      </c>
      <c r="V1044" s="34" t="str">
        <f t="shared" si="4"/>
        <v/>
      </c>
      <c r="W1044" s="41" t="str">
        <f>IFERROR(__xludf.DUMMYFUNCTION(" IF(Account!$F1044&lt;&gt;"""", SPLIT(Account!$F1044, "" ""), """")"),"")</f>
        <v/>
      </c>
      <c r="X1044" s="42"/>
      <c r="Y1044" s="42"/>
      <c r="Z1044" s="42"/>
      <c r="AA1044" s="42"/>
      <c r="AB1044" s="42"/>
      <c r="AC1044" s="42"/>
      <c r="AD1044" s="42"/>
      <c r="AE1044" s="42"/>
      <c r="AF1044" s="42"/>
      <c r="AG1044" s="42"/>
      <c r="AH1044" s="42"/>
      <c r="AI1044" s="42"/>
      <c r="AJ1044" s="42"/>
      <c r="AK1044" s="42"/>
    </row>
    <row r="1045">
      <c r="A1045" s="20"/>
      <c r="B1045" s="20"/>
      <c r="C1045" s="20"/>
      <c r="D1045" s="20"/>
      <c r="E1045" s="20"/>
      <c r="F1045" s="21"/>
      <c r="G1045" s="20"/>
      <c r="H1045" s="20"/>
      <c r="I1045" s="20"/>
      <c r="J1045" s="20"/>
      <c r="K1045" s="20"/>
      <c r="L1045" s="21"/>
      <c r="M1045" s="33" t="str">
        <f>IFERROR(__xludf.DUMMYFUNCTION("IFS(W1045=""Achat"",IFERROR(VALUE(X1045),VALUE(REGEXREPLACE(T(X1045),""[^0-9]"",""""))),W1045=""Vente"",-IFERROR(VALUE(X1045),VALUE(REGEXREPLACE(T(X1045),""[^0-9]"",""""))),Y1045=""Change"",0,Y1045&lt;&gt;""Change"","""")"),"")</f>
        <v/>
      </c>
      <c r="N1045" s="34" t="str">
        <f>IFERROR(__xludf.DUMMYFUNCTION("IF(Account!$F1045&lt;&gt;"""", VALUE(REGEXREPLACE($I1045, ""\,"", ""."")), """")"),"")</f>
        <v/>
      </c>
      <c r="O1045" s="35" t="str">
        <f>IF(Account!$F1045&lt;&gt;"", DATEVALUE(MID($A1045,4,3) &amp; LEFT($A1045,3) &amp; RIGHT($A1045,4)) + TIMEVALUE($B1045), "")</f>
        <v/>
      </c>
      <c r="P1045" s="36" t="str">
        <f>IF(Account!$F1045&lt;&gt;"", DATEVALUE(MID($C1045,4,3) &amp; LEFT($C1045,3) &amp; RIGHT($C1045,4)), "")</f>
        <v/>
      </c>
      <c r="Q1045" s="37" t="str">
        <f t="array" ref="Q1045">IF($R1045&lt;&gt;"",IFERROR(INDEX(ISIN!$B:$B,MATCH($R1045,ISIN!$C:$C,0))),)</f>
        <v/>
      </c>
      <c r="R1045" s="38" t="str">
        <f t="array" ref="R1045">IF($E1045&lt;&gt;"",IFERROR(INDEX(ISIN!$C:$C,MATCH($E1045,ISIN!$A:$A,0)),IFERROR(INDEX($R1046:$R1200,MATCH($K1045,$K1046:$K1200,0)))),IF(AND($Y1045="change",$H1045="EUR"),IF($O1045=$O1046,$R1046,IF($O1045=$O1044,$R1044)),IFERROR(INDEX($R1046:$R1200,MATCH(SUBSTITUTE($I1045,"-","",1),$K1046:$K1200,0)))))</f>
        <v/>
      </c>
      <c r="S1045" s="37" t="str">
        <f t="shared" si="1"/>
        <v/>
      </c>
      <c r="T1045" s="39" t="str">
        <f t="shared" si="2"/>
        <v/>
      </c>
      <c r="U1045" s="40" t="str">
        <f t="shared" si="3"/>
        <v/>
      </c>
      <c r="V1045" s="34" t="str">
        <f t="shared" si="4"/>
        <v/>
      </c>
      <c r="W1045" s="41" t="str">
        <f>IFERROR(__xludf.DUMMYFUNCTION(" IF(Account!$F1045&lt;&gt;"""", SPLIT(Account!$F1045, "" ""), """")"),"")</f>
        <v/>
      </c>
      <c r="X1045" s="42"/>
      <c r="Y1045" s="42"/>
      <c r="Z1045" s="42"/>
      <c r="AA1045" s="42"/>
      <c r="AB1045" s="42"/>
      <c r="AC1045" s="42"/>
      <c r="AD1045" s="42"/>
      <c r="AE1045" s="42"/>
      <c r="AF1045" s="42"/>
      <c r="AG1045" s="42"/>
      <c r="AH1045" s="42"/>
      <c r="AI1045" s="42"/>
      <c r="AJ1045" s="42"/>
      <c r="AK1045" s="42"/>
    </row>
    <row r="1046">
      <c r="A1046" s="20"/>
      <c r="B1046" s="20"/>
      <c r="C1046" s="20"/>
      <c r="D1046" s="20"/>
      <c r="E1046" s="20"/>
      <c r="F1046" s="21"/>
      <c r="G1046" s="45"/>
      <c r="H1046" s="20"/>
      <c r="I1046" s="20"/>
      <c r="J1046" s="20"/>
      <c r="K1046" s="20"/>
      <c r="L1046" s="21"/>
      <c r="M1046" s="33" t="str">
        <f>IFERROR(__xludf.DUMMYFUNCTION("IFS(W1046=""Achat"",IFERROR(VALUE(X1046),VALUE(REGEXREPLACE(T(X1046),""[^0-9]"",""""))),W1046=""Vente"",-IFERROR(VALUE(X1046),VALUE(REGEXREPLACE(T(X1046),""[^0-9]"",""""))),Y1046=""Change"",0,Y1046&lt;&gt;""Change"","""")"),"")</f>
        <v/>
      </c>
      <c r="N1046" s="34" t="str">
        <f>IFERROR(__xludf.DUMMYFUNCTION("IF(Account!$F1046&lt;&gt;"""", VALUE(REGEXREPLACE($I1046, ""\,"", ""."")), """")"),"")</f>
        <v/>
      </c>
      <c r="O1046" s="35" t="str">
        <f>IF(Account!$F1046&lt;&gt;"", DATEVALUE(MID($A1046,4,3) &amp; LEFT($A1046,3) &amp; RIGHT($A1046,4)) + TIMEVALUE($B1046), "")</f>
        <v/>
      </c>
      <c r="P1046" s="36" t="str">
        <f>IF(Account!$F1046&lt;&gt;"", DATEVALUE(MID($C1046,4,3) &amp; LEFT($C1046,3) &amp; RIGHT($C1046,4)), "")</f>
        <v/>
      </c>
      <c r="Q1046" s="37" t="str">
        <f t="array" ref="Q1046">IF($R1046&lt;&gt;"",IFERROR(INDEX(ISIN!$B:$B,MATCH($R1046,ISIN!$C:$C,0))),)</f>
        <v/>
      </c>
      <c r="R1046" s="38" t="str">
        <f t="array" ref="R1046">IF($E1046&lt;&gt;"",IFERROR(INDEX(ISIN!$C:$C,MATCH($E1046,ISIN!$A:$A,0)),IFERROR(INDEX($R1047:$R1200,MATCH($K1046,$K1047:$K1200,0)))),IF(AND($Y1046="change",$H1046="EUR"),IF($O1046=$O1047,$R1047,IF($O1046=$O1045,$R1045)),IFERROR(INDEX($R1047:$R1200,MATCH(SUBSTITUTE($I1046,"-","",1),$K1047:$K1200,0)))))</f>
        <v/>
      </c>
      <c r="S1046" s="37" t="str">
        <f t="shared" si="1"/>
        <v/>
      </c>
      <c r="T1046" s="39" t="str">
        <f t="shared" si="2"/>
        <v/>
      </c>
      <c r="U1046" s="40" t="str">
        <f t="shared" si="3"/>
        <v/>
      </c>
      <c r="V1046" s="34" t="str">
        <f t="shared" si="4"/>
        <v/>
      </c>
      <c r="W1046" s="41" t="str">
        <f>IFERROR(__xludf.DUMMYFUNCTION(" IF(Account!$F1046&lt;&gt;"""", SPLIT(Account!$F1046, "" ""), """")"),"")</f>
        <v/>
      </c>
      <c r="X1046" s="42"/>
      <c r="Y1046" s="42"/>
      <c r="Z1046" s="42"/>
      <c r="AA1046" s="42"/>
      <c r="AB1046" s="42"/>
      <c r="AC1046" s="42"/>
      <c r="AD1046" s="42"/>
      <c r="AE1046" s="42"/>
      <c r="AF1046" s="42"/>
      <c r="AG1046" s="42"/>
      <c r="AH1046" s="42"/>
      <c r="AI1046" s="42"/>
      <c r="AJ1046" s="42"/>
      <c r="AK1046" s="42"/>
    </row>
    <row r="1047">
      <c r="A1047" s="45"/>
      <c r="B1047" s="45"/>
      <c r="C1047" s="45"/>
      <c r="D1047" s="45"/>
      <c r="E1047" s="45"/>
      <c r="F1047" s="46"/>
      <c r="G1047" s="45"/>
      <c r="H1047" s="45"/>
      <c r="I1047" s="45"/>
      <c r="J1047" s="45"/>
      <c r="K1047" s="45"/>
      <c r="L1047" s="21"/>
      <c r="M1047" s="33" t="str">
        <f>IFERROR(__xludf.DUMMYFUNCTION("IFS(W1047=""Achat"",IFERROR(VALUE(X1047),VALUE(REGEXREPLACE(T(X1047),""[^0-9]"",""""))),W1047=""Vente"",-IFERROR(VALUE(X1047),VALUE(REGEXREPLACE(T(X1047),""[^0-9]"",""""))),Y1047=""Change"",0,Y1047&lt;&gt;""Change"","""")"),"")</f>
        <v/>
      </c>
      <c r="N1047" s="34" t="str">
        <f>IFERROR(__xludf.DUMMYFUNCTION("IF(Account!$F1047&lt;&gt;"""", VALUE(REGEXREPLACE($I1047, ""\,"", ""."")), """")"),"")</f>
        <v/>
      </c>
      <c r="O1047" s="35" t="str">
        <f>IF(Account!$F1047&lt;&gt;"", DATEVALUE(MID($A1047,4,3) &amp; LEFT($A1047,3) &amp; RIGHT($A1047,4)) + TIMEVALUE($B1047), "")</f>
        <v/>
      </c>
      <c r="P1047" s="36" t="str">
        <f>IF(Account!$F1047&lt;&gt;"", DATEVALUE(MID($C1047,4,3) &amp; LEFT($C1047,3) &amp; RIGHT($C1047,4)), "")</f>
        <v/>
      </c>
      <c r="Q1047" s="37" t="str">
        <f t="array" ref="Q1047">IF($R1047&lt;&gt;"",IFERROR(INDEX(ISIN!$B:$B,MATCH($R1047,ISIN!$C:$C,0))),)</f>
        <v/>
      </c>
      <c r="R1047" s="38" t="str">
        <f t="array" ref="R1047">IF($E1047&lt;&gt;"",IFERROR(INDEX(ISIN!$C:$C,MATCH($E1047,ISIN!$A:$A,0)),IFERROR(INDEX($R1048:$R1200,MATCH($K1047,$K1048:$K1200,0)))),IF(AND($Y1047="change",$H1047="EUR"),IF($O1047=$O1048,$R1048,IF($O1047=$O1046,$R1046)),IFERROR(INDEX($R1048:$R1200,MATCH(SUBSTITUTE($I1047,"-","",1),$K1048:$K1200,0)))))</f>
        <v/>
      </c>
      <c r="S1047" s="37" t="str">
        <f t="shared" si="1"/>
        <v/>
      </c>
      <c r="T1047" s="39" t="str">
        <f t="shared" si="2"/>
        <v/>
      </c>
      <c r="U1047" s="40" t="str">
        <f t="shared" si="3"/>
        <v/>
      </c>
      <c r="V1047" s="34" t="str">
        <f t="shared" si="4"/>
        <v/>
      </c>
      <c r="W1047" s="41" t="str">
        <f>IFERROR(__xludf.DUMMYFUNCTION(" IF(Account!$F1047&lt;&gt;"""", SPLIT(Account!$F1047, "" ""), """")"),"")</f>
        <v/>
      </c>
      <c r="X1047" s="42"/>
      <c r="Y1047" s="42"/>
      <c r="Z1047" s="42"/>
      <c r="AA1047" s="42"/>
      <c r="AB1047" s="42"/>
      <c r="AC1047" s="42"/>
      <c r="AD1047" s="42"/>
      <c r="AE1047" s="42"/>
      <c r="AF1047" s="42"/>
      <c r="AG1047" s="42"/>
      <c r="AH1047" s="42"/>
      <c r="AI1047" s="42"/>
      <c r="AJ1047" s="42"/>
      <c r="AK1047" s="42"/>
    </row>
    <row r="1048">
      <c r="A1048" s="20"/>
      <c r="B1048" s="20"/>
      <c r="C1048" s="20"/>
      <c r="D1048" s="20"/>
      <c r="E1048" s="20"/>
      <c r="F1048" s="21"/>
      <c r="G1048" s="20"/>
      <c r="H1048" s="20"/>
      <c r="I1048" s="20"/>
      <c r="J1048" s="20"/>
      <c r="K1048" s="20"/>
      <c r="L1048" s="21"/>
      <c r="M1048" s="33" t="str">
        <f>IFERROR(__xludf.DUMMYFUNCTION("IFS(W1048=""Achat"",IFERROR(VALUE(X1048),VALUE(REGEXREPLACE(T(X1048),""[^0-9]"",""""))),W1048=""Vente"",-IFERROR(VALUE(X1048),VALUE(REGEXREPLACE(T(X1048),""[^0-9]"",""""))),Y1048=""Change"",0,Y1048&lt;&gt;""Change"","""")"),"")</f>
        <v/>
      </c>
      <c r="N1048" s="34" t="str">
        <f>IFERROR(__xludf.DUMMYFUNCTION("IF(Account!$F1048&lt;&gt;"""", VALUE(REGEXREPLACE($I1048, ""\,"", ""."")), """")"),"")</f>
        <v/>
      </c>
      <c r="O1048" s="35" t="str">
        <f>IF(Account!$F1048&lt;&gt;"", DATEVALUE(MID($A1048,4,3) &amp; LEFT($A1048,3) &amp; RIGHT($A1048,4)) + TIMEVALUE($B1048), "")</f>
        <v/>
      </c>
      <c r="P1048" s="36" t="str">
        <f>IF(Account!$F1048&lt;&gt;"", DATEVALUE(MID($C1048,4,3) &amp; LEFT($C1048,3) &amp; RIGHT($C1048,4)), "")</f>
        <v/>
      </c>
      <c r="Q1048" s="37" t="str">
        <f t="array" ref="Q1048">IF($R1048&lt;&gt;"",IFERROR(INDEX(ISIN!$B:$B,MATCH($R1048,ISIN!$C:$C,0))),)</f>
        <v/>
      </c>
      <c r="R1048" s="38" t="str">
        <f t="array" ref="R1048">IF($E1048&lt;&gt;"",IFERROR(INDEX(ISIN!$C:$C,MATCH($E1048,ISIN!$A:$A,0)),IFERROR(INDEX($R1049:$R1200,MATCH($K1048,$K1049:$K1200,0)))),IF(AND($Y1048="change",$H1048="EUR"),IF($O1048=$O1049,$R1049,IF($O1048=$O1047,$R1047)),IFERROR(INDEX($R1049:$R1200,MATCH(SUBSTITUTE($I1048,"-","",1),$K1049:$K1200,0)))))</f>
        <v/>
      </c>
      <c r="S1048" s="37" t="str">
        <f t="shared" si="1"/>
        <v/>
      </c>
      <c r="T1048" s="39" t="str">
        <f t="shared" si="2"/>
        <v/>
      </c>
      <c r="U1048" s="40" t="str">
        <f t="shared" si="3"/>
        <v/>
      </c>
      <c r="V1048" s="34" t="str">
        <f t="shared" si="4"/>
        <v/>
      </c>
      <c r="W1048" s="41" t="str">
        <f>IFERROR(__xludf.DUMMYFUNCTION(" IF(Account!$F1048&lt;&gt;"""", SPLIT(Account!$F1048, "" ""), """")"),"")</f>
        <v/>
      </c>
      <c r="X1048" s="42"/>
      <c r="Y1048" s="42"/>
      <c r="Z1048" s="42"/>
      <c r="AA1048" s="42"/>
      <c r="AB1048" s="42"/>
      <c r="AC1048" s="42"/>
      <c r="AD1048" s="42"/>
      <c r="AE1048" s="42"/>
      <c r="AF1048" s="42"/>
      <c r="AG1048" s="42"/>
      <c r="AH1048" s="42"/>
      <c r="AI1048" s="42"/>
      <c r="AJ1048" s="42"/>
      <c r="AK1048" s="42"/>
    </row>
    <row r="1049">
      <c r="A1049" s="20"/>
      <c r="B1049" s="20"/>
      <c r="C1049" s="20"/>
      <c r="D1049" s="20"/>
      <c r="E1049" s="20"/>
      <c r="F1049" s="21"/>
      <c r="G1049" s="45"/>
      <c r="H1049" s="20"/>
      <c r="I1049" s="20"/>
      <c r="J1049" s="20"/>
      <c r="K1049" s="20"/>
      <c r="L1049" s="21"/>
      <c r="M1049" s="33" t="str">
        <f>IFERROR(__xludf.DUMMYFUNCTION("IFS(W1049=""Achat"",IFERROR(VALUE(X1049),VALUE(REGEXREPLACE(T(X1049),""[^0-9]"",""""))),W1049=""Vente"",-IFERROR(VALUE(X1049),VALUE(REGEXREPLACE(T(X1049),""[^0-9]"",""""))),Y1049=""Change"",0,Y1049&lt;&gt;""Change"","""")"),"")</f>
        <v/>
      </c>
      <c r="N1049" s="34" t="str">
        <f>IFERROR(__xludf.DUMMYFUNCTION("IF(Account!$F1049&lt;&gt;"""", VALUE(REGEXREPLACE($I1049, ""\,"", ""."")), """")"),"")</f>
        <v/>
      </c>
      <c r="O1049" s="35" t="str">
        <f>IF(Account!$F1049&lt;&gt;"", DATEVALUE(MID($A1049,4,3) &amp; LEFT($A1049,3) &amp; RIGHT($A1049,4)) + TIMEVALUE($B1049), "")</f>
        <v/>
      </c>
      <c r="P1049" s="36" t="str">
        <f>IF(Account!$F1049&lt;&gt;"", DATEVALUE(MID($C1049,4,3) &amp; LEFT($C1049,3) &amp; RIGHT($C1049,4)), "")</f>
        <v/>
      </c>
      <c r="Q1049" s="37" t="str">
        <f t="array" ref="Q1049">IF($R1049&lt;&gt;"",IFERROR(INDEX(ISIN!$B:$B,MATCH($R1049,ISIN!$C:$C,0))),)</f>
        <v/>
      </c>
      <c r="R1049" s="38" t="str">
        <f t="array" ref="R1049">IF($E1049&lt;&gt;"",IFERROR(INDEX(ISIN!$C:$C,MATCH($E1049,ISIN!$A:$A,0)),IFERROR(INDEX($R1050:$R1200,MATCH($K1049,$K1050:$K1200,0)))),IF(AND($Y1049="change",$H1049="EUR"),IF($O1049=$O1050,$R1050,IF($O1049=$O1048,$R1048)),IFERROR(INDEX($R1050:$R1200,MATCH(SUBSTITUTE($I1049,"-","",1),$K1050:$K1200,0)))))</f>
        <v/>
      </c>
      <c r="S1049" s="37" t="str">
        <f t="shared" si="1"/>
        <v/>
      </c>
      <c r="T1049" s="39" t="str">
        <f t="shared" si="2"/>
        <v/>
      </c>
      <c r="U1049" s="40" t="str">
        <f t="shared" si="3"/>
        <v/>
      </c>
      <c r="V1049" s="34" t="str">
        <f t="shared" si="4"/>
        <v/>
      </c>
      <c r="W1049" s="41" t="str">
        <f>IFERROR(__xludf.DUMMYFUNCTION(" IF(Account!$F1049&lt;&gt;"""", SPLIT(Account!$F1049, "" ""), """")"),"")</f>
        <v/>
      </c>
      <c r="X1049" s="42"/>
      <c r="Y1049" s="42"/>
      <c r="Z1049" s="42"/>
      <c r="AA1049" s="42"/>
      <c r="AB1049" s="42"/>
      <c r="AC1049" s="42"/>
      <c r="AD1049" s="42"/>
      <c r="AE1049" s="42"/>
      <c r="AF1049" s="42"/>
      <c r="AG1049" s="42"/>
      <c r="AH1049" s="42"/>
      <c r="AI1049" s="42"/>
      <c r="AJ1049" s="42"/>
      <c r="AK1049" s="42"/>
    </row>
    <row r="1050">
      <c r="A1050" s="20"/>
      <c r="B1050" s="20"/>
      <c r="C1050" s="20"/>
      <c r="D1050" s="20"/>
      <c r="E1050" s="20"/>
      <c r="F1050" s="21"/>
      <c r="G1050" s="20"/>
      <c r="H1050" s="20"/>
      <c r="I1050" s="20"/>
      <c r="J1050" s="20"/>
      <c r="K1050" s="20"/>
      <c r="L1050" s="21"/>
      <c r="M1050" s="33" t="str">
        <f>IFERROR(__xludf.DUMMYFUNCTION("IFS(W1050=""Achat"",IFERROR(VALUE(X1050),VALUE(REGEXREPLACE(T(X1050),""[^0-9]"",""""))),W1050=""Vente"",-IFERROR(VALUE(X1050),VALUE(REGEXREPLACE(T(X1050),""[^0-9]"",""""))),Y1050=""Change"",0,Y1050&lt;&gt;""Change"","""")"),"")</f>
        <v/>
      </c>
      <c r="N1050" s="34" t="str">
        <f>IFERROR(__xludf.DUMMYFUNCTION("IF(Account!$F1050&lt;&gt;"""", VALUE(REGEXREPLACE($I1050, ""\,"", ""."")), """")"),"")</f>
        <v/>
      </c>
      <c r="O1050" s="35" t="str">
        <f>IF(Account!$F1050&lt;&gt;"", DATEVALUE(MID($A1050,4,3) &amp; LEFT($A1050,3) &amp; RIGHT($A1050,4)) + TIMEVALUE($B1050), "")</f>
        <v/>
      </c>
      <c r="P1050" s="36" t="str">
        <f>IF(Account!$F1050&lt;&gt;"", DATEVALUE(MID($C1050,4,3) &amp; LEFT($C1050,3) &amp; RIGHT($C1050,4)), "")</f>
        <v/>
      </c>
      <c r="Q1050" s="37" t="str">
        <f t="array" ref="Q1050">IF($R1050&lt;&gt;"",IFERROR(INDEX(ISIN!$B:$B,MATCH($R1050,ISIN!$C:$C,0))),)</f>
        <v/>
      </c>
      <c r="R1050" s="38" t="str">
        <f t="array" ref="R1050">IF($E1050&lt;&gt;"",IFERROR(INDEX(ISIN!$C:$C,MATCH($E1050,ISIN!$A:$A,0)),IFERROR(INDEX($R1051:$R1200,MATCH($K1050,$K1051:$K1200,0)))),IF(AND($Y1050="change",$H1050="EUR"),IF($O1050=$O1051,$R1051,IF($O1050=$O1049,$R1049)),IFERROR(INDEX($R1051:$R1200,MATCH(SUBSTITUTE($I1050,"-","",1),$K1051:$K1200,0)))))</f>
        <v/>
      </c>
      <c r="S1050" s="37" t="str">
        <f t="shared" si="1"/>
        <v/>
      </c>
      <c r="T1050" s="39" t="str">
        <f t="shared" si="2"/>
        <v/>
      </c>
      <c r="U1050" s="40" t="str">
        <f t="shared" si="3"/>
        <v/>
      </c>
      <c r="V1050" s="34" t="str">
        <f t="shared" si="4"/>
        <v/>
      </c>
      <c r="W1050" s="41" t="str">
        <f>IFERROR(__xludf.DUMMYFUNCTION(" IF(Account!$F1050&lt;&gt;"""", SPLIT(Account!$F1050, "" ""), """")"),"")</f>
        <v/>
      </c>
      <c r="X1050" s="42"/>
      <c r="Y1050" s="42"/>
      <c r="Z1050" s="42"/>
      <c r="AA1050" s="42"/>
      <c r="AB1050" s="42"/>
      <c r="AC1050" s="42"/>
      <c r="AD1050" s="42"/>
      <c r="AE1050" s="42"/>
      <c r="AF1050" s="42"/>
      <c r="AG1050" s="42"/>
      <c r="AH1050" s="42"/>
      <c r="AI1050" s="42"/>
      <c r="AJ1050" s="42"/>
      <c r="AK1050" s="42"/>
    </row>
    <row r="1051">
      <c r="A1051" s="20"/>
      <c r="B1051" s="20"/>
      <c r="C1051" s="20"/>
      <c r="D1051" s="20"/>
      <c r="E1051" s="20"/>
      <c r="F1051" s="21"/>
      <c r="G1051" s="45"/>
      <c r="H1051" s="20"/>
      <c r="I1051" s="20"/>
      <c r="J1051" s="20"/>
      <c r="K1051" s="20"/>
      <c r="L1051" s="21"/>
      <c r="M1051" s="33" t="str">
        <f>IFERROR(__xludf.DUMMYFUNCTION("IFS(W1051=""Achat"",IFERROR(VALUE(X1051),VALUE(REGEXREPLACE(T(X1051),""[^0-9]"",""""))),W1051=""Vente"",-IFERROR(VALUE(X1051),VALUE(REGEXREPLACE(T(X1051),""[^0-9]"",""""))),Y1051=""Change"",0,Y1051&lt;&gt;""Change"","""")"),"")</f>
        <v/>
      </c>
      <c r="N1051" s="34" t="str">
        <f>IFERROR(__xludf.DUMMYFUNCTION("IF(Account!$F1051&lt;&gt;"""", VALUE(REGEXREPLACE($I1051, ""\,"", ""."")), """")"),"")</f>
        <v/>
      </c>
      <c r="O1051" s="35" t="str">
        <f>IF(Account!$F1051&lt;&gt;"", DATEVALUE(MID($A1051,4,3) &amp; LEFT($A1051,3) &amp; RIGHT($A1051,4)) + TIMEVALUE($B1051), "")</f>
        <v/>
      </c>
      <c r="P1051" s="36" t="str">
        <f>IF(Account!$F1051&lt;&gt;"", DATEVALUE(MID($C1051,4,3) &amp; LEFT($C1051,3) &amp; RIGHT($C1051,4)), "")</f>
        <v/>
      </c>
      <c r="Q1051" s="37" t="str">
        <f t="array" ref="Q1051">IF($R1051&lt;&gt;"",IFERROR(INDEX(ISIN!$B:$B,MATCH($R1051,ISIN!$C:$C,0))),)</f>
        <v/>
      </c>
      <c r="R1051" s="38" t="str">
        <f t="array" ref="R1051">IF($E1051&lt;&gt;"",IFERROR(INDEX(ISIN!$C:$C,MATCH($E1051,ISIN!$A:$A,0)),IFERROR(INDEX($R1052:$R1200,MATCH($K1051,$K1052:$K1200,0)))),IF(AND($Y1051="change",$H1051="EUR"),IF($O1051=$O1052,$R1052,IF($O1051=$O1050,$R1050)),IFERROR(INDEX($R1052:$R1200,MATCH(SUBSTITUTE($I1051,"-","",1),$K1052:$K1200,0)))))</f>
        <v/>
      </c>
      <c r="S1051" s="37" t="str">
        <f t="shared" si="1"/>
        <v/>
      </c>
      <c r="T1051" s="39" t="str">
        <f t="shared" si="2"/>
        <v/>
      </c>
      <c r="U1051" s="40" t="str">
        <f t="shared" si="3"/>
        <v/>
      </c>
      <c r="V1051" s="34" t="str">
        <f t="shared" si="4"/>
        <v/>
      </c>
      <c r="W1051" s="41" t="str">
        <f>IFERROR(__xludf.DUMMYFUNCTION(" IF(Account!$F1051&lt;&gt;"""", SPLIT(Account!$F1051, "" ""), """")"),"")</f>
        <v/>
      </c>
      <c r="X1051" s="42"/>
      <c r="Y1051" s="42"/>
      <c r="Z1051" s="42"/>
      <c r="AA1051" s="42"/>
      <c r="AB1051" s="42"/>
      <c r="AC1051" s="42"/>
      <c r="AD1051" s="42"/>
      <c r="AE1051" s="42"/>
      <c r="AF1051" s="42"/>
      <c r="AG1051" s="42"/>
      <c r="AH1051" s="42"/>
      <c r="AI1051" s="42"/>
      <c r="AJ1051" s="42"/>
      <c r="AK1051" s="42"/>
    </row>
    <row r="1052">
      <c r="A1052" s="20"/>
      <c r="B1052" s="20"/>
      <c r="C1052" s="20"/>
      <c r="D1052" s="20"/>
      <c r="E1052" s="20"/>
      <c r="F1052" s="21"/>
      <c r="G1052" s="45"/>
      <c r="H1052" s="20"/>
      <c r="I1052" s="20"/>
      <c r="J1052" s="20"/>
      <c r="K1052" s="20"/>
      <c r="L1052" s="21"/>
      <c r="M1052" s="33" t="str">
        <f>IFERROR(__xludf.DUMMYFUNCTION("IFS(W1052=""Achat"",IFERROR(VALUE(X1052),VALUE(REGEXREPLACE(T(X1052),""[^0-9]"",""""))),W1052=""Vente"",-IFERROR(VALUE(X1052),VALUE(REGEXREPLACE(T(X1052),""[^0-9]"",""""))),Y1052=""Change"",0,Y1052&lt;&gt;""Change"","""")"),"")</f>
        <v/>
      </c>
      <c r="N1052" s="34" t="str">
        <f>IFERROR(__xludf.DUMMYFUNCTION("IF(Account!$F1052&lt;&gt;"""", VALUE(REGEXREPLACE($I1052, ""\,"", ""."")), """")"),"")</f>
        <v/>
      </c>
      <c r="O1052" s="35" t="str">
        <f>IF(Account!$F1052&lt;&gt;"", DATEVALUE(MID($A1052,4,3) &amp; LEFT($A1052,3) &amp; RIGHT($A1052,4)) + TIMEVALUE($B1052), "")</f>
        <v/>
      </c>
      <c r="P1052" s="36" t="str">
        <f>IF(Account!$F1052&lt;&gt;"", DATEVALUE(MID($C1052,4,3) &amp; LEFT($C1052,3) &amp; RIGHT($C1052,4)), "")</f>
        <v/>
      </c>
      <c r="Q1052" s="37" t="str">
        <f t="array" ref="Q1052">IF($R1052&lt;&gt;"",IFERROR(INDEX(ISIN!$B:$B,MATCH($R1052,ISIN!$C:$C,0))),)</f>
        <v/>
      </c>
      <c r="R1052" s="38" t="str">
        <f t="array" ref="R1052">IF($E1052&lt;&gt;"",IFERROR(INDEX(ISIN!$C:$C,MATCH($E1052,ISIN!$A:$A,0)),IFERROR(INDEX($R1053:$R1200,MATCH($K1052,$K1053:$K1200,0)))),IF(AND($Y1052="change",$H1052="EUR"),IF($O1052=$O1053,$R1053,IF($O1052=$O1051,$R1051)),IFERROR(INDEX($R1053:$R1200,MATCH(SUBSTITUTE($I1052,"-","",1),$K1053:$K1200,0)))))</f>
        <v/>
      </c>
      <c r="S1052" s="37" t="str">
        <f t="shared" si="1"/>
        <v/>
      </c>
      <c r="T1052" s="39" t="str">
        <f t="shared" si="2"/>
        <v/>
      </c>
      <c r="U1052" s="40" t="str">
        <f t="shared" si="3"/>
        <v/>
      </c>
      <c r="V1052" s="34" t="str">
        <f t="shared" si="4"/>
        <v/>
      </c>
      <c r="W1052" s="41" t="str">
        <f>IFERROR(__xludf.DUMMYFUNCTION(" IF(Account!$F1052&lt;&gt;"""", SPLIT(Account!$F1052, "" ""), """")"),"")</f>
        <v/>
      </c>
      <c r="X1052" s="42"/>
      <c r="Y1052" s="42"/>
      <c r="Z1052" s="42"/>
      <c r="AA1052" s="42"/>
      <c r="AB1052" s="42"/>
      <c r="AC1052" s="42"/>
      <c r="AD1052" s="42"/>
      <c r="AE1052" s="42"/>
      <c r="AF1052" s="42"/>
      <c r="AG1052" s="42"/>
      <c r="AH1052" s="42"/>
      <c r="AI1052" s="42"/>
      <c r="AJ1052" s="42"/>
      <c r="AK1052" s="42"/>
    </row>
    <row r="1053">
      <c r="A1053" s="20"/>
      <c r="B1053" s="20"/>
      <c r="C1053" s="20"/>
      <c r="D1053" s="20"/>
      <c r="E1053" s="20"/>
      <c r="F1053" s="21"/>
      <c r="G1053" s="45"/>
      <c r="H1053" s="20"/>
      <c r="I1053" s="20"/>
      <c r="J1053" s="20"/>
      <c r="K1053" s="20"/>
      <c r="L1053" s="21"/>
      <c r="M1053" s="33" t="str">
        <f>IFERROR(__xludf.DUMMYFUNCTION("IFS(W1053=""Achat"",IFERROR(VALUE(X1053),VALUE(REGEXREPLACE(T(X1053),""[^0-9]"",""""))),W1053=""Vente"",-IFERROR(VALUE(X1053),VALUE(REGEXREPLACE(T(X1053),""[^0-9]"",""""))),Y1053=""Change"",0,Y1053&lt;&gt;""Change"","""")"),"")</f>
        <v/>
      </c>
      <c r="N1053" s="34" t="str">
        <f>IFERROR(__xludf.DUMMYFUNCTION("IF(Account!$F1053&lt;&gt;"""", VALUE(REGEXREPLACE($I1053, ""\,"", ""."")), """")"),"")</f>
        <v/>
      </c>
      <c r="O1053" s="35" t="str">
        <f>IF(Account!$F1053&lt;&gt;"", DATEVALUE(MID($A1053,4,3) &amp; LEFT($A1053,3) &amp; RIGHT($A1053,4)) + TIMEVALUE($B1053), "")</f>
        <v/>
      </c>
      <c r="P1053" s="36" t="str">
        <f>IF(Account!$F1053&lt;&gt;"", DATEVALUE(MID($C1053,4,3) &amp; LEFT($C1053,3) &amp; RIGHT($C1053,4)), "")</f>
        <v/>
      </c>
      <c r="Q1053" s="37" t="str">
        <f t="array" ref="Q1053">IF($R1053&lt;&gt;"",IFERROR(INDEX(ISIN!$B:$B,MATCH($R1053,ISIN!$C:$C,0))),)</f>
        <v/>
      </c>
      <c r="R1053" s="38" t="str">
        <f t="array" ref="R1053">IF($E1053&lt;&gt;"",IFERROR(INDEX(ISIN!$C:$C,MATCH($E1053,ISIN!$A:$A,0)),IFERROR(INDEX($R1054:$R1200,MATCH($K1053,$K1054:$K1200,0)))),IF(AND($Y1053="change",$H1053="EUR"),IF($O1053=$O1054,$R1054,IF($O1053=$O1052,$R1052)),IFERROR(INDEX($R1054:$R1200,MATCH(SUBSTITUTE($I1053,"-","",1),$K1054:$K1200,0)))))</f>
        <v/>
      </c>
      <c r="S1053" s="37" t="str">
        <f t="shared" si="1"/>
        <v/>
      </c>
      <c r="T1053" s="39" t="str">
        <f t="shared" si="2"/>
        <v/>
      </c>
      <c r="U1053" s="40" t="str">
        <f t="shared" si="3"/>
        <v/>
      </c>
      <c r="V1053" s="34" t="str">
        <f t="shared" si="4"/>
        <v/>
      </c>
      <c r="W1053" s="41" t="str">
        <f>IFERROR(__xludf.DUMMYFUNCTION(" IF(Account!$F1053&lt;&gt;"""", SPLIT(Account!$F1053, "" ""), """")"),"")</f>
        <v/>
      </c>
      <c r="X1053" s="42"/>
      <c r="Y1053" s="42"/>
      <c r="Z1053" s="42"/>
      <c r="AA1053" s="42"/>
      <c r="AB1053" s="42"/>
      <c r="AC1053" s="42"/>
      <c r="AD1053" s="42"/>
      <c r="AE1053" s="42"/>
      <c r="AF1053" s="42"/>
      <c r="AG1053" s="42"/>
      <c r="AH1053" s="42"/>
      <c r="AI1053" s="42"/>
      <c r="AJ1053" s="42"/>
      <c r="AK1053" s="42"/>
    </row>
    <row r="1054">
      <c r="A1054" s="20"/>
      <c r="B1054" s="20"/>
      <c r="C1054" s="20"/>
      <c r="D1054" s="20"/>
      <c r="E1054" s="20"/>
      <c r="F1054" s="21"/>
      <c r="G1054" s="45"/>
      <c r="H1054" s="20"/>
      <c r="I1054" s="20"/>
      <c r="J1054" s="20"/>
      <c r="K1054" s="20"/>
      <c r="L1054" s="21"/>
      <c r="M1054" s="33" t="str">
        <f>IFERROR(__xludf.DUMMYFUNCTION("IFS(W1054=""Achat"",IFERROR(VALUE(X1054),VALUE(REGEXREPLACE(T(X1054),""[^0-9]"",""""))),W1054=""Vente"",-IFERROR(VALUE(X1054),VALUE(REGEXREPLACE(T(X1054),""[^0-9]"",""""))),Y1054=""Change"",0,Y1054&lt;&gt;""Change"","""")"),"")</f>
        <v/>
      </c>
      <c r="N1054" s="34" t="str">
        <f>IFERROR(__xludf.DUMMYFUNCTION("IF(Account!$F1054&lt;&gt;"""", VALUE(REGEXREPLACE($I1054, ""\,"", ""."")), """")"),"")</f>
        <v/>
      </c>
      <c r="O1054" s="35" t="str">
        <f>IF(Account!$F1054&lt;&gt;"", DATEVALUE(MID($A1054,4,3) &amp; LEFT($A1054,3) &amp; RIGHT($A1054,4)) + TIMEVALUE($B1054), "")</f>
        <v/>
      </c>
      <c r="P1054" s="36" t="str">
        <f>IF(Account!$F1054&lt;&gt;"", DATEVALUE(MID($C1054,4,3) &amp; LEFT($C1054,3) &amp; RIGHT($C1054,4)), "")</f>
        <v/>
      </c>
      <c r="Q1054" s="37" t="str">
        <f t="array" ref="Q1054">IF($R1054&lt;&gt;"",IFERROR(INDEX(ISIN!$B:$B,MATCH($R1054,ISIN!$C:$C,0))),)</f>
        <v/>
      </c>
      <c r="R1054" s="38" t="str">
        <f t="array" ref="R1054">IF($E1054&lt;&gt;"",IFERROR(INDEX(ISIN!$C:$C,MATCH($E1054,ISIN!$A:$A,0)),IFERROR(INDEX($R1055:$R1200,MATCH($K1054,$K1055:$K1200,0)))),IF(AND($Y1054="change",$H1054="EUR"),IF($O1054=$O1055,$R1055,IF($O1054=$O1053,$R1053)),IFERROR(INDEX($R1055:$R1200,MATCH(SUBSTITUTE($I1054,"-","",1),$K1055:$K1200,0)))))</f>
        <v/>
      </c>
      <c r="S1054" s="37" t="str">
        <f t="shared" si="1"/>
        <v/>
      </c>
      <c r="T1054" s="39" t="str">
        <f t="shared" si="2"/>
        <v/>
      </c>
      <c r="U1054" s="40" t="str">
        <f t="shared" si="3"/>
        <v/>
      </c>
      <c r="V1054" s="34" t="str">
        <f t="shared" si="4"/>
        <v/>
      </c>
      <c r="W1054" s="41" t="str">
        <f>IFERROR(__xludf.DUMMYFUNCTION(" IF(Account!$F1054&lt;&gt;"""", SPLIT(Account!$F1054, "" ""), """")"),"")</f>
        <v/>
      </c>
      <c r="X1054" s="42"/>
      <c r="Y1054" s="42"/>
      <c r="Z1054" s="42"/>
      <c r="AA1054" s="42"/>
      <c r="AB1054" s="42"/>
      <c r="AC1054" s="42"/>
      <c r="AD1054" s="42"/>
      <c r="AE1054" s="42"/>
      <c r="AF1054" s="42"/>
      <c r="AG1054" s="42"/>
      <c r="AH1054" s="42"/>
      <c r="AI1054" s="42"/>
      <c r="AJ1054" s="42"/>
      <c r="AK1054" s="42"/>
    </row>
    <row r="1055">
      <c r="A1055" s="20"/>
      <c r="B1055" s="20"/>
      <c r="C1055" s="20"/>
      <c r="D1055" s="20"/>
      <c r="E1055" s="20"/>
      <c r="F1055" s="21"/>
      <c r="G1055" s="45"/>
      <c r="H1055" s="20"/>
      <c r="I1055" s="20"/>
      <c r="J1055" s="20"/>
      <c r="K1055" s="20"/>
      <c r="L1055" s="21"/>
      <c r="M1055" s="33" t="str">
        <f>IFERROR(__xludf.DUMMYFUNCTION("IFS(W1055=""Achat"",IFERROR(VALUE(X1055),VALUE(REGEXREPLACE(T(X1055),""[^0-9]"",""""))),W1055=""Vente"",-IFERROR(VALUE(X1055),VALUE(REGEXREPLACE(T(X1055),""[^0-9]"",""""))),Y1055=""Change"",0,Y1055&lt;&gt;""Change"","""")"),"")</f>
        <v/>
      </c>
      <c r="N1055" s="34" t="str">
        <f>IFERROR(__xludf.DUMMYFUNCTION("IF(Account!$F1055&lt;&gt;"""", VALUE(REGEXREPLACE($I1055, ""\,"", ""."")), """")"),"")</f>
        <v/>
      </c>
      <c r="O1055" s="35" t="str">
        <f>IF(Account!$F1055&lt;&gt;"", DATEVALUE(MID($A1055,4,3) &amp; LEFT($A1055,3) &amp; RIGHT($A1055,4)) + TIMEVALUE($B1055), "")</f>
        <v/>
      </c>
      <c r="P1055" s="36" t="str">
        <f>IF(Account!$F1055&lt;&gt;"", DATEVALUE(MID($C1055,4,3) &amp; LEFT($C1055,3) &amp; RIGHT($C1055,4)), "")</f>
        <v/>
      </c>
      <c r="Q1055" s="37" t="str">
        <f t="array" ref="Q1055">IF($R1055&lt;&gt;"",IFERROR(INDEX(ISIN!$B:$B,MATCH($R1055,ISIN!$C:$C,0))),)</f>
        <v/>
      </c>
      <c r="R1055" s="38" t="str">
        <f t="array" ref="R1055">IF($E1055&lt;&gt;"",IFERROR(INDEX(ISIN!$C:$C,MATCH($E1055,ISIN!$A:$A,0)),IFERROR(INDEX($R1056:$R1200,MATCH($K1055,$K1056:$K1200,0)))),IF(AND($Y1055="change",$H1055="EUR"),IF($O1055=$O1056,$R1056,IF($O1055=$O1054,$R1054)),IFERROR(INDEX($R1056:$R1200,MATCH(SUBSTITUTE($I1055,"-","",1),$K1056:$K1200,0)))))</f>
        <v/>
      </c>
      <c r="S1055" s="37" t="str">
        <f t="shared" si="1"/>
        <v/>
      </c>
      <c r="T1055" s="39" t="str">
        <f t="shared" si="2"/>
        <v/>
      </c>
      <c r="U1055" s="40" t="str">
        <f t="shared" si="3"/>
        <v/>
      </c>
      <c r="V1055" s="34" t="str">
        <f t="shared" si="4"/>
        <v/>
      </c>
      <c r="W1055" s="41" t="str">
        <f>IFERROR(__xludf.DUMMYFUNCTION(" IF(Account!$F1055&lt;&gt;"""", SPLIT(Account!$F1055, "" ""), """")"),"")</f>
        <v/>
      </c>
      <c r="X1055" s="42"/>
      <c r="Y1055" s="42"/>
      <c r="Z1055" s="42"/>
      <c r="AA1055" s="42"/>
      <c r="AB1055" s="42"/>
      <c r="AC1055" s="42"/>
      <c r="AD1055" s="42"/>
      <c r="AE1055" s="42"/>
      <c r="AF1055" s="42"/>
      <c r="AG1055" s="42"/>
      <c r="AH1055" s="42"/>
      <c r="AI1055" s="42"/>
      <c r="AJ1055" s="42"/>
      <c r="AK1055" s="42"/>
    </row>
    <row r="1056">
      <c r="A1056" s="20"/>
      <c r="B1056" s="20"/>
      <c r="C1056" s="20"/>
      <c r="D1056" s="20"/>
      <c r="E1056" s="20"/>
      <c r="F1056" s="21"/>
      <c r="G1056" s="45"/>
      <c r="H1056" s="20"/>
      <c r="I1056" s="20"/>
      <c r="J1056" s="20"/>
      <c r="K1056" s="20"/>
      <c r="L1056" s="21"/>
      <c r="M1056" s="33" t="str">
        <f>IFERROR(__xludf.DUMMYFUNCTION("IFS(W1056=""Achat"",IFERROR(VALUE(X1056),VALUE(REGEXREPLACE(T(X1056),""[^0-9]"",""""))),W1056=""Vente"",-IFERROR(VALUE(X1056),VALUE(REGEXREPLACE(T(X1056),""[^0-9]"",""""))),Y1056=""Change"",0,Y1056&lt;&gt;""Change"","""")"),"")</f>
        <v/>
      </c>
      <c r="N1056" s="34" t="str">
        <f>IFERROR(__xludf.DUMMYFUNCTION("IF(Account!$F1056&lt;&gt;"""", VALUE(REGEXREPLACE($I1056, ""\,"", ""."")), """")"),"")</f>
        <v/>
      </c>
      <c r="O1056" s="35" t="str">
        <f>IF(Account!$F1056&lt;&gt;"", DATEVALUE(MID($A1056,4,3) &amp; LEFT($A1056,3) &amp; RIGHT($A1056,4)) + TIMEVALUE($B1056), "")</f>
        <v/>
      </c>
      <c r="P1056" s="36" t="str">
        <f>IF(Account!$F1056&lt;&gt;"", DATEVALUE(MID($C1056,4,3) &amp; LEFT($C1056,3) &amp; RIGHT($C1056,4)), "")</f>
        <v/>
      </c>
      <c r="Q1056" s="37" t="str">
        <f t="array" ref="Q1056">IF($R1056&lt;&gt;"",IFERROR(INDEX(ISIN!$B:$B,MATCH($R1056,ISIN!$C:$C,0))),)</f>
        <v/>
      </c>
      <c r="R1056" s="38" t="str">
        <f t="array" ref="R1056">IF($E1056&lt;&gt;"",IFERROR(INDEX(ISIN!$C:$C,MATCH($E1056,ISIN!$A:$A,0)),IFERROR(INDEX($R1057:$R1200,MATCH($K1056,$K1057:$K1200,0)))),IF(AND($Y1056="change",$H1056="EUR"),IF($O1056=$O1057,$R1057,IF($O1056=$O1055,$R1055)),IFERROR(INDEX($R1057:$R1200,MATCH(SUBSTITUTE($I1056,"-","",1),$K1057:$K1200,0)))))</f>
        <v/>
      </c>
      <c r="S1056" s="37" t="str">
        <f t="shared" si="1"/>
        <v/>
      </c>
      <c r="T1056" s="39" t="str">
        <f t="shared" si="2"/>
        <v/>
      </c>
      <c r="U1056" s="40" t="str">
        <f t="shared" si="3"/>
        <v/>
      </c>
      <c r="V1056" s="34" t="str">
        <f t="shared" si="4"/>
        <v/>
      </c>
      <c r="W1056" s="41" t="str">
        <f>IFERROR(__xludf.DUMMYFUNCTION(" IF(Account!$F1056&lt;&gt;"""", SPLIT(Account!$F1056, "" ""), """")"),"")</f>
        <v/>
      </c>
      <c r="X1056" s="42"/>
      <c r="Y1056" s="42"/>
      <c r="Z1056" s="42"/>
      <c r="AA1056" s="42"/>
      <c r="AB1056" s="42"/>
      <c r="AC1056" s="42"/>
      <c r="AD1056" s="42"/>
      <c r="AE1056" s="42"/>
      <c r="AF1056" s="42"/>
      <c r="AG1056" s="42"/>
      <c r="AH1056" s="42"/>
      <c r="AI1056" s="42"/>
      <c r="AJ1056" s="42"/>
      <c r="AK1056" s="42"/>
    </row>
    <row r="1057">
      <c r="A1057" s="20"/>
      <c r="B1057" s="20"/>
      <c r="C1057" s="20"/>
      <c r="D1057" s="20"/>
      <c r="E1057" s="20"/>
      <c r="F1057" s="21"/>
      <c r="G1057" s="20"/>
      <c r="H1057" s="20"/>
      <c r="I1057" s="20"/>
      <c r="J1057" s="20"/>
      <c r="K1057" s="20"/>
      <c r="L1057" s="21"/>
      <c r="M1057" s="33" t="str">
        <f>IFERROR(__xludf.DUMMYFUNCTION("IFS(W1057=""Achat"",IFERROR(VALUE(X1057),VALUE(REGEXREPLACE(T(X1057),""[^0-9]"",""""))),W1057=""Vente"",-IFERROR(VALUE(X1057),VALUE(REGEXREPLACE(T(X1057),""[^0-9]"",""""))),Y1057=""Change"",0,Y1057&lt;&gt;""Change"","""")"),"")</f>
        <v/>
      </c>
      <c r="N1057" s="34" t="str">
        <f>IFERROR(__xludf.DUMMYFUNCTION("IF(Account!$F1057&lt;&gt;"""", VALUE(REGEXREPLACE($I1057, ""\,"", ""."")), """")"),"")</f>
        <v/>
      </c>
      <c r="O1057" s="35" t="str">
        <f>IF(Account!$F1057&lt;&gt;"", DATEVALUE(MID($A1057,4,3) &amp; LEFT($A1057,3) &amp; RIGHT($A1057,4)) + TIMEVALUE($B1057), "")</f>
        <v/>
      </c>
      <c r="P1057" s="36" t="str">
        <f>IF(Account!$F1057&lt;&gt;"", DATEVALUE(MID($C1057,4,3) &amp; LEFT($C1057,3) &amp; RIGHT($C1057,4)), "")</f>
        <v/>
      </c>
      <c r="Q1057" s="37" t="str">
        <f t="array" ref="Q1057">IF($R1057&lt;&gt;"",IFERROR(INDEX(ISIN!$B:$B,MATCH($R1057,ISIN!$C:$C,0))),)</f>
        <v/>
      </c>
      <c r="R1057" s="38" t="str">
        <f t="array" ref="R1057">IF($E1057&lt;&gt;"",IFERROR(INDEX(ISIN!$C:$C,MATCH($E1057,ISIN!$A:$A,0)),IFERROR(INDEX($R1058:$R1200,MATCH($K1057,$K1058:$K1200,0)))),IF(AND($Y1057="change",$H1057="EUR"),IF($O1057=$O1058,$R1058,IF($O1057=$O1056,$R1056)),IFERROR(INDEX($R1058:$R1200,MATCH(SUBSTITUTE($I1057,"-","",1),$K1058:$K1200,0)))))</f>
        <v/>
      </c>
      <c r="S1057" s="37" t="str">
        <f t="shared" si="1"/>
        <v/>
      </c>
      <c r="T1057" s="39" t="str">
        <f t="shared" si="2"/>
        <v/>
      </c>
      <c r="U1057" s="40" t="str">
        <f t="shared" si="3"/>
        <v/>
      </c>
      <c r="V1057" s="34" t="str">
        <f t="shared" si="4"/>
        <v/>
      </c>
      <c r="W1057" s="41" t="str">
        <f>IFERROR(__xludf.DUMMYFUNCTION(" IF(Account!$F1057&lt;&gt;"""", SPLIT(Account!$F1057, "" ""), """")"),"")</f>
        <v/>
      </c>
      <c r="X1057" s="42"/>
      <c r="Y1057" s="42"/>
      <c r="Z1057" s="42"/>
      <c r="AA1057" s="42"/>
      <c r="AB1057" s="42"/>
      <c r="AC1057" s="42"/>
      <c r="AD1057" s="42"/>
      <c r="AE1057" s="42"/>
      <c r="AF1057" s="42"/>
      <c r="AG1057" s="42"/>
      <c r="AH1057" s="42"/>
      <c r="AI1057" s="42"/>
      <c r="AJ1057" s="42"/>
      <c r="AK1057" s="42"/>
    </row>
    <row r="1058">
      <c r="A1058" s="20"/>
      <c r="B1058" s="20"/>
      <c r="C1058" s="20"/>
      <c r="D1058" s="20"/>
      <c r="E1058" s="20"/>
      <c r="F1058" s="21"/>
      <c r="G1058" s="45"/>
      <c r="H1058" s="20"/>
      <c r="I1058" s="20"/>
      <c r="J1058" s="20"/>
      <c r="K1058" s="20"/>
      <c r="L1058" s="21"/>
      <c r="M1058" s="33" t="str">
        <f>IFERROR(__xludf.DUMMYFUNCTION("IFS(W1058=""Achat"",IFERROR(VALUE(X1058),VALUE(REGEXREPLACE(T(X1058),""[^0-9]"",""""))),W1058=""Vente"",-IFERROR(VALUE(X1058),VALUE(REGEXREPLACE(T(X1058),""[^0-9]"",""""))),Y1058=""Change"",0,Y1058&lt;&gt;""Change"","""")"),"")</f>
        <v/>
      </c>
      <c r="N1058" s="34" t="str">
        <f>IFERROR(__xludf.DUMMYFUNCTION("IF(Account!$F1058&lt;&gt;"""", VALUE(REGEXREPLACE($I1058, ""\,"", ""."")), """")"),"")</f>
        <v/>
      </c>
      <c r="O1058" s="35" t="str">
        <f>IF(Account!$F1058&lt;&gt;"", DATEVALUE(MID($A1058,4,3) &amp; LEFT($A1058,3) &amp; RIGHT($A1058,4)) + TIMEVALUE($B1058), "")</f>
        <v/>
      </c>
      <c r="P1058" s="36" t="str">
        <f>IF(Account!$F1058&lt;&gt;"", DATEVALUE(MID($C1058,4,3) &amp; LEFT($C1058,3) &amp; RIGHT($C1058,4)), "")</f>
        <v/>
      </c>
      <c r="Q1058" s="37" t="str">
        <f t="array" ref="Q1058">IF($R1058&lt;&gt;"",IFERROR(INDEX(ISIN!$B:$B,MATCH($R1058,ISIN!$C:$C,0))),)</f>
        <v/>
      </c>
      <c r="R1058" s="38" t="str">
        <f t="array" ref="R1058">IF($E1058&lt;&gt;"",IFERROR(INDEX(ISIN!$C:$C,MATCH($E1058,ISIN!$A:$A,0)),IFERROR(INDEX($R1059:$R1200,MATCH($K1058,$K1059:$K1200,0)))),IF(AND($Y1058="change",$H1058="EUR"),IF($O1058=$O1059,$R1059,IF($O1058=$O1057,$R1057)),IFERROR(INDEX($R1059:$R1200,MATCH(SUBSTITUTE($I1058,"-","",1),$K1059:$K1200,0)))))</f>
        <v/>
      </c>
      <c r="S1058" s="37" t="str">
        <f t="shared" si="1"/>
        <v/>
      </c>
      <c r="T1058" s="39" t="str">
        <f t="shared" si="2"/>
        <v/>
      </c>
      <c r="U1058" s="40" t="str">
        <f t="shared" si="3"/>
        <v/>
      </c>
      <c r="V1058" s="34" t="str">
        <f t="shared" si="4"/>
        <v/>
      </c>
      <c r="W1058" s="41" t="str">
        <f>IFERROR(__xludf.DUMMYFUNCTION(" IF(Account!$F1058&lt;&gt;"""", SPLIT(Account!$F1058, "" ""), """")"),"")</f>
        <v/>
      </c>
      <c r="X1058" s="42"/>
      <c r="Y1058" s="42"/>
      <c r="Z1058" s="42"/>
      <c r="AA1058" s="42"/>
      <c r="AB1058" s="42"/>
      <c r="AC1058" s="42"/>
      <c r="AD1058" s="42"/>
      <c r="AE1058" s="42"/>
      <c r="AF1058" s="42"/>
      <c r="AG1058" s="42"/>
      <c r="AH1058" s="42"/>
      <c r="AI1058" s="42"/>
      <c r="AJ1058" s="42"/>
      <c r="AK1058" s="42"/>
    </row>
    <row r="1059">
      <c r="A1059" s="20"/>
      <c r="B1059" s="20"/>
      <c r="C1059" s="20"/>
      <c r="D1059" s="20"/>
      <c r="E1059" s="20"/>
      <c r="F1059" s="21"/>
      <c r="G1059" s="45"/>
      <c r="H1059" s="20"/>
      <c r="I1059" s="20"/>
      <c r="J1059" s="20"/>
      <c r="K1059" s="20"/>
      <c r="L1059" s="21"/>
      <c r="M1059" s="33" t="str">
        <f>IFERROR(__xludf.DUMMYFUNCTION("IFS(W1059=""Achat"",IFERROR(VALUE(X1059),VALUE(REGEXREPLACE(T(X1059),""[^0-9]"",""""))),W1059=""Vente"",-IFERROR(VALUE(X1059),VALUE(REGEXREPLACE(T(X1059),""[^0-9]"",""""))),Y1059=""Change"",0,Y1059&lt;&gt;""Change"","""")"),"")</f>
        <v/>
      </c>
      <c r="N1059" s="34" t="str">
        <f>IFERROR(__xludf.DUMMYFUNCTION("IF(Account!$F1059&lt;&gt;"""", VALUE(REGEXREPLACE($I1059, ""\,"", ""."")), """")"),"")</f>
        <v/>
      </c>
      <c r="O1059" s="35" t="str">
        <f>IF(Account!$F1059&lt;&gt;"", DATEVALUE(MID($A1059,4,3) &amp; LEFT($A1059,3) &amp; RIGHT($A1059,4)) + TIMEVALUE($B1059), "")</f>
        <v/>
      </c>
      <c r="P1059" s="36" t="str">
        <f>IF(Account!$F1059&lt;&gt;"", DATEVALUE(MID($C1059,4,3) &amp; LEFT($C1059,3) &amp; RIGHT($C1059,4)), "")</f>
        <v/>
      </c>
      <c r="Q1059" s="37" t="str">
        <f t="array" ref="Q1059">IF($R1059&lt;&gt;"",IFERROR(INDEX(ISIN!$B:$B,MATCH($R1059,ISIN!$C:$C,0))),)</f>
        <v/>
      </c>
      <c r="R1059" s="38" t="str">
        <f t="array" ref="R1059">IF($E1059&lt;&gt;"",IFERROR(INDEX(ISIN!$C:$C,MATCH($E1059,ISIN!$A:$A,0)),IFERROR(INDEX($R1060:$R1200,MATCH($K1059,$K1060:$K1200,0)))),IF(AND($Y1059="change",$H1059="EUR"),IF($O1059=$O1060,$R1060,IF($O1059=$O1058,$R1058)),IFERROR(INDEX($R1060:$R1200,MATCH(SUBSTITUTE($I1059,"-","",1),$K1060:$K1200,0)))))</f>
        <v/>
      </c>
      <c r="S1059" s="37" t="str">
        <f t="shared" si="1"/>
        <v/>
      </c>
      <c r="T1059" s="39" t="str">
        <f t="shared" si="2"/>
        <v/>
      </c>
      <c r="U1059" s="40" t="str">
        <f t="shared" si="3"/>
        <v/>
      </c>
      <c r="V1059" s="34" t="str">
        <f t="shared" si="4"/>
        <v/>
      </c>
      <c r="W1059" s="41" t="str">
        <f>IFERROR(__xludf.DUMMYFUNCTION(" IF(Account!$F1059&lt;&gt;"""", SPLIT(Account!$F1059, "" ""), """")"),"")</f>
        <v/>
      </c>
      <c r="X1059" s="42"/>
      <c r="Y1059" s="42"/>
      <c r="Z1059" s="42"/>
      <c r="AA1059" s="42"/>
      <c r="AB1059" s="42"/>
      <c r="AC1059" s="42"/>
      <c r="AD1059" s="42"/>
      <c r="AE1059" s="42"/>
      <c r="AF1059" s="42"/>
      <c r="AG1059" s="42"/>
      <c r="AH1059" s="42"/>
      <c r="AI1059" s="42"/>
      <c r="AJ1059" s="42"/>
      <c r="AK1059" s="42"/>
    </row>
    <row r="1060">
      <c r="A1060" s="20"/>
      <c r="B1060" s="20"/>
      <c r="C1060" s="20"/>
      <c r="D1060" s="20"/>
      <c r="E1060" s="20"/>
      <c r="F1060" s="21"/>
      <c r="G1060" s="45"/>
      <c r="H1060" s="20"/>
      <c r="I1060" s="20"/>
      <c r="J1060" s="20"/>
      <c r="K1060" s="20"/>
      <c r="L1060" s="21"/>
      <c r="M1060" s="33" t="str">
        <f>IFERROR(__xludf.DUMMYFUNCTION("IFS(W1060=""Achat"",IFERROR(VALUE(X1060),VALUE(REGEXREPLACE(T(X1060),""[^0-9]"",""""))),W1060=""Vente"",-IFERROR(VALUE(X1060),VALUE(REGEXREPLACE(T(X1060),""[^0-9]"",""""))),Y1060=""Change"",0,Y1060&lt;&gt;""Change"","""")"),"")</f>
        <v/>
      </c>
      <c r="N1060" s="34" t="str">
        <f>IFERROR(__xludf.DUMMYFUNCTION("IF(Account!$F1060&lt;&gt;"""", VALUE(REGEXREPLACE($I1060, ""\,"", ""."")), """")"),"")</f>
        <v/>
      </c>
      <c r="O1060" s="35" t="str">
        <f>IF(Account!$F1060&lt;&gt;"", DATEVALUE(MID($A1060,4,3) &amp; LEFT($A1060,3) &amp; RIGHT($A1060,4)) + TIMEVALUE($B1060), "")</f>
        <v/>
      </c>
      <c r="P1060" s="36" t="str">
        <f>IF(Account!$F1060&lt;&gt;"", DATEVALUE(MID($C1060,4,3) &amp; LEFT($C1060,3) &amp; RIGHT($C1060,4)), "")</f>
        <v/>
      </c>
      <c r="Q1060" s="37" t="str">
        <f t="array" ref="Q1060">IF($R1060&lt;&gt;"",IFERROR(INDEX(ISIN!$B:$B,MATCH($R1060,ISIN!$C:$C,0))),)</f>
        <v/>
      </c>
      <c r="R1060" s="38" t="str">
        <f t="array" ref="R1060">IF($E1060&lt;&gt;"",IFERROR(INDEX(ISIN!$C:$C,MATCH($E1060,ISIN!$A:$A,0)),IFERROR(INDEX($R1061:$R1200,MATCH($K1060,$K1061:$K1200,0)))),IF(AND($Y1060="change",$H1060="EUR"),IF($O1060=$O1061,$R1061,IF($O1060=$O1059,$R1059)),IFERROR(INDEX($R1061:$R1200,MATCH(SUBSTITUTE($I1060,"-","",1),$K1061:$K1200,0)))))</f>
        <v/>
      </c>
      <c r="S1060" s="37" t="str">
        <f t="shared" si="1"/>
        <v/>
      </c>
      <c r="T1060" s="39" t="str">
        <f t="shared" si="2"/>
        <v/>
      </c>
      <c r="U1060" s="40" t="str">
        <f t="shared" si="3"/>
        <v/>
      </c>
      <c r="V1060" s="34" t="str">
        <f t="shared" si="4"/>
        <v/>
      </c>
      <c r="W1060" s="41" t="str">
        <f>IFERROR(__xludf.DUMMYFUNCTION(" IF(Account!$F1060&lt;&gt;"""", SPLIT(Account!$F1060, "" ""), """")"),"")</f>
        <v/>
      </c>
      <c r="X1060" s="42"/>
      <c r="Y1060" s="42"/>
      <c r="Z1060" s="42"/>
      <c r="AA1060" s="42"/>
      <c r="AB1060" s="42"/>
      <c r="AC1060" s="42"/>
      <c r="AD1060" s="42"/>
      <c r="AE1060" s="42"/>
      <c r="AF1060" s="42"/>
      <c r="AG1060" s="42"/>
      <c r="AH1060" s="42"/>
      <c r="AI1060" s="42"/>
      <c r="AJ1060" s="42"/>
      <c r="AK1060" s="42"/>
    </row>
    <row r="1061">
      <c r="A1061" s="20"/>
      <c r="B1061" s="20"/>
      <c r="C1061" s="20"/>
      <c r="D1061" s="20"/>
      <c r="E1061" s="20"/>
      <c r="F1061" s="21"/>
      <c r="G1061" s="45"/>
      <c r="H1061" s="20"/>
      <c r="I1061" s="20"/>
      <c r="J1061" s="20"/>
      <c r="K1061" s="20"/>
      <c r="L1061" s="21"/>
      <c r="M1061" s="33" t="str">
        <f>IFERROR(__xludf.DUMMYFUNCTION("IFS(W1061=""Achat"",IFERROR(VALUE(X1061),VALUE(REGEXREPLACE(T(X1061),""[^0-9]"",""""))),W1061=""Vente"",-IFERROR(VALUE(X1061),VALUE(REGEXREPLACE(T(X1061),""[^0-9]"",""""))),Y1061=""Change"",0,Y1061&lt;&gt;""Change"","""")"),"")</f>
        <v/>
      </c>
      <c r="N1061" s="34" t="str">
        <f>IFERROR(__xludf.DUMMYFUNCTION("IF(Account!$F1061&lt;&gt;"""", VALUE(REGEXREPLACE($I1061, ""\,"", ""."")), """")"),"")</f>
        <v/>
      </c>
      <c r="O1061" s="35" t="str">
        <f>IF(Account!$F1061&lt;&gt;"", DATEVALUE(MID($A1061,4,3) &amp; LEFT($A1061,3) &amp; RIGHT($A1061,4)) + TIMEVALUE($B1061), "")</f>
        <v/>
      </c>
      <c r="P1061" s="36" t="str">
        <f>IF(Account!$F1061&lt;&gt;"", DATEVALUE(MID($C1061,4,3) &amp; LEFT($C1061,3) &amp; RIGHT($C1061,4)), "")</f>
        <v/>
      </c>
      <c r="Q1061" s="37" t="str">
        <f t="array" ref="Q1061">IF($R1061&lt;&gt;"",IFERROR(INDEX(ISIN!$B:$B,MATCH($R1061,ISIN!$C:$C,0))),)</f>
        <v/>
      </c>
      <c r="R1061" s="38" t="str">
        <f t="array" ref="R1061">IF($E1061&lt;&gt;"",IFERROR(INDEX(ISIN!$C:$C,MATCH($E1061,ISIN!$A:$A,0)),IFERROR(INDEX($R1062:$R1200,MATCH($K1061,$K1062:$K1200,0)))),IF(AND($Y1061="change",$H1061="EUR"),IF($O1061=$O1062,$R1062,IF($O1061=$O1060,$R1060)),IFERROR(INDEX($R1062:$R1200,MATCH(SUBSTITUTE($I1061,"-","",1),$K1062:$K1200,0)))))</f>
        <v/>
      </c>
      <c r="S1061" s="37" t="str">
        <f t="shared" si="1"/>
        <v/>
      </c>
      <c r="T1061" s="39" t="str">
        <f t="shared" si="2"/>
        <v/>
      </c>
      <c r="U1061" s="40" t="str">
        <f t="shared" si="3"/>
        <v/>
      </c>
      <c r="V1061" s="34" t="str">
        <f t="shared" si="4"/>
        <v/>
      </c>
      <c r="W1061" s="41" t="str">
        <f>IFERROR(__xludf.DUMMYFUNCTION(" IF(Account!$F1061&lt;&gt;"""", SPLIT(Account!$F1061, "" ""), """")"),"")</f>
        <v/>
      </c>
      <c r="X1061" s="42"/>
      <c r="Y1061" s="42"/>
      <c r="Z1061" s="42"/>
      <c r="AA1061" s="42"/>
      <c r="AB1061" s="42"/>
      <c r="AC1061" s="42"/>
      <c r="AD1061" s="42"/>
      <c r="AE1061" s="42"/>
      <c r="AF1061" s="42"/>
      <c r="AG1061" s="42"/>
      <c r="AH1061" s="42"/>
      <c r="AI1061" s="42"/>
      <c r="AJ1061" s="42"/>
      <c r="AK1061" s="42"/>
    </row>
    <row r="1062">
      <c r="A1062" s="20"/>
      <c r="B1062" s="20"/>
      <c r="C1062" s="20"/>
      <c r="D1062" s="20"/>
      <c r="E1062" s="20"/>
      <c r="F1062" s="21"/>
      <c r="G1062" s="45"/>
      <c r="H1062" s="20"/>
      <c r="I1062" s="20"/>
      <c r="J1062" s="20"/>
      <c r="K1062" s="20"/>
      <c r="L1062" s="21"/>
      <c r="M1062" s="33" t="str">
        <f>IFERROR(__xludf.DUMMYFUNCTION("IFS(W1062=""Achat"",IFERROR(VALUE(X1062),VALUE(REGEXREPLACE(T(X1062),""[^0-9]"",""""))),W1062=""Vente"",-IFERROR(VALUE(X1062),VALUE(REGEXREPLACE(T(X1062),""[^0-9]"",""""))),Y1062=""Change"",0,Y1062&lt;&gt;""Change"","""")"),"")</f>
        <v/>
      </c>
      <c r="N1062" s="34" t="str">
        <f>IFERROR(__xludf.DUMMYFUNCTION("IF(Account!$F1062&lt;&gt;"""", VALUE(REGEXREPLACE($I1062, ""\,"", ""."")), """")"),"")</f>
        <v/>
      </c>
      <c r="O1062" s="35" t="str">
        <f>IF(Account!$F1062&lt;&gt;"", DATEVALUE(MID($A1062,4,3) &amp; LEFT($A1062,3) &amp; RIGHT($A1062,4)) + TIMEVALUE($B1062), "")</f>
        <v/>
      </c>
      <c r="P1062" s="36" t="str">
        <f>IF(Account!$F1062&lt;&gt;"", DATEVALUE(MID($C1062,4,3) &amp; LEFT($C1062,3) &amp; RIGHT($C1062,4)), "")</f>
        <v/>
      </c>
      <c r="Q1062" s="37" t="str">
        <f t="array" ref="Q1062">IF($R1062&lt;&gt;"",IFERROR(INDEX(ISIN!$B:$B,MATCH($R1062,ISIN!$C:$C,0))),)</f>
        <v/>
      </c>
      <c r="R1062" s="38" t="str">
        <f t="array" ref="R1062">IF($E1062&lt;&gt;"",IFERROR(INDEX(ISIN!$C:$C,MATCH($E1062,ISIN!$A:$A,0)),IFERROR(INDEX($R1063:$R1200,MATCH($K1062,$K1063:$K1200,0)))),IF(AND($Y1062="change",$H1062="EUR"),IF($O1062=$O1063,$R1063,IF($O1062=$O1061,$R1061)),IFERROR(INDEX($R1063:$R1200,MATCH(SUBSTITUTE($I1062,"-","",1),$K1063:$K1200,0)))))</f>
        <v/>
      </c>
      <c r="S1062" s="37" t="str">
        <f t="shared" si="1"/>
        <v/>
      </c>
      <c r="T1062" s="39" t="str">
        <f t="shared" si="2"/>
        <v/>
      </c>
      <c r="U1062" s="40" t="str">
        <f t="shared" si="3"/>
        <v/>
      </c>
      <c r="V1062" s="34" t="str">
        <f t="shared" si="4"/>
        <v/>
      </c>
      <c r="W1062" s="41" t="str">
        <f>IFERROR(__xludf.DUMMYFUNCTION(" IF(Account!$F1062&lt;&gt;"""", SPLIT(Account!$F1062, "" ""), """")"),"")</f>
        <v/>
      </c>
      <c r="X1062" s="42"/>
      <c r="Y1062" s="42"/>
      <c r="Z1062" s="42"/>
      <c r="AA1062" s="42"/>
      <c r="AB1062" s="42"/>
      <c r="AC1062" s="42"/>
      <c r="AD1062" s="42"/>
      <c r="AE1062" s="42"/>
      <c r="AF1062" s="42"/>
      <c r="AG1062" s="42"/>
      <c r="AH1062" s="42"/>
      <c r="AI1062" s="42"/>
      <c r="AJ1062" s="42"/>
      <c r="AK1062" s="42"/>
    </row>
    <row r="1063">
      <c r="A1063" s="20"/>
      <c r="B1063" s="20"/>
      <c r="C1063" s="20"/>
      <c r="D1063" s="20"/>
      <c r="E1063" s="20"/>
      <c r="F1063" s="21"/>
      <c r="G1063" s="45"/>
      <c r="H1063" s="20"/>
      <c r="I1063" s="20"/>
      <c r="J1063" s="20"/>
      <c r="K1063" s="20"/>
      <c r="L1063" s="21"/>
      <c r="M1063" s="33" t="str">
        <f>IFERROR(__xludf.DUMMYFUNCTION("IFS(W1063=""Achat"",IFERROR(VALUE(X1063),VALUE(REGEXREPLACE(T(X1063),""[^0-9]"",""""))),W1063=""Vente"",-IFERROR(VALUE(X1063),VALUE(REGEXREPLACE(T(X1063),""[^0-9]"",""""))),Y1063=""Change"",0,Y1063&lt;&gt;""Change"","""")"),"")</f>
        <v/>
      </c>
      <c r="N1063" s="34" t="str">
        <f>IFERROR(__xludf.DUMMYFUNCTION("IF(Account!$F1063&lt;&gt;"""", VALUE(REGEXREPLACE($I1063, ""\,"", ""."")), """")"),"")</f>
        <v/>
      </c>
      <c r="O1063" s="35" t="str">
        <f>IF(Account!$F1063&lt;&gt;"", DATEVALUE(MID($A1063,4,3) &amp; LEFT($A1063,3) &amp; RIGHT($A1063,4)) + TIMEVALUE($B1063), "")</f>
        <v/>
      </c>
      <c r="P1063" s="36" t="str">
        <f>IF(Account!$F1063&lt;&gt;"", DATEVALUE(MID($C1063,4,3) &amp; LEFT($C1063,3) &amp; RIGHT($C1063,4)), "")</f>
        <v/>
      </c>
      <c r="Q1063" s="37" t="str">
        <f t="array" ref="Q1063">IF($R1063&lt;&gt;"",IFERROR(INDEX(ISIN!$B:$B,MATCH($R1063,ISIN!$C:$C,0))),)</f>
        <v/>
      </c>
      <c r="R1063" s="38" t="str">
        <f t="array" ref="R1063">IF($E1063&lt;&gt;"",IFERROR(INDEX(ISIN!$C:$C,MATCH($E1063,ISIN!$A:$A,0)),IFERROR(INDEX($R1064:$R1200,MATCH($K1063,$K1064:$K1200,0)))),IF(AND($Y1063="change",$H1063="EUR"),IF($O1063=$O1064,$R1064,IF($O1063=$O1062,$R1062)),IFERROR(INDEX($R1064:$R1200,MATCH(SUBSTITUTE($I1063,"-","",1),$K1064:$K1200,0)))))</f>
        <v/>
      </c>
      <c r="S1063" s="37" t="str">
        <f t="shared" si="1"/>
        <v/>
      </c>
      <c r="T1063" s="39" t="str">
        <f t="shared" si="2"/>
        <v/>
      </c>
      <c r="U1063" s="40" t="str">
        <f t="shared" si="3"/>
        <v/>
      </c>
      <c r="V1063" s="34" t="str">
        <f t="shared" si="4"/>
        <v/>
      </c>
      <c r="W1063" s="41" t="str">
        <f>IFERROR(__xludf.DUMMYFUNCTION(" IF(Account!$F1063&lt;&gt;"""", SPLIT(Account!$F1063, "" ""), """")"),"")</f>
        <v/>
      </c>
      <c r="X1063" s="42"/>
      <c r="Y1063" s="42"/>
      <c r="Z1063" s="42"/>
      <c r="AA1063" s="42"/>
      <c r="AB1063" s="42"/>
      <c r="AC1063" s="42"/>
      <c r="AD1063" s="42"/>
      <c r="AE1063" s="42"/>
      <c r="AF1063" s="42"/>
      <c r="AG1063" s="42"/>
      <c r="AH1063" s="42"/>
      <c r="AI1063" s="42"/>
      <c r="AJ1063" s="42"/>
      <c r="AK1063" s="42"/>
    </row>
    <row r="1064">
      <c r="A1064" s="20"/>
      <c r="B1064" s="20"/>
      <c r="C1064" s="20"/>
      <c r="D1064" s="20"/>
      <c r="E1064" s="20"/>
      <c r="F1064" s="21"/>
      <c r="G1064" s="45"/>
      <c r="H1064" s="45"/>
      <c r="I1064" s="45"/>
      <c r="J1064" s="20"/>
      <c r="K1064" s="20"/>
      <c r="L1064" s="46"/>
      <c r="M1064" s="33" t="str">
        <f>IFERROR(__xludf.DUMMYFUNCTION("IFS(W1064=""Achat"",IFERROR(VALUE(X1064),VALUE(REGEXREPLACE(T(X1064),""[^0-9]"",""""))),W1064=""Vente"",-IFERROR(VALUE(X1064),VALUE(REGEXREPLACE(T(X1064),""[^0-9]"",""""))),Y1064=""Change"",0,Y1064&lt;&gt;""Change"","""")"),"")</f>
        <v/>
      </c>
      <c r="N1064" s="34" t="str">
        <f>IFERROR(__xludf.DUMMYFUNCTION("IF(Account!$F1064&lt;&gt;"""", VALUE(REGEXREPLACE($I1064, ""\,"", ""."")), """")"),"")</f>
        <v/>
      </c>
      <c r="O1064" s="35" t="str">
        <f>IF(Account!$F1064&lt;&gt;"", DATEVALUE(MID($A1064,4,3) &amp; LEFT($A1064,3) &amp; RIGHT($A1064,4)) + TIMEVALUE($B1064), "")</f>
        <v/>
      </c>
      <c r="P1064" s="36" t="str">
        <f>IF(Account!$F1064&lt;&gt;"", DATEVALUE(MID($C1064,4,3) &amp; LEFT($C1064,3) &amp; RIGHT($C1064,4)), "")</f>
        <v/>
      </c>
      <c r="Q1064" s="37" t="str">
        <f t="array" ref="Q1064">IF($R1064&lt;&gt;"",IFERROR(INDEX(ISIN!$B:$B,MATCH($R1064,ISIN!$C:$C,0))),)</f>
        <v/>
      </c>
      <c r="R1064" s="38" t="str">
        <f t="array" ref="R1064">IF($E1064&lt;&gt;"",IFERROR(INDEX(ISIN!$C:$C,MATCH($E1064,ISIN!$A:$A,0)),IFERROR(INDEX($R1065:$R1200,MATCH($K1064,$K1065:$K1200,0)))),IF(AND($Y1064="change",$H1064="EUR"),IF($O1064=$O1065,$R1065,IF($O1064=$O1063,$R1063)),IFERROR(INDEX($R1065:$R1200,MATCH(SUBSTITUTE($I1064,"-","",1),$K1065:$K1200,0)))))</f>
        <v/>
      </c>
      <c r="S1064" s="37" t="str">
        <f t="shared" si="1"/>
        <v/>
      </c>
      <c r="T1064" s="39" t="str">
        <f t="shared" si="2"/>
        <v/>
      </c>
      <c r="U1064" s="40" t="str">
        <f t="shared" si="3"/>
        <v/>
      </c>
      <c r="V1064" s="34" t="str">
        <f t="shared" si="4"/>
        <v/>
      </c>
      <c r="W1064" s="41" t="str">
        <f>IFERROR(__xludf.DUMMYFUNCTION(" IF(Account!$F1064&lt;&gt;"""", SPLIT(Account!$F1064, "" ""), """")"),"")</f>
        <v/>
      </c>
      <c r="X1064" s="42"/>
      <c r="Y1064" s="42"/>
      <c r="Z1064" s="42"/>
      <c r="AA1064" s="42"/>
      <c r="AB1064" s="42"/>
      <c r="AC1064" s="42"/>
      <c r="AD1064" s="42"/>
      <c r="AE1064" s="42"/>
      <c r="AF1064" s="42"/>
      <c r="AG1064" s="42"/>
      <c r="AH1064" s="42"/>
      <c r="AI1064" s="42"/>
      <c r="AJ1064" s="42"/>
      <c r="AK1064" s="42"/>
    </row>
    <row r="1065">
      <c r="A1065" s="20"/>
      <c r="B1065" s="20"/>
      <c r="C1065" s="20"/>
      <c r="D1065" s="45"/>
      <c r="E1065" s="45"/>
      <c r="F1065" s="21"/>
      <c r="G1065" s="20"/>
      <c r="H1065" s="20"/>
      <c r="I1065" s="20"/>
      <c r="J1065" s="20"/>
      <c r="K1065" s="20"/>
      <c r="L1065" s="46"/>
      <c r="M1065" s="33" t="str">
        <f>IFERROR(__xludf.DUMMYFUNCTION("IFS(W1065=""Achat"",IFERROR(VALUE(X1065),VALUE(REGEXREPLACE(T(X1065),""[^0-9]"",""""))),W1065=""Vente"",-IFERROR(VALUE(X1065),VALUE(REGEXREPLACE(T(X1065),""[^0-9]"",""""))),Y1065=""Change"",0,Y1065&lt;&gt;""Change"","""")"),"")</f>
        <v/>
      </c>
      <c r="N1065" s="34" t="str">
        <f>IFERROR(__xludf.DUMMYFUNCTION("IF(Account!$F1065&lt;&gt;"""", VALUE(REGEXREPLACE($I1065, ""\,"", ""."")), """")"),"")</f>
        <v/>
      </c>
      <c r="O1065" s="35" t="str">
        <f>IF(Account!$F1065&lt;&gt;"", DATEVALUE(MID($A1065,4,3) &amp; LEFT($A1065,3) &amp; RIGHT($A1065,4)) + TIMEVALUE($B1065), "")</f>
        <v/>
      </c>
      <c r="P1065" s="36" t="str">
        <f>IF(Account!$F1065&lt;&gt;"", DATEVALUE(MID($C1065,4,3) &amp; LEFT($C1065,3) &amp; RIGHT($C1065,4)), "")</f>
        <v/>
      </c>
      <c r="Q1065" s="37" t="str">
        <f t="array" ref="Q1065">IF($R1065&lt;&gt;"",IFERROR(INDEX(ISIN!$B:$B,MATCH($R1065,ISIN!$C:$C,0))),)</f>
        <v/>
      </c>
      <c r="R1065" s="38" t="str">
        <f t="array" ref="R1065">IF($E1065&lt;&gt;"",IFERROR(INDEX(ISIN!$C:$C,MATCH($E1065,ISIN!$A:$A,0)),IFERROR(INDEX($R1066:$R1200,MATCH($K1065,$K1066:$K1200,0)))),IF(AND($Y1065="change",$H1065="EUR"),IF($O1065=$O1066,$R1066,IF($O1065=$O1064,$R1064)),IFERROR(INDEX($R1066:$R1200,MATCH(SUBSTITUTE($I1065,"-","",1),$K1066:$K1200,0)))))</f>
        <v/>
      </c>
      <c r="S1065" s="37" t="str">
        <f t="shared" si="1"/>
        <v/>
      </c>
      <c r="T1065" s="39" t="str">
        <f t="shared" si="2"/>
        <v/>
      </c>
      <c r="U1065" s="40" t="str">
        <f t="shared" si="3"/>
        <v/>
      </c>
      <c r="V1065" s="34" t="str">
        <f t="shared" si="4"/>
        <v/>
      </c>
      <c r="W1065" s="41" t="str">
        <f>IFERROR(__xludf.DUMMYFUNCTION(" IF(Account!$F1065&lt;&gt;"""", SPLIT(Account!$F1065, "" ""), """")"),"")</f>
        <v/>
      </c>
      <c r="X1065" s="42"/>
      <c r="Y1065" s="42"/>
      <c r="Z1065" s="42"/>
      <c r="AA1065" s="42"/>
      <c r="AB1065" s="42"/>
      <c r="AC1065" s="42"/>
      <c r="AD1065" s="42"/>
      <c r="AE1065" s="42"/>
      <c r="AF1065" s="42"/>
      <c r="AG1065" s="42"/>
      <c r="AH1065" s="42"/>
      <c r="AI1065" s="42"/>
      <c r="AJ1065" s="42"/>
      <c r="AK1065" s="42"/>
    </row>
    <row r="1066">
      <c r="A1066" s="20"/>
      <c r="B1066" s="20"/>
      <c r="C1066" s="20"/>
      <c r="D1066" s="45"/>
      <c r="E1066" s="45"/>
      <c r="F1066" s="21"/>
      <c r="G1066" s="45"/>
      <c r="H1066" s="20"/>
      <c r="I1066" s="20"/>
      <c r="J1066" s="20"/>
      <c r="K1066" s="20"/>
      <c r="L1066" s="46"/>
      <c r="M1066" s="33" t="str">
        <f>IFERROR(__xludf.DUMMYFUNCTION("IFS(W1066=""Achat"",IFERROR(VALUE(X1066),VALUE(REGEXREPLACE(T(X1066),""[^0-9]"",""""))),W1066=""Vente"",-IFERROR(VALUE(X1066),VALUE(REGEXREPLACE(T(X1066),""[^0-9]"",""""))),Y1066=""Change"",0,Y1066&lt;&gt;""Change"","""")"),"")</f>
        <v/>
      </c>
      <c r="N1066" s="34" t="str">
        <f>IFERROR(__xludf.DUMMYFUNCTION("IF(Account!$F1066&lt;&gt;"""", VALUE(REGEXREPLACE($I1066, ""\,"", ""."")), """")"),"")</f>
        <v/>
      </c>
      <c r="O1066" s="35" t="str">
        <f>IF(Account!$F1066&lt;&gt;"", DATEVALUE(MID($A1066,4,3) &amp; LEFT($A1066,3) &amp; RIGHT($A1066,4)) + TIMEVALUE($B1066), "")</f>
        <v/>
      </c>
      <c r="P1066" s="36" t="str">
        <f>IF(Account!$F1066&lt;&gt;"", DATEVALUE(MID($C1066,4,3) &amp; LEFT($C1066,3) &amp; RIGHT($C1066,4)), "")</f>
        <v/>
      </c>
      <c r="Q1066" s="37" t="str">
        <f t="array" ref="Q1066">IF($R1066&lt;&gt;"",IFERROR(INDEX(ISIN!$B:$B,MATCH($R1066,ISIN!$C:$C,0))),)</f>
        <v/>
      </c>
      <c r="R1066" s="38" t="str">
        <f t="array" ref="R1066">IF($E1066&lt;&gt;"",IFERROR(INDEX(ISIN!$C:$C,MATCH($E1066,ISIN!$A:$A,0)),IFERROR(INDEX($R1067:$R1200,MATCH($K1066,$K1067:$K1200,0)))),IF(AND($Y1066="change",$H1066="EUR"),IF($O1066=$O1067,$R1067,IF($O1066=$O1065,$R1065)),IFERROR(INDEX($R1067:$R1200,MATCH(SUBSTITUTE($I1066,"-","",1),$K1067:$K1200,0)))))</f>
        <v/>
      </c>
      <c r="S1066" s="37" t="str">
        <f t="shared" si="1"/>
        <v/>
      </c>
      <c r="T1066" s="39" t="str">
        <f t="shared" si="2"/>
        <v/>
      </c>
      <c r="U1066" s="40" t="str">
        <f t="shared" si="3"/>
        <v/>
      </c>
      <c r="V1066" s="34" t="str">
        <f t="shared" si="4"/>
        <v/>
      </c>
      <c r="W1066" s="41" t="str">
        <f>IFERROR(__xludf.DUMMYFUNCTION(" IF(Account!$F1066&lt;&gt;"""", SPLIT(Account!$F1066, "" ""), """")"),"")</f>
        <v/>
      </c>
      <c r="X1066" s="42"/>
      <c r="Y1066" s="42"/>
      <c r="Z1066" s="42"/>
      <c r="AA1066" s="42"/>
      <c r="AB1066" s="42"/>
      <c r="AC1066" s="42"/>
      <c r="AD1066" s="42"/>
      <c r="AE1066" s="42"/>
      <c r="AF1066" s="42"/>
      <c r="AG1066" s="42"/>
      <c r="AH1066" s="42"/>
      <c r="AI1066" s="42"/>
      <c r="AJ1066" s="42"/>
      <c r="AK1066" s="42"/>
    </row>
    <row r="1067">
      <c r="A1067" s="20"/>
      <c r="B1067" s="20"/>
      <c r="C1067" s="20"/>
      <c r="D1067" s="20"/>
      <c r="E1067" s="20"/>
      <c r="F1067" s="21"/>
      <c r="G1067" s="45"/>
      <c r="H1067" s="45"/>
      <c r="I1067" s="45"/>
      <c r="J1067" s="20"/>
      <c r="K1067" s="20"/>
      <c r="L1067" s="46"/>
      <c r="M1067" s="33" t="str">
        <f>IFERROR(__xludf.DUMMYFUNCTION("IFS(W1067=""Achat"",IFERROR(VALUE(X1067),VALUE(REGEXREPLACE(T(X1067),""[^0-9]"",""""))),W1067=""Vente"",-IFERROR(VALUE(X1067),VALUE(REGEXREPLACE(T(X1067),""[^0-9]"",""""))),Y1067=""Change"",0,Y1067&lt;&gt;""Change"","""")"),"")</f>
        <v/>
      </c>
      <c r="N1067" s="34" t="str">
        <f>IFERROR(__xludf.DUMMYFUNCTION("IF(Account!$F1067&lt;&gt;"""", VALUE(REGEXREPLACE($I1067, ""\,"", ""."")), """")"),"")</f>
        <v/>
      </c>
      <c r="O1067" s="35" t="str">
        <f>IF(Account!$F1067&lt;&gt;"", DATEVALUE(MID($A1067,4,3) &amp; LEFT($A1067,3) &amp; RIGHT($A1067,4)) + TIMEVALUE($B1067), "")</f>
        <v/>
      </c>
      <c r="P1067" s="36" t="str">
        <f>IF(Account!$F1067&lt;&gt;"", DATEVALUE(MID($C1067,4,3) &amp; LEFT($C1067,3) &amp; RIGHT($C1067,4)), "")</f>
        <v/>
      </c>
      <c r="Q1067" s="37" t="str">
        <f t="array" ref="Q1067">IF($R1067&lt;&gt;"",IFERROR(INDEX(ISIN!$B:$B,MATCH($R1067,ISIN!$C:$C,0))),)</f>
        <v/>
      </c>
      <c r="R1067" s="38" t="str">
        <f t="array" ref="R1067">IF($E1067&lt;&gt;"",IFERROR(INDEX(ISIN!$C:$C,MATCH($E1067,ISIN!$A:$A,0)),IFERROR(INDEX($R1068:$R1200,MATCH($K1067,$K1068:$K1200,0)))),IF(AND($Y1067="change",$H1067="EUR"),IF($O1067=$O1068,$R1068,IF($O1067=$O1066,$R1066)),IFERROR(INDEX($R1068:$R1200,MATCH(SUBSTITUTE($I1067,"-","",1),$K1068:$K1200,0)))))</f>
        <v/>
      </c>
      <c r="S1067" s="37" t="str">
        <f t="shared" si="1"/>
        <v/>
      </c>
      <c r="T1067" s="39" t="str">
        <f t="shared" si="2"/>
        <v/>
      </c>
      <c r="U1067" s="40" t="str">
        <f t="shared" si="3"/>
        <v/>
      </c>
      <c r="V1067" s="34" t="str">
        <f t="shared" si="4"/>
        <v/>
      </c>
      <c r="W1067" s="41" t="str">
        <f>IFERROR(__xludf.DUMMYFUNCTION(" IF(Account!$F1067&lt;&gt;"""", SPLIT(Account!$F1067, "" ""), """")"),"")</f>
        <v/>
      </c>
      <c r="X1067" s="42"/>
      <c r="Y1067" s="42"/>
      <c r="Z1067" s="42"/>
      <c r="AA1067" s="42"/>
      <c r="AB1067" s="42"/>
      <c r="AC1067" s="42"/>
      <c r="AD1067" s="42"/>
      <c r="AE1067" s="42"/>
      <c r="AF1067" s="42"/>
      <c r="AG1067" s="42"/>
      <c r="AH1067" s="42"/>
      <c r="AI1067" s="42"/>
      <c r="AJ1067" s="42"/>
      <c r="AK1067" s="42"/>
    </row>
    <row r="1068">
      <c r="A1068" s="20"/>
      <c r="B1068" s="20"/>
      <c r="C1068" s="20"/>
      <c r="D1068" s="20"/>
      <c r="E1068" s="20"/>
      <c r="F1068" s="21"/>
      <c r="G1068" s="45"/>
      <c r="H1068" s="20"/>
      <c r="I1068" s="20"/>
      <c r="J1068" s="20"/>
      <c r="K1068" s="20"/>
      <c r="L1068" s="46"/>
      <c r="M1068" s="33" t="str">
        <f>IFERROR(__xludf.DUMMYFUNCTION("IFS(W1068=""Achat"",IFERROR(VALUE(X1068),VALUE(REGEXREPLACE(T(X1068),""[^0-9]"",""""))),W1068=""Vente"",-IFERROR(VALUE(X1068),VALUE(REGEXREPLACE(T(X1068),""[^0-9]"",""""))),Y1068=""Change"",0,Y1068&lt;&gt;""Change"","""")"),"")</f>
        <v/>
      </c>
      <c r="N1068" s="34" t="str">
        <f>IFERROR(__xludf.DUMMYFUNCTION("IF(Account!$F1068&lt;&gt;"""", VALUE(REGEXREPLACE($I1068, ""\,"", ""."")), """")"),"")</f>
        <v/>
      </c>
      <c r="O1068" s="35" t="str">
        <f>IF(Account!$F1068&lt;&gt;"", DATEVALUE(MID($A1068,4,3) &amp; LEFT($A1068,3) &amp; RIGHT($A1068,4)) + TIMEVALUE($B1068), "")</f>
        <v/>
      </c>
      <c r="P1068" s="36" t="str">
        <f>IF(Account!$F1068&lt;&gt;"", DATEVALUE(MID($C1068,4,3) &amp; LEFT($C1068,3) &amp; RIGHT($C1068,4)), "")</f>
        <v/>
      </c>
      <c r="Q1068" s="37" t="str">
        <f t="array" ref="Q1068">IF($R1068&lt;&gt;"",IFERROR(INDEX(ISIN!$B:$B,MATCH($R1068,ISIN!$C:$C,0))),)</f>
        <v/>
      </c>
      <c r="R1068" s="38" t="str">
        <f t="array" ref="R1068">IF($E1068&lt;&gt;"",IFERROR(INDEX(ISIN!$C:$C,MATCH($E1068,ISIN!$A:$A,0)),IFERROR(INDEX($R1069:$R1200,MATCH($K1068,$K1069:$K1200,0)))),IF(AND($Y1068="change",$H1068="EUR"),IF($O1068=$O1069,$R1069,IF($O1068=$O1067,$R1067)),IFERROR(INDEX($R1069:$R1200,MATCH(SUBSTITUTE($I1068,"-","",1),$K1069:$K1200,0)))))</f>
        <v/>
      </c>
      <c r="S1068" s="37" t="str">
        <f t="shared" si="1"/>
        <v/>
      </c>
      <c r="T1068" s="39" t="str">
        <f t="shared" si="2"/>
        <v/>
      </c>
      <c r="U1068" s="40" t="str">
        <f t="shared" si="3"/>
        <v/>
      </c>
      <c r="V1068" s="34" t="str">
        <f t="shared" si="4"/>
        <v/>
      </c>
      <c r="W1068" s="41" t="str">
        <f>IFERROR(__xludf.DUMMYFUNCTION(" IF(Account!$F1068&lt;&gt;"""", SPLIT(Account!$F1068, "" ""), """")"),"")</f>
        <v/>
      </c>
      <c r="X1068" s="42"/>
      <c r="Y1068" s="42"/>
      <c r="Z1068" s="42"/>
      <c r="AA1068" s="42"/>
      <c r="AB1068" s="42"/>
      <c r="AC1068" s="42"/>
      <c r="AD1068" s="42"/>
      <c r="AE1068" s="42"/>
      <c r="AF1068" s="42"/>
      <c r="AG1068" s="42"/>
      <c r="AH1068" s="42"/>
      <c r="AI1068" s="42"/>
      <c r="AJ1068" s="42"/>
      <c r="AK1068" s="42"/>
    </row>
    <row r="1069">
      <c r="A1069" s="20"/>
      <c r="B1069" s="20"/>
      <c r="C1069" s="20"/>
      <c r="D1069" s="20"/>
      <c r="E1069" s="20"/>
      <c r="F1069" s="21"/>
      <c r="G1069" s="45"/>
      <c r="H1069" s="20"/>
      <c r="I1069" s="20"/>
      <c r="J1069" s="20"/>
      <c r="K1069" s="20"/>
      <c r="L1069" s="46"/>
      <c r="M1069" s="33" t="str">
        <f>IFERROR(__xludf.DUMMYFUNCTION("IFS(W1069=""Achat"",IFERROR(VALUE(X1069),VALUE(REGEXREPLACE(T(X1069),""[^0-9]"",""""))),W1069=""Vente"",-IFERROR(VALUE(X1069),VALUE(REGEXREPLACE(T(X1069),""[^0-9]"",""""))),Y1069=""Change"",0,Y1069&lt;&gt;""Change"","""")"),"")</f>
        <v/>
      </c>
      <c r="N1069" s="34" t="str">
        <f>IFERROR(__xludf.DUMMYFUNCTION("IF(Account!$F1069&lt;&gt;"""", VALUE(REGEXREPLACE($I1069, ""\,"", ""."")), """")"),"")</f>
        <v/>
      </c>
      <c r="O1069" s="35" t="str">
        <f>IF(Account!$F1069&lt;&gt;"", DATEVALUE(MID($A1069,4,3) &amp; LEFT($A1069,3) &amp; RIGHT($A1069,4)) + TIMEVALUE($B1069), "")</f>
        <v/>
      </c>
      <c r="P1069" s="36" t="str">
        <f>IF(Account!$F1069&lt;&gt;"", DATEVALUE(MID($C1069,4,3) &amp; LEFT($C1069,3) &amp; RIGHT($C1069,4)), "")</f>
        <v/>
      </c>
      <c r="Q1069" s="37" t="str">
        <f t="array" ref="Q1069">IF($R1069&lt;&gt;"",IFERROR(INDEX(ISIN!$B:$B,MATCH($R1069,ISIN!$C:$C,0))),)</f>
        <v/>
      </c>
      <c r="R1069" s="38" t="str">
        <f t="array" ref="R1069">IF($E1069&lt;&gt;"",IFERROR(INDEX(ISIN!$C:$C,MATCH($E1069,ISIN!$A:$A,0)),IFERROR(INDEX($R1070:$R1200,MATCH($K1069,$K1070:$K1200,0)))),IF(AND($Y1069="change",$H1069="EUR"),IF($O1069=$O1070,$R1070,IF($O1069=$O1068,$R1068)),IFERROR(INDEX($R1070:$R1200,MATCH(SUBSTITUTE($I1069,"-","",1),$K1070:$K1200,0)))))</f>
        <v/>
      </c>
      <c r="S1069" s="37" t="str">
        <f t="shared" si="1"/>
        <v/>
      </c>
      <c r="T1069" s="39" t="str">
        <f t="shared" si="2"/>
        <v/>
      </c>
      <c r="U1069" s="40" t="str">
        <f t="shared" si="3"/>
        <v/>
      </c>
      <c r="V1069" s="34" t="str">
        <f t="shared" si="4"/>
        <v/>
      </c>
      <c r="W1069" s="41" t="str">
        <f>IFERROR(__xludf.DUMMYFUNCTION(" IF(Account!$F1069&lt;&gt;"""", SPLIT(Account!$F1069, "" ""), """")"),"")</f>
        <v/>
      </c>
      <c r="X1069" s="42"/>
      <c r="Y1069" s="42"/>
      <c r="Z1069" s="42"/>
      <c r="AA1069" s="42"/>
      <c r="AB1069" s="42"/>
      <c r="AC1069" s="42"/>
      <c r="AD1069" s="42"/>
      <c r="AE1069" s="42"/>
      <c r="AF1069" s="42"/>
      <c r="AG1069" s="42"/>
      <c r="AH1069" s="42"/>
      <c r="AI1069" s="42"/>
      <c r="AJ1069" s="42"/>
      <c r="AK1069" s="42"/>
    </row>
    <row r="1070">
      <c r="A1070" s="20"/>
      <c r="B1070" s="20"/>
      <c r="C1070" s="20"/>
      <c r="D1070" s="20"/>
      <c r="E1070" s="20"/>
      <c r="F1070" s="21"/>
      <c r="G1070" s="20"/>
      <c r="H1070" s="20"/>
      <c r="I1070" s="20"/>
      <c r="J1070" s="20"/>
      <c r="K1070" s="20"/>
      <c r="L1070" s="21"/>
      <c r="M1070" s="33" t="str">
        <f>IFERROR(__xludf.DUMMYFUNCTION("IFS(W1070=""Achat"",IFERROR(VALUE(X1070),VALUE(REGEXREPLACE(T(X1070),""[^0-9]"",""""))),W1070=""Vente"",-IFERROR(VALUE(X1070),VALUE(REGEXREPLACE(T(X1070),""[^0-9]"",""""))),Y1070=""Change"",0,Y1070&lt;&gt;""Change"","""")"),"")</f>
        <v/>
      </c>
      <c r="N1070" s="34" t="str">
        <f>IFERROR(__xludf.DUMMYFUNCTION("IF(Account!$F1070&lt;&gt;"""", VALUE(REGEXREPLACE($I1070, ""\,"", ""."")), """")"),"")</f>
        <v/>
      </c>
      <c r="O1070" s="35" t="str">
        <f>IF(Account!$F1070&lt;&gt;"", DATEVALUE(MID($A1070,4,3) &amp; LEFT($A1070,3) &amp; RIGHT($A1070,4)) + TIMEVALUE($B1070), "")</f>
        <v/>
      </c>
      <c r="P1070" s="36" t="str">
        <f>IF(Account!$F1070&lt;&gt;"", DATEVALUE(MID($C1070,4,3) &amp; LEFT($C1070,3) &amp; RIGHT($C1070,4)), "")</f>
        <v/>
      </c>
      <c r="Q1070" s="37" t="str">
        <f t="array" ref="Q1070">IF($R1070&lt;&gt;"",IFERROR(INDEX(ISIN!$B:$B,MATCH($R1070,ISIN!$C:$C,0))),)</f>
        <v/>
      </c>
      <c r="R1070" s="38" t="str">
        <f t="array" ref="R1070">IF($E1070&lt;&gt;"",IFERROR(INDEX(ISIN!$C:$C,MATCH($E1070,ISIN!$A:$A,0)),IFERROR(INDEX($R1071:$R1200,MATCH($K1070,$K1071:$K1200,0)))),IF(AND($Y1070="change",$H1070="EUR"),IF($O1070=$O1071,$R1071,IF($O1070=$O1069,$R1069)),IFERROR(INDEX($R1071:$R1200,MATCH(SUBSTITUTE($I1070,"-","",1),$K1071:$K1200,0)))))</f>
        <v/>
      </c>
      <c r="S1070" s="37" t="str">
        <f t="shared" si="1"/>
        <v/>
      </c>
      <c r="T1070" s="39" t="str">
        <f t="shared" si="2"/>
        <v/>
      </c>
      <c r="U1070" s="40" t="str">
        <f t="shared" si="3"/>
        <v/>
      </c>
      <c r="V1070" s="34" t="str">
        <f t="shared" si="4"/>
        <v/>
      </c>
      <c r="W1070" s="41" t="str">
        <f>IFERROR(__xludf.DUMMYFUNCTION(" IF(Account!$F1070&lt;&gt;"""", SPLIT(Account!$F1070, "" ""), """")"),"")</f>
        <v/>
      </c>
      <c r="X1070" s="42"/>
      <c r="Y1070" s="42"/>
      <c r="Z1070" s="42"/>
      <c r="AA1070" s="42"/>
      <c r="AB1070" s="42"/>
      <c r="AC1070" s="42"/>
      <c r="AD1070" s="42"/>
      <c r="AE1070" s="42"/>
      <c r="AF1070" s="42"/>
      <c r="AG1070" s="42"/>
      <c r="AH1070" s="42"/>
      <c r="AI1070" s="42"/>
      <c r="AJ1070" s="42"/>
      <c r="AK1070" s="42"/>
    </row>
    <row r="1071">
      <c r="A1071" s="20"/>
      <c r="B1071" s="20"/>
      <c r="C1071" s="20"/>
      <c r="D1071" s="20"/>
      <c r="E1071" s="20"/>
      <c r="F1071" s="21"/>
      <c r="G1071" s="45"/>
      <c r="H1071" s="20"/>
      <c r="I1071" s="20"/>
      <c r="J1071" s="20"/>
      <c r="K1071" s="20"/>
      <c r="L1071" s="21"/>
      <c r="M1071" s="33" t="str">
        <f>IFERROR(__xludf.DUMMYFUNCTION("IFS(W1071=""Achat"",IFERROR(VALUE(X1071),VALUE(REGEXREPLACE(T(X1071),""[^0-9]"",""""))),W1071=""Vente"",-IFERROR(VALUE(X1071),VALUE(REGEXREPLACE(T(X1071),""[^0-9]"",""""))),Y1071=""Change"",0,Y1071&lt;&gt;""Change"","""")"),"")</f>
        <v/>
      </c>
      <c r="N1071" s="34" t="str">
        <f>IFERROR(__xludf.DUMMYFUNCTION("IF(Account!$F1071&lt;&gt;"""", VALUE(REGEXREPLACE($I1071, ""\,"", ""."")), """")"),"")</f>
        <v/>
      </c>
      <c r="O1071" s="35" t="str">
        <f>IF(Account!$F1071&lt;&gt;"", DATEVALUE(MID($A1071,4,3) &amp; LEFT($A1071,3) &amp; RIGHT($A1071,4)) + TIMEVALUE($B1071), "")</f>
        <v/>
      </c>
      <c r="P1071" s="36" t="str">
        <f>IF(Account!$F1071&lt;&gt;"", DATEVALUE(MID($C1071,4,3) &amp; LEFT($C1071,3) &amp; RIGHT($C1071,4)), "")</f>
        <v/>
      </c>
      <c r="Q1071" s="37" t="str">
        <f t="array" ref="Q1071">IF($R1071&lt;&gt;"",IFERROR(INDEX(ISIN!$B:$B,MATCH($R1071,ISIN!$C:$C,0))),)</f>
        <v/>
      </c>
      <c r="R1071" s="38" t="str">
        <f t="array" ref="R1071">IF($E1071&lt;&gt;"",IFERROR(INDEX(ISIN!$C:$C,MATCH($E1071,ISIN!$A:$A,0)),IFERROR(INDEX($R1072:$R1200,MATCH($K1071,$K1072:$K1200,0)))),IF(AND($Y1071="change",$H1071="EUR"),IF($O1071=$O1072,$R1072,IF($O1071=$O1070,$R1070)),IFERROR(INDEX($R1072:$R1200,MATCH(SUBSTITUTE($I1071,"-","",1),$K1072:$K1200,0)))))</f>
        <v/>
      </c>
      <c r="S1071" s="37" t="str">
        <f t="shared" si="1"/>
        <v/>
      </c>
      <c r="T1071" s="39" t="str">
        <f t="shared" si="2"/>
        <v/>
      </c>
      <c r="U1071" s="40" t="str">
        <f t="shared" si="3"/>
        <v/>
      </c>
      <c r="V1071" s="34" t="str">
        <f t="shared" si="4"/>
        <v/>
      </c>
      <c r="W1071" s="41" t="str">
        <f>IFERROR(__xludf.DUMMYFUNCTION(" IF(Account!$F1071&lt;&gt;"""", SPLIT(Account!$F1071, "" ""), """")"),"")</f>
        <v/>
      </c>
      <c r="X1071" s="42"/>
      <c r="Y1071" s="42"/>
      <c r="Z1071" s="42"/>
      <c r="AA1071" s="42"/>
      <c r="AB1071" s="42"/>
      <c r="AC1071" s="42"/>
      <c r="AD1071" s="42"/>
      <c r="AE1071" s="42"/>
      <c r="AF1071" s="42"/>
      <c r="AG1071" s="42"/>
      <c r="AH1071" s="42"/>
      <c r="AI1071" s="42"/>
      <c r="AJ1071" s="42"/>
      <c r="AK1071" s="42"/>
    </row>
    <row r="1072">
      <c r="A1072" s="20"/>
      <c r="B1072" s="20"/>
      <c r="C1072" s="20"/>
      <c r="D1072" s="20"/>
      <c r="E1072" s="20"/>
      <c r="F1072" s="21"/>
      <c r="G1072" s="20"/>
      <c r="H1072" s="20"/>
      <c r="I1072" s="20"/>
      <c r="J1072" s="20"/>
      <c r="K1072" s="20"/>
      <c r="L1072" s="21"/>
      <c r="M1072" s="33" t="str">
        <f>IFERROR(__xludf.DUMMYFUNCTION("IFS(W1072=""Achat"",IFERROR(VALUE(X1072),VALUE(REGEXREPLACE(T(X1072),""[^0-9]"",""""))),W1072=""Vente"",-IFERROR(VALUE(X1072),VALUE(REGEXREPLACE(T(X1072),""[^0-9]"",""""))),Y1072=""Change"",0,Y1072&lt;&gt;""Change"","""")"),"")</f>
        <v/>
      </c>
      <c r="N1072" s="34" t="str">
        <f>IFERROR(__xludf.DUMMYFUNCTION("IF(Account!$F1072&lt;&gt;"""", VALUE(REGEXREPLACE($I1072, ""\,"", ""."")), """")"),"")</f>
        <v/>
      </c>
      <c r="O1072" s="35" t="str">
        <f>IF(Account!$F1072&lt;&gt;"", DATEVALUE(MID($A1072,4,3) &amp; LEFT($A1072,3) &amp; RIGHT($A1072,4)) + TIMEVALUE($B1072), "")</f>
        <v/>
      </c>
      <c r="P1072" s="36" t="str">
        <f>IF(Account!$F1072&lt;&gt;"", DATEVALUE(MID($C1072,4,3) &amp; LEFT($C1072,3) &amp; RIGHT($C1072,4)), "")</f>
        <v/>
      </c>
      <c r="Q1072" s="37" t="str">
        <f t="array" ref="Q1072">IF($R1072&lt;&gt;"",IFERROR(INDEX(ISIN!$B:$B,MATCH($R1072,ISIN!$C:$C,0))),)</f>
        <v/>
      </c>
      <c r="R1072" s="38" t="str">
        <f t="array" ref="R1072">IF($E1072&lt;&gt;"",IFERROR(INDEX(ISIN!$C:$C,MATCH($E1072,ISIN!$A:$A,0)),IFERROR(INDEX($R1073:$R1200,MATCH($K1072,$K1073:$K1200,0)))),IF(AND($Y1072="change",$H1072="EUR"),IF($O1072=$O1073,$R1073,IF($O1072=$O1071,$R1071)),IFERROR(INDEX($R1073:$R1200,MATCH(SUBSTITUTE($I1072,"-","",1),$K1073:$K1200,0)))))</f>
        <v/>
      </c>
      <c r="S1072" s="37" t="str">
        <f t="shared" si="1"/>
        <v/>
      </c>
      <c r="T1072" s="39" t="str">
        <f t="shared" si="2"/>
        <v/>
      </c>
      <c r="U1072" s="40" t="str">
        <f t="shared" si="3"/>
        <v/>
      </c>
      <c r="V1072" s="34" t="str">
        <f t="shared" si="4"/>
        <v/>
      </c>
      <c r="W1072" s="41" t="str">
        <f>IFERROR(__xludf.DUMMYFUNCTION(" IF(Account!$F1072&lt;&gt;"""", SPLIT(Account!$F1072, "" ""), """")"),"")</f>
        <v/>
      </c>
      <c r="X1072" s="42"/>
      <c r="Y1072" s="42"/>
      <c r="Z1072" s="42"/>
      <c r="AA1072" s="42"/>
      <c r="AB1072" s="42"/>
      <c r="AC1072" s="42"/>
      <c r="AD1072" s="42"/>
      <c r="AE1072" s="42"/>
      <c r="AF1072" s="42"/>
      <c r="AG1072" s="42"/>
      <c r="AH1072" s="42"/>
      <c r="AI1072" s="42"/>
      <c r="AJ1072" s="42"/>
      <c r="AK1072" s="42"/>
    </row>
    <row r="1073">
      <c r="A1073" s="20"/>
      <c r="B1073" s="20"/>
      <c r="C1073" s="20"/>
      <c r="D1073" s="20"/>
      <c r="E1073" s="20"/>
      <c r="F1073" s="21"/>
      <c r="G1073" s="45"/>
      <c r="H1073" s="20"/>
      <c r="I1073" s="20"/>
      <c r="J1073" s="20"/>
      <c r="K1073" s="20"/>
      <c r="L1073" s="21"/>
      <c r="M1073" s="33" t="str">
        <f>IFERROR(__xludf.DUMMYFUNCTION("IFS(W1073=""Achat"",IFERROR(VALUE(X1073),VALUE(REGEXREPLACE(T(X1073),""[^0-9]"",""""))),W1073=""Vente"",-IFERROR(VALUE(X1073),VALUE(REGEXREPLACE(T(X1073),""[^0-9]"",""""))),Y1073=""Change"",0,Y1073&lt;&gt;""Change"","""")"),"")</f>
        <v/>
      </c>
      <c r="N1073" s="34" t="str">
        <f>IFERROR(__xludf.DUMMYFUNCTION("IF(Account!$F1073&lt;&gt;"""", VALUE(REGEXREPLACE($I1073, ""\,"", ""."")), """")"),"")</f>
        <v/>
      </c>
      <c r="O1073" s="35" t="str">
        <f>IF(Account!$F1073&lt;&gt;"", DATEVALUE(MID($A1073,4,3) &amp; LEFT($A1073,3) &amp; RIGHT($A1073,4)) + TIMEVALUE($B1073), "")</f>
        <v/>
      </c>
      <c r="P1073" s="36" t="str">
        <f>IF(Account!$F1073&lt;&gt;"", DATEVALUE(MID($C1073,4,3) &amp; LEFT($C1073,3) &amp; RIGHT($C1073,4)), "")</f>
        <v/>
      </c>
      <c r="Q1073" s="37" t="str">
        <f t="array" ref="Q1073">IF($R1073&lt;&gt;"",IFERROR(INDEX(ISIN!$B:$B,MATCH($R1073,ISIN!$C:$C,0))),)</f>
        <v/>
      </c>
      <c r="R1073" s="38" t="str">
        <f t="array" ref="R1073">IF($E1073&lt;&gt;"",IFERROR(INDEX(ISIN!$C:$C,MATCH($E1073,ISIN!$A:$A,0)),IFERROR(INDEX($R1074:$R1200,MATCH($K1073,$K1074:$K1200,0)))),IF(AND($Y1073="change",$H1073="EUR"),IF($O1073=$O1074,$R1074,IF($O1073=$O1072,$R1072)),IFERROR(INDEX($R1074:$R1200,MATCH(SUBSTITUTE($I1073,"-","",1),$K1074:$K1200,0)))))</f>
        <v/>
      </c>
      <c r="S1073" s="37" t="str">
        <f t="shared" si="1"/>
        <v/>
      </c>
      <c r="T1073" s="39" t="str">
        <f t="shared" si="2"/>
        <v/>
      </c>
      <c r="U1073" s="40" t="str">
        <f t="shared" si="3"/>
        <v/>
      </c>
      <c r="V1073" s="34" t="str">
        <f t="shared" si="4"/>
        <v/>
      </c>
      <c r="W1073" s="41" t="str">
        <f>IFERROR(__xludf.DUMMYFUNCTION(" IF(Account!$F1073&lt;&gt;"""", SPLIT(Account!$F1073, "" ""), """")"),"")</f>
        <v/>
      </c>
      <c r="X1073" s="42"/>
      <c r="Y1073" s="42"/>
      <c r="Z1073" s="42"/>
      <c r="AA1073" s="42"/>
      <c r="AB1073" s="42"/>
      <c r="AC1073" s="42"/>
      <c r="AD1073" s="42"/>
      <c r="AE1073" s="42"/>
      <c r="AF1073" s="42"/>
      <c r="AG1073" s="42"/>
      <c r="AH1073" s="42"/>
      <c r="AI1073" s="42"/>
      <c r="AJ1073" s="42"/>
      <c r="AK1073" s="42"/>
    </row>
    <row r="1074">
      <c r="A1074" s="20"/>
      <c r="B1074" s="20"/>
      <c r="C1074" s="20"/>
      <c r="D1074" s="20"/>
      <c r="E1074" s="20"/>
      <c r="F1074" s="21"/>
      <c r="G1074" s="20"/>
      <c r="H1074" s="20"/>
      <c r="I1074" s="20"/>
      <c r="J1074" s="20"/>
      <c r="K1074" s="20"/>
      <c r="L1074" s="21"/>
      <c r="M1074" s="33" t="str">
        <f>IFERROR(__xludf.DUMMYFUNCTION("IFS(W1074=""Achat"",IFERROR(VALUE(X1074),VALUE(REGEXREPLACE(T(X1074),""[^0-9]"",""""))),W1074=""Vente"",-IFERROR(VALUE(X1074),VALUE(REGEXREPLACE(T(X1074),""[^0-9]"",""""))),Y1074=""Change"",0,Y1074&lt;&gt;""Change"","""")"),"")</f>
        <v/>
      </c>
      <c r="N1074" s="34" t="str">
        <f>IFERROR(__xludf.DUMMYFUNCTION("IF(Account!$F1074&lt;&gt;"""", VALUE(REGEXREPLACE($I1074, ""\,"", ""."")), """")"),"")</f>
        <v/>
      </c>
      <c r="O1074" s="35" t="str">
        <f>IF(Account!$F1074&lt;&gt;"", DATEVALUE(MID($A1074,4,3) &amp; LEFT($A1074,3) &amp; RIGHT($A1074,4)) + TIMEVALUE($B1074), "")</f>
        <v/>
      </c>
      <c r="P1074" s="36" t="str">
        <f>IF(Account!$F1074&lt;&gt;"", DATEVALUE(MID($C1074,4,3) &amp; LEFT($C1074,3) &amp; RIGHT($C1074,4)), "")</f>
        <v/>
      </c>
      <c r="Q1074" s="37" t="str">
        <f t="array" ref="Q1074">IF($R1074&lt;&gt;"",IFERROR(INDEX(ISIN!$B:$B,MATCH($R1074,ISIN!$C:$C,0))),)</f>
        <v/>
      </c>
      <c r="R1074" s="38" t="str">
        <f t="array" ref="R1074">IF($E1074&lt;&gt;"",IFERROR(INDEX(ISIN!$C:$C,MATCH($E1074,ISIN!$A:$A,0)),IFERROR(INDEX($R1075:$R1200,MATCH($K1074,$K1075:$K1200,0)))),IF(AND($Y1074="change",$H1074="EUR"),IF($O1074=$O1075,$R1075,IF($O1074=$O1073,$R1073)),IFERROR(INDEX($R1075:$R1200,MATCH(SUBSTITUTE($I1074,"-","",1),$K1075:$K1200,0)))))</f>
        <v/>
      </c>
      <c r="S1074" s="37" t="str">
        <f t="shared" si="1"/>
        <v/>
      </c>
      <c r="T1074" s="39" t="str">
        <f t="shared" si="2"/>
        <v/>
      </c>
      <c r="U1074" s="40" t="str">
        <f t="shared" si="3"/>
        <v/>
      </c>
      <c r="V1074" s="34" t="str">
        <f t="shared" si="4"/>
        <v/>
      </c>
      <c r="W1074" s="41" t="str">
        <f>IFERROR(__xludf.DUMMYFUNCTION(" IF(Account!$F1074&lt;&gt;"""", SPLIT(Account!$F1074, "" ""), """")"),"")</f>
        <v/>
      </c>
      <c r="X1074" s="42"/>
      <c r="Y1074" s="42"/>
      <c r="Z1074" s="42"/>
      <c r="AA1074" s="42"/>
      <c r="AB1074" s="42"/>
      <c r="AC1074" s="42"/>
      <c r="AD1074" s="42"/>
      <c r="AE1074" s="42"/>
      <c r="AF1074" s="42"/>
      <c r="AG1074" s="42"/>
      <c r="AH1074" s="42"/>
      <c r="AI1074" s="42"/>
      <c r="AJ1074" s="42"/>
      <c r="AK1074" s="42"/>
    </row>
    <row r="1075">
      <c r="A1075" s="20"/>
      <c r="B1075" s="20"/>
      <c r="C1075" s="20"/>
      <c r="D1075" s="20"/>
      <c r="E1075" s="20"/>
      <c r="F1075" s="21"/>
      <c r="G1075" s="45"/>
      <c r="H1075" s="20"/>
      <c r="I1075" s="20"/>
      <c r="J1075" s="20"/>
      <c r="K1075" s="20"/>
      <c r="L1075" s="21"/>
      <c r="M1075" s="33" t="str">
        <f>IFERROR(__xludf.DUMMYFUNCTION("IFS(W1075=""Achat"",IFERROR(VALUE(X1075),VALUE(REGEXREPLACE(T(X1075),""[^0-9]"",""""))),W1075=""Vente"",-IFERROR(VALUE(X1075),VALUE(REGEXREPLACE(T(X1075),""[^0-9]"",""""))),Y1075=""Change"",0,Y1075&lt;&gt;""Change"","""")"),"")</f>
        <v/>
      </c>
      <c r="N1075" s="34" t="str">
        <f>IFERROR(__xludf.DUMMYFUNCTION("IF(Account!$F1075&lt;&gt;"""", VALUE(REGEXREPLACE($I1075, ""\,"", ""."")), """")"),"")</f>
        <v/>
      </c>
      <c r="O1075" s="35" t="str">
        <f>IF(Account!$F1075&lt;&gt;"", DATEVALUE(MID($A1075,4,3) &amp; LEFT($A1075,3) &amp; RIGHT($A1075,4)) + TIMEVALUE($B1075), "")</f>
        <v/>
      </c>
      <c r="P1075" s="36" t="str">
        <f>IF(Account!$F1075&lt;&gt;"", DATEVALUE(MID($C1075,4,3) &amp; LEFT($C1075,3) &amp; RIGHT($C1075,4)), "")</f>
        <v/>
      </c>
      <c r="Q1075" s="37" t="str">
        <f t="array" ref="Q1075">IF($R1075&lt;&gt;"",IFERROR(INDEX(ISIN!$B:$B,MATCH($R1075,ISIN!$C:$C,0))),)</f>
        <v/>
      </c>
      <c r="R1075" s="38" t="str">
        <f t="array" ref="R1075">IF($E1075&lt;&gt;"",IFERROR(INDEX(ISIN!$C:$C,MATCH($E1075,ISIN!$A:$A,0)),IFERROR(INDEX($R1076:$R1200,MATCH($K1075,$K1076:$K1200,0)))),IF(AND($Y1075="change",$H1075="EUR"),IF($O1075=$O1076,$R1076,IF($O1075=$O1074,$R1074)),IFERROR(INDEX($R1076:$R1200,MATCH(SUBSTITUTE($I1075,"-","",1),$K1076:$K1200,0)))))</f>
        <v/>
      </c>
      <c r="S1075" s="37" t="str">
        <f t="shared" si="1"/>
        <v/>
      </c>
      <c r="T1075" s="39" t="str">
        <f t="shared" si="2"/>
        <v/>
      </c>
      <c r="U1075" s="40" t="str">
        <f t="shared" si="3"/>
        <v/>
      </c>
      <c r="V1075" s="34" t="str">
        <f t="shared" si="4"/>
        <v/>
      </c>
      <c r="W1075" s="41" t="str">
        <f>IFERROR(__xludf.DUMMYFUNCTION(" IF(Account!$F1075&lt;&gt;"""", SPLIT(Account!$F1075, "" ""), """")"),"")</f>
        <v/>
      </c>
      <c r="X1075" s="42"/>
      <c r="Y1075" s="42"/>
      <c r="Z1075" s="42"/>
      <c r="AA1075" s="42"/>
      <c r="AB1075" s="42"/>
      <c r="AC1075" s="42"/>
      <c r="AD1075" s="42"/>
      <c r="AE1075" s="42"/>
      <c r="AF1075" s="42"/>
      <c r="AG1075" s="42"/>
      <c r="AH1075" s="42"/>
      <c r="AI1075" s="42"/>
      <c r="AJ1075" s="42"/>
      <c r="AK1075" s="42"/>
    </row>
    <row r="1076">
      <c r="A1076" s="20"/>
      <c r="B1076" s="20"/>
      <c r="C1076" s="20"/>
      <c r="D1076" s="20"/>
      <c r="E1076" s="20"/>
      <c r="F1076" s="21"/>
      <c r="G1076" s="45"/>
      <c r="H1076" s="20"/>
      <c r="I1076" s="20"/>
      <c r="J1076" s="20"/>
      <c r="K1076" s="20"/>
      <c r="L1076" s="21"/>
      <c r="M1076" s="33" t="str">
        <f>IFERROR(__xludf.DUMMYFUNCTION("IFS(W1076=""Achat"",IFERROR(VALUE(X1076),VALUE(REGEXREPLACE(T(X1076),""[^0-9]"",""""))),W1076=""Vente"",-IFERROR(VALUE(X1076),VALUE(REGEXREPLACE(T(X1076),""[^0-9]"",""""))),Y1076=""Change"",0,Y1076&lt;&gt;""Change"","""")"),"")</f>
        <v/>
      </c>
      <c r="N1076" s="34" t="str">
        <f>IFERROR(__xludf.DUMMYFUNCTION("IF(Account!$F1076&lt;&gt;"""", VALUE(REGEXREPLACE($I1076, ""\,"", ""."")), """")"),"")</f>
        <v/>
      </c>
      <c r="O1076" s="35" t="str">
        <f>IF(Account!$F1076&lt;&gt;"", DATEVALUE(MID($A1076,4,3) &amp; LEFT($A1076,3) &amp; RIGHT($A1076,4)) + TIMEVALUE($B1076), "")</f>
        <v/>
      </c>
      <c r="P1076" s="36" t="str">
        <f>IF(Account!$F1076&lt;&gt;"", DATEVALUE(MID($C1076,4,3) &amp; LEFT($C1076,3) &amp; RIGHT($C1076,4)), "")</f>
        <v/>
      </c>
      <c r="Q1076" s="37" t="str">
        <f t="array" ref="Q1076">IF($R1076&lt;&gt;"",IFERROR(INDEX(ISIN!$B:$B,MATCH($R1076,ISIN!$C:$C,0))),)</f>
        <v/>
      </c>
      <c r="R1076" s="38" t="str">
        <f t="array" ref="R1076">IF($E1076&lt;&gt;"",IFERROR(INDEX(ISIN!$C:$C,MATCH($E1076,ISIN!$A:$A,0)),IFERROR(INDEX($R1077:$R1200,MATCH($K1076,$K1077:$K1200,0)))),IF(AND($Y1076="change",$H1076="EUR"),IF($O1076=$O1077,$R1077,IF($O1076=$O1075,$R1075)),IFERROR(INDEX($R1077:$R1200,MATCH(SUBSTITUTE($I1076,"-","",1),$K1077:$K1200,0)))))</f>
        <v/>
      </c>
      <c r="S1076" s="37" t="str">
        <f t="shared" si="1"/>
        <v/>
      </c>
      <c r="T1076" s="39" t="str">
        <f t="shared" si="2"/>
        <v/>
      </c>
      <c r="U1076" s="40" t="str">
        <f t="shared" si="3"/>
        <v/>
      </c>
      <c r="V1076" s="34" t="str">
        <f t="shared" si="4"/>
        <v/>
      </c>
      <c r="W1076" s="41" t="str">
        <f>IFERROR(__xludf.DUMMYFUNCTION(" IF(Account!$F1076&lt;&gt;"""", SPLIT(Account!$F1076, "" ""), """")"),"")</f>
        <v/>
      </c>
      <c r="X1076" s="42"/>
      <c r="Y1076" s="42"/>
      <c r="Z1076" s="42"/>
      <c r="AA1076" s="42"/>
      <c r="AB1076" s="42"/>
      <c r="AC1076" s="42"/>
      <c r="AD1076" s="42"/>
      <c r="AE1076" s="42"/>
      <c r="AF1076" s="42"/>
      <c r="AG1076" s="42"/>
      <c r="AH1076" s="42"/>
      <c r="AI1076" s="42"/>
      <c r="AJ1076" s="42"/>
      <c r="AK1076" s="42"/>
    </row>
    <row r="1077">
      <c r="A1077" s="20"/>
      <c r="B1077" s="20"/>
      <c r="C1077" s="20"/>
      <c r="D1077" s="20"/>
      <c r="E1077" s="20"/>
      <c r="F1077" s="21"/>
      <c r="G1077" s="45"/>
      <c r="H1077" s="20"/>
      <c r="I1077" s="20"/>
      <c r="J1077" s="20"/>
      <c r="K1077" s="20"/>
      <c r="L1077" s="21"/>
      <c r="M1077" s="33" t="str">
        <f>IFERROR(__xludf.DUMMYFUNCTION("IFS(W1077=""Achat"",IFERROR(VALUE(X1077),VALUE(REGEXREPLACE(T(X1077),""[^0-9]"",""""))),W1077=""Vente"",-IFERROR(VALUE(X1077),VALUE(REGEXREPLACE(T(X1077),""[^0-9]"",""""))),Y1077=""Change"",0,Y1077&lt;&gt;""Change"","""")"),"")</f>
        <v/>
      </c>
      <c r="N1077" s="34" t="str">
        <f>IFERROR(__xludf.DUMMYFUNCTION("IF(Account!$F1077&lt;&gt;"""", VALUE(REGEXREPLACE($I1077, ""\,"", ""."")), """")"),"")</f>
        <v/>
      </c>
      <c r="O1077" s="35" t="str">
        <f>IF(Account!$F1077&lt;&gt;"", DATEVALUE(MID($A1077,4,3) &amp; LEFT($A1077,3) &amp; RIGHT($A1077,4)) + TIMEVALUE($B1077), "")</f>
        <v/>
      </c>
      <c r="P1077" s="36" t="str">
        <f>IF(Account!$F1077&lt;&gt;"", DATEVALUE(MID($C1077,4,3) &amp; LEFT($C1077,3) &amp; RIGHT($C1077,4)), "")</f>
        <v/>
      </c>
      <c r="Q1077" s="37" t="str">
        <f t="array" ref="Q1077">IF($R1077&lt;&gt;"",IFERROR(INDEX(ISIN!$B:$B,MATCH($R1077,ISIN!$C:$C,0))),)</f>
        <v/>
      </c>
      <c r="R1077" s="38" t="str">
        <f t="array" ref="R1077">IF($E1077&lt;&gt;"",IFERROR(INDEX(ISIN!$C:$C,MATCH($E1077,ISIN!$A:$A,0)),IFERROR(INDEX($R1078:$R1200,MATCH($K1077,$K1078:$K1200,0)))),IF(AND($Y1077="change",$H1077="EUR"),IF($O1077=$O1078,$R1078,IF($O1077=$O1076,$R1076)),IFERROR(INDEX($R1078:$R1200,MATCH(SUBSTITUTE($I1077,"-","",1),$K1078:$K1200,0)))))</f>
        <v/>
      </c>
      <c r="S1077" s="37" t="str">
        <f t="shared" si="1"/>
        <v/>
      </c>
      <c r="T1077" s="39" t="str">
        <f t="shared" si="2"/>
        <v/>
      </c>
      <c r="U1077" s="40" t="str">
        <f t="shared" si="3"/>
        <v/>
      </c>
      <c r="V1077" s="34" t="str">
        <f t="shared" si="4"/>
        <v/>
      </c>
      <c r="W1077" s="41" t="str">
        <f>IFERROR(__xludf.DUMMYFUNCTION(" IF(Account!$F1077&lt;&gt;"""", SPLIT(Account!$F1077, "" ""), """")"),"")</f>
        <v/>
      </c>
      <c r="X1077" s="42"/>
      <c r="Y1077" s="42"/>
      <c r="Z1077" s="42"/>
      <c r="AA1077" s="42"/>
      <c r="AB1077" s="42"/>
      <c r="AC1077" s="42"/>
      <c r="AD1077" s="42"/>
      <c r="AE1077" s="42"/>
      <c r="AF1077" s="42"/>
      <c r="AG1077" s="42"/>
      <c r="AH1077" s="42"/>
      <c r="AI1077" s="42"/>
      <c r="AJ1077" s="42"/>
      <c r="AK1077" s="42"/>
    </row>
    <row r="1078">
      <c r="A1078" s="20"/>
      <c r="B1078" s="20"/>
      <c r="C1078" s="20"/>
      <c r="D1078" s="20"/>
      <c r="E1078" s="20"/>
      <c r="F1078" s="21"/>
      <c r="G1078" s="45"/>
      <c r="H1078" s="20"/>
      <c r="I1078" s="20"/>
      <c r="J1078" s="20"/>
      <c r="K1078" s="20"/>
      <c r="L1078" s="21"/>
      <c r="M1078" s="33" t="str">
        <f>IFERROR(__xludf.DUMMYFUNCTION("IFS(W1078=""Achat"",IFERROR(VALUE(X1078),VALUE(REGEXREPLACE(T(X1078),""[^0-9]"",""""))),W1078=""Vente"",-IFERROR(VALUE(X1078),VALUE(REGEXREPLACE(T(X1078),""[^0-9]"",""""))),Y1078=""Change"",0,Y1078&lt;&gt;""Change"","""")"),"")</f>
        <v/>
      </c>
      <c r="N1078" s="34" t="str">
        <f>IFERROR(__xludf.DUMMYFUNCTION("IF(Account!$F1078&lt;&gt;"""", VALUE(REGEXREPLACE($I1078, ""\,"", ""."")), """")"),"")</f>
        <v/>
      </c>
      <c r="O1078" s="35" t="str">
        <f>IF(Account!$F1078&lt;&gt;"", DATEVALUE(MID($A1078,4,3) &amp; LEFT($A1078,3) &amp; RIGHT($A1078,4)) + TIMEVALUE($B1078), "")</f>
        <v/>
      </c>
      <c r="P1078" s="36" t="str">
        <f>IF(Account!$F1078&lt;&gt;"", DATEVALUE(MID($C1078,4,3) &amp; LEFT($C1078,3) &amp; RIGHT($C1078,4)), "")</f>
        <v/>
      </c>
      <c r="Q1078" s="37" t="str">
        <f t="array" ref="Q1078">IF($R1078&lt;&gt;"",IFERROR(INDEX(ISIN!$B:$B,MATCH($R1078,ISIN!$C:$C,0))),)</f>
        <v/>
      </c>
      <c r="R1078" s="38" t="str">
        <f t="array" ref="R1078">IF($E1078&lt;&gt;"",IFERROR(INDEX(ISIN!$C:$C,MATCH($E1078,ISIN!$A:$A,0)),IFERROR(INDEX($R1079:$R1200,MATCH($K1078,$K1079:$K1200,0)))),IF(AND($Y1078="change",$H1078="EUR"),IF($O1078=$O1079,$R1079,IF($O1078=$O1077,$R1077)),IFERROR(INDEX($R1079:$R1200,MATCH(SUBSTITUTE($I1078,"-","",1),$K1079:$K1200,0)))))</f>
        <v/>
      </c>
      <c r="S1078" s="37" t="str">
        <f t="shared" si="1"/>
        <v/>
      </c>
      <c r="T1078" s="39" t="str">
        <f t="shared" si="2"/>
        <v/>
      </c>
      <c r="U1078" s="40" t="str">
        <f t="shared" si="3"/>
        <v/>
      </c>
      <c r="V1078" s="34" t="str">
        <f t="shared" si="4"/>
        <v/>
      </c>
      <c r="W1078" s="41" t="str">
        <f>IFERROR(__xludf.DUMMYFUNCTION(" IF(Account!$F1078&lt;&gt;"""", SPLIT(Account!$F1078, "" ""), """")"),"")</f>
        <v/>
      </c>
      <c r="X1078" s="42"/>
      <c r="Y1078" s="42"/>
      <c r="Z1078" s="42"/>
      <c r="AA1078" s="42"/>
      <c r="AB1078" s="42"/>
      <c r="AC1078" s="42"/>
      <c r="AD1078" s="42"/>
      <c r="AE1078" s="42"/>
      <c r="AF1078" s="42"/>
      <c r="AG1078" s="42"/>
      <c r="AH1078" s="42"/>
      <c r="AI1078" s="42"/>
      <c r="AJ1078" s="42"/>
      <c r="AK1078" s="42"/>
    </row>
    <row r="1079">
      <c r="A1079" s="20"/>
      <c r="B1079" s="20"/>
      <c r="C1079" s="20"/>
      <c r="D1079" s="20"/>
      <c r="E1079" s="20"/>
      <c r="F1079" s="21"/>
      <c r="G1079" s="20"/>
      <c r="H1079" s="20"/>
      <c r="I1079" s="20"/>
      <c r="J1079" s="20"/>
      <c r="K1079" s="20"/>
      <c r="L1079" s="21"/>
      <c r="M1079" s="33" t="str">
        <f>IFERROR(__xludf.DUMMYFUNCTION("IFS(W1079=""Achat"",IFERROR(VALUE(X1079),VALUE(REGEXREPLACE(T(X1079),""[^0-9]"",""""))),W1079=""Vente"",-IFERROR(VALUE(X1079),VALUE(REGEXREPLACE(T(X1079),""[^0-9]"",""""))),Y1079=""Change"",0,Y1079&lt;&gt;""Change"","""")"),"")</f>
        <v/>
      </c>
      <c r="N1079" s="34" t="str">
        <f>IFERROR(__xludf.DUMMYFUNCTION("IF(Account!$F1079&lt;&gt;"""", VALUE(REGEXREPLACE($I1079, ""\,"", ""."")), """")"),"")</f>
        <v/>
      </c>
      <c r="O1079" s="35" t="str">
        <f>IF(Account!$F1079&lt;&gt;"", DATEVALUE(MID($A1079,4,3) &amp; LEFT($A1079,3) &amp; RIGHT($A1079,4)) + TIMEVALUE($B1079), "")</f>
        <v/>
      </c>
      <c r="P1079" s="36" t="str">
        <f>IF(Account!$F1079&lt;&gt;"", DATEVALUE(MID($C1079,4,3) &amp; LEFT($C1079,3) &amp; RIGHT($C1079,4)), "")</f>
        <v/>
      </c>
      <c r="Q1079" s="37" t="str">
        <f t="array" ref="Q1079">IF($R1079&lt;&gt;"",IFERROR(INDEX(ISIN!$B:$B,MATCH($R1079,ISIN!$C:$C,0))),)</f>
        <v/>
      </c>
      <c r="R1079" s="38" t="str">
        <f t="array" ref="R1079">IF($E1079&lt;&gt;"",IFERROR(INDEX(ISIN!$C:$C,MATCH($E1079,ISIN!$A:$A,0)),IFERROR(INDEX($R1080:$R1200,MATCH($K1079,$K1080:$K1200,0)))),IF(AND($Y1079="change",$H1079="EUR"),IF($O1079=$O1080,$R1080,IF($O1079=$O1078,$R1078)),IFERROR(INDEX($R1080:$R1200,MATCH(SUBSTITUTE($I1079,"-","",1),$K1080:$K1200,0)))))</f>
        <v/>
      </c>
      <c r="S1079" s="37" t="str">
        <f t="shared" si="1"/>
        <v/>
      </c>
      <c r="T1079" s="39" t="str">
        <f t="shared" si="2"/>
        <v/>
      </c>
      <c r="U1079" s="40" t="str">
        <f t="shared" si="3"/>
        <v/>
      </c>
      <c r="V1079" s="34" t="str">
        <f t="shared" si="4"/>
        <v/>
      </c>
      <c r="W1079" s="41" t="str">
        <f>IFERROR(__xludf.DUMMYFUNCTION(" IF(Account!$F1079&lt;&gt;"""", SPLIT(Account!$F1079, "" ""), """")"),"")</f>
        <v/>
      </c>
      <c r="X1079" s="42"/>
      <c r="Y1079" s="42"/>
      <c r="Z1079" s="42"/>
      <c r="AA1079" s="42"/>
      <c r="AB1079" s="42"/>
      <c r="AC1079" s="42"/>
      <c r="AD1079" s="42"/>
      <c r="AE1079" s="42"/>
      <c r="AF1079" s="42"/>
      <c r="AG1079" s="42"/>
      <c r="AH1079" s="42"/>
      <c r="AI1079" s="42"/>
      <c r="AJ1079" s="42"/>
      <c r="AK1079" s="42"/>
    </row>
    <row r="1080">
      <c r="A1080" s="20"/>
      <c r="B1080" s="20"/>
      <c r="C1080" s="20"/>
      <c r="D1080" s="20"/>
      <c r="E1080" s="20"/>
      <c r="F1080" s="21"/>
      <c r="G1080" s="45"/>
      <c r="H1080" s="20"/>
      <c r="I1080" s="20"/>
      <c r="J1080" s="20"/>
      <c r="K1080" s="20"/>
      <c r="L1080" s="21"/>
      <c r="M1080" s="33" t="str">
        <f>IFERROR(__xludf.DUMMYFUNCTION("IFS(W1080=""Achat"",IFERROR(VALUE(X1080),VALUE(REGEXREPLACE(T(X1080),""[^0-9]"",""""))),W1080=""Vente"",-IFERROR(VALUE(X1080),VALUE(REGEXREPLACE(T(X1080),""[^0-9]"",""""))),Y1080=""Change"",0,Y1080&lt;&gt;""Change"","""")"),"")</f>
        <v/>
      </c>
      <c r="N1080" s="34" t="str">
        <f>IFERROR(__xludf.DUMMYFUNCTION("IF(Account!$F1080&lt;&gt;"""", VALUE(REGEXREPLACE($I1080, ""\,"", ""."")), """")"),"")</f>
        <v/>
      </c>
      <c r="O1080" s="35" t="str">
        <f>IF(Account!$F1080&lt;&gt;"", DATEVALUE(MID($A1080,4,3) &amp; LEFT($A1080,3) &amp; RIGHT($A1080,4)) + TIMEVALUE($B1080), "")</f>
        <v/>
      </c>
      <c r="P1080" s="36" t="str">
        <f>IF(Account!$F1080&lt;&gt;"", DATEVALUE(MID($C1080,4,3) &amp; LEFT($C1080,3) &amp; RIGHT($C1080,4)), "")</f>
        <v/>
      </c>
      <c r="Q1080" s="37" t="str">
        <f t="array" ref="Q1080">IF($R1080&lt;&gt;"",IFERROR(INDEX(ISIN!$B:$B,MATCH($R1080,ISIN!$C:$C,0))),)</f>
        <v/>
      </c>
      <c r="R1080" s="38" t="str">
        <f t="array" ref="R1080">IF($E1080&lt;&gt;"",IFERROR(INDEX(ISIN!$C:$C,MATCH($E1080,ISIN!$A:$A,0)),IFERROR(INDEX($R1081:$R1200,MATCH($K1080,$K1081:$K1200,0)))),IF(AND($Y1080="change",$H1080="EUR"),IF($O1080=$O1081,$R1081,IF($O1080=$O1079,$R1079)),IFERROR(INDEX($R1081:$R1200,MATCH(SUBSTITUTE($I1080,"-","",1),$K1081:$K1200,0)))))</f>
        <v/>
      </c>
      <c r="S1080" s="37" t="str">
        <f t="shared" si="1"/>
        <v/>
      </c>
      <c r="T1080" s="39" t="str">
        <f t="shared" si="2"/>
        <v/>
      </c>
      <c r="U1080" s="40" t="str">
        <f t="shared" si="3"/>
        <v/>
      </c>
      <c r="V1080" s="34" t="str">
        <f t="shared" si="4"/>
        <v/>
      </c>
      <c r="W1080" s="41" t="str">
        <f>IFERROR(__xludf.DUMMYFUNCTION(" IF(Account!$F1080&lt;&gt;"""", SPLIT(Account!$F1080, "" ""), """")"),"")</f>
        <v/>
      </c>
      <c r="X1080" s="42"/>
      <c r="Y1080" s="42"/>
      <c r="Z1080" s="42"/>
      <c r="AA1080" s="42"/>
      <c r="AB1080" s="42"/>
      <c r="AC1080" s="42"/>
      <c r="AD1080" s="42"/>
      <c r="AE1080" s="42"/>
      <c r="AF1080" s="42"/>
      <c r="AG1080" s="42"/>
      <c r="AH1080" s="42"/>
      <c r="AI1080" s="42"/>
      <c r="AJ1080" s="42"/>
      <c r="AK1080" s="42"/>
    </row>
    <row r="1081">
      <c r="A1081" s="20"/>
      <c r="B1081" s="20"/>
      <c r="C1081" s="20"/>
      <c r="D1081" s="20"/>
      <c r="E1081" s="20"/>
      <c r="F1081" s="21"/>
      <c r="G1081" s="20"/>
      <c r="H1081" s="20"/>
      <c r="I1081" s="20"/>
      <c r="J1081" s="20"/>
      <c r="K1081" s="20"/>
      <c r="L1081" s="21"/>
      <c r="M1081" s="33" t="str">
        <f>IFERROR(__xludf.DUMMYFUNCTION("IFS(W1081=""Achat"",IFERROR(VALUE(X1081),VALUE(REGEXREPLACE(T(X1081),""[^0-9]"",""""))),W1081=""Vente"",-IFERROR(VALUE(X1081),VALUE(REGEXREPLACE(T(X1081),""[^0-9]"",""""))),Y1081=""Change"",0,Y1081&lt;&gt;""Change"","""")"),"")</f>
        <v/>
      </c>
      <c r="N1081" s="34" t="str">
        <f>IFERROR(__xludf.DUMMYFUNCTION("IF(Account!$F1081&lt;&gt;"""", VALUE(REGEXREPLACE($I1081, ""\,"", ""."")), """")"),"")</f>
        <v/>
      </c>
      <c r="O1081" s="35" t="str">
        <f>IF(Account!$F1081&lt;&gt;"", DATEVALUE(MID($A1081,4,3) &amp; LEFT($A1081,3) &amp; RIGHT($A1081,4)) + TIMEVALUE($B1081), "")</f>
        <v/>
      </c>
      <c r="P1081" s="36" t="str">
        <f>IF(Account!$F1081&lt;&gt;"", DATEVALUE(MID($C1081,4,3) &amp; LEFT($C1081,3) &amp; RIGHT($C1081,4)), "")</f>
        <v/>
      </c>
      <c r="Q1081" s="37" t="str">
        <f t="array" ref="Q1081">IF($R1081&lt;&gt;"",IFERROR(INDEX(ISIN!$B:$B,MATCH($R1081,ISIN!$C:$C,0))),)</f>
        <v/>
      </c>
      <c r="R1081" s="38" t="str">
        <f t="array" ref="R1081">IF($E1081&lt;&gt;"",IFERROR(INDEX(ISIN!$C:$C,MATCH($E1081,ISIN!$A:$A,0)),IFERROR(INDEX($R1082:$R1200,MATCH($K1081,$K1082:$K1200,0)))),IF(AND($Y1081="change",$H1081="EUR"),IF($O1081=$O1082,$R1082,IF($O1081=$O1080,$R1080)),IFERROR(INDEX($R1082:$R1200,MATCH(SUBSTITUTE($I1081,"-","",1),$K1082:$K1200,0)))))</f>
        <v/>
      </c>
      <c r="S1081" s="37" t="str">
        <f t="shared" si="1"/>
        <v/>
      </c>
      <c r="T1081" s="39" t="str">
        <f t="shared" si="2"/>
        <v/>
      </c>
      <c r="U1081" s="40" t="str">
        <f t="shared" si="3"/>
        <v/>
      </c>
      <c r="V1081" s="34" t="str">
        <f t="shared" si="4"/>
        <v/>
      </c>
      <c r="W1081" s="41" t="str">
        <f>IFERROR(__xludf.DUMMYFUNCTION(" IF(Account!$F1081&lt;&gt;"""", SPLIT(Account!$F1081, "" ""), """")"),"")</f>
        <v/>
      </c>
      <c r="X1081" s="42"/>
      <c r="Y1081" s="42"/>
      <c r="Z1081" s="42"/>
      <c r="AA1081" s="42"/>
      <c r="AB1081" s="42"/>
      <c r="AC1081" s="42"/>
      <c r="AD1081" s="42"/>
      <c r="AE1081" s="42"/>
      <c r="AF1081" s="42"/>
      <c r="AG1081" s="42"/>
      <c r="AH1081" s="42"/>
      <c r="AI1081" s="42"/>
      <c r="AJ1081" s="42"/>
      <c r="AK1081" s="42"/>
    </row>
    <row r="1082">
      <c r="A1082" s="20"/>
      <c r="B1082" s="20"/>
      <c r="C1082" s="20"/>
      <c r="D1082" s="20"/>
      <c r="E1082" s="20"/>
      <c r="F1082" s="21"/>
      <c r="G1082" s="45"/>
      <c r="H1082" s="20"/>
      <c r="I1082" s="20"/>
      <c r="J1082" s="20"/>
      <c r="K1082" s="20"/>
      <c r="L1082" s="21"/>
      <c r="M1082" s="33" t="str">
        <f>IFERROR(__xludf.DUMMYFUNCTION("IFS(W1082=""Achat"",IFERROR(VALUE(X1082),VALUE(REGEXREPLACE(T(X1082),""[^0-9]"",""""))),W1082=""Vente"",-IFERROR(VALUE(X1082),VALUE(REGEXREPLACE(T(X1082),""[^0-9]"",""""))),Y1082=""Change"",0,Y1082&lt;&gt;""Change"","""")"),"")</f>
        <v/>
      </c>
      <c r="N1082" s="34" t="str">
        <f>IFERROR(__xludf.DUMMYFUNCTION("IF(Account!$F1082&lt;&gt;"""", VALUE(REGEXREPLACE($I1082, ""\,"", ""."")), """")"),"")</f>
        <v/>
      </c>
      <c r="O1082" s="35" t="str">
        <f>IF(Account!$F1082&lt;&gt;"", DATEVALUE(MID($A1082,4,3) &amp; LEFT($A1082,3) &amp; RIGHT($A1082,4)) + TIMEVALUE($B1082), "")</f>
        <v/>
      </c>
      <c r="P1082" s="36" t="str">
        <f>IF(Account!$F1082&lt;&gt;"", DATEVALUE(MID($C1082,4,3) &amp; LEFT($C1082,3) &amp; RIGHT($C1082,4)), "")</f>
        <v/>
      </c>
      <c r="Q1082" s="37" t="str">
        <f t="array" ref="Q1082">IF($R1082&lt;&gt;"",IFERROR(INDEX(ISIN!$B:$B,MATCH($R1082,ISIN!$C:$C,0))),)</f>
        <v/>
      </c>
      <c r="R1082" s="38" t="str">
        <f t="array" ref="R1082">IF($E1082&lt;&gt;"",IFERROR(INDEX(ISIN!$C:$C,MATCH($E1082,ISIN!$A:$A,0)),IFERROR(INDEX($R1083:$R1200,MATCH($K1082,$K1083:$K1200,0)))),IF(AND($Y1082="change",$H1082="EUR"),IF($O1082=$O1083,$R1083,IF($O1082=$O1081,$R1081)),IFERROR(INDEX($R1083:$R1200,MATCH(SUBSTITUTE($I1082,"-","",1),$K1083:$K1200,0)))))</f>
        <v/>
      </c>
      <c r="S1082" s="37" t="str">
        <f t="shared" si="1"/>
        <v/>
      </c>
      <c r="T1082" s="39" t="str">
        <f t="shared" si="2"/>
        <v/>
      </c>
      <c r="U1082" s="40" t="str">
        <f t="shared" si="3"/>
        <v/>
      </c>
      <c r="V1082" s="34" t="str">
        <f t="shared" si="4"/>
        <v/>
      </c>
      <c r="W1082" s="41" t="str">
        <f>IFERROR(__xludf.DUMMYFUNCTION(" IF(Account!$F1082&lt;&gt;"""", SPLIT(Account!$F1082, "" ""), """")"),"")</f>
        <v/>
      </c>
      <c r="X1082" s="42"/>
      <c r="Y1082" s="42"/>
      <c r="Z1082" s="42"/>
      <c r="AA1082" s="42"/>
      <c r="AB1082" s="42"/>
      <c r="AC1082" s="42"/>
      <c r="AD1082" s="42"/>
      <c r="AE1082" s="42"/>
      <c r="AF1082" s="42"/>
      <c r="AG1082" s="42"/>
      <c r="AH1082" s="42"/>
      <c r="AI1082" s="42"/>
      <c r="AJ1082" s="42"/>
      <c r="AK1082" s="42"/>
    </row>
    <row r="1083">
      <c r="A1083" s="20"/>
      <c r="B1083" s="20"/>
      <c r="C1083" s="20"/>
      <c r="D1083" s="20"/>
      <c r="E1083" s="20"/>
      <c r="F1083" s="21"/>
      <c r="G1083" s="45"/>
      <c r="H1083" s="20"/>
      <c r="I1083" s="20"/>
      <c r="J1083" s="20"/>
      <c r="K1083" s="20"/>
      <c r="L1083" s="21"/>
      <c r="M1083" s="33" t="str">
        <f>IFERROR(__xludf.DUMMYFUNCTION("IFS(W1083=""Achat"",IFERROR(VALUE(X1083),VALUE(REGEXREPLACE(T(X1083),""[^0-9]"",""""))),W1083=""Vente"",-IFERROR(VALUE(X1083),VALUE(REGEXREPLACE(T(X1083),""[^0-9]"",""""))),Y1083=""Change"",0,Y1083&lt;&gt;""Change"","""")"),"")</f>
        <v/>
      </c>
      <c r="N1083" s="34" t="str">
        <f>IFERROR(__xludf.DUMMYFUNCTION("IF(Account!$F1083&lt;&gt;"""", VALUE(REGEXREPLACE($I1083, ""\,"", ""."")), """")"),"")</f>
        <v/>
      </c>
      <c r="O1083" s="35" t="str">
        <f>IF(Account!$F1083&lt;&gt;"", DATEVALUE(MID($A1083,4,3) &amp; LEFT($A1083,3) &amp; RIGHT($A1083,4)) + TIMEVALUE($B1083), "")</f>
        <v/>
      </c>
      <c r="P1083" s="36" t="str">
        <f>IF(Account!$F1083&lt;&gt;"", DATEVALUE(MID($C1083,4,3) &amp; LEFT($C1083,3) &amp; RIGHT($C1083,4)), "")</f>
        <v/>
      </c>
      <c r="Q1083" s="37" t="str">
        <f t="array" ref="Q1083">IF($R1083&lt;&gt;"",IFERROR(INDEX(ISIN!$B:$B,MATCH($R1083,ISIN!$C:$C,0))),)</f>
        <v/>
      </c>
      <c r="R1083" s="38" t="str">
        <f t="array" ref="R1083">IF($E1083&lt;&gt;"",IFERROR(INDEX(ISIN!$C:$C,MATCH($E1083,ISIN!$A:$A,0)),IFERROR(INDEX($R1084:$R1200,MATCH($K1083,$K1084:$K1200,0)))),IF(AND($Y1083="change",$H1083="EUR"),IF($O1083=$O1084,$R1084,IF($O1083=$O1082,$R1082)),IFERROR(INDEX($R1084:$R1200,MATCH(SUBSTITUTE($I1083,"-","",1),$K1084:$K1200,0)))))</f>
        <v/>
      </c>
      <c r="S1083" s="37" t="str">
        <f t="shared" si="1"/>
        <v/>
      </c>
      <c r="T1083" s="39" t="str">
        <f t="shared" si="2"/>
        <v/>
      </c>
      <c r="U1083" s="40" t="str">
        <f t="shared" si="3"/>
        <v/>
      </c>
      <c r="V1083" s="34" t="str">
        <f t="shared" si="4"/>
        <v/>
      </c>
      <c r="W1083" s="41" t="str">
        <f>IFERROR(__xludf.DUMMYFUNCTION(" IF(Account!$F1083&lt;&gt;"""", SPLIT(Account!$F1083, "" ""), """")"),"")</f>
        <v/>
      </c>
      <c r="X1083" s="42"/>
      <c r="Y1083" s="42"/>
      <c r="Z1083" s="42"/>
      <c r="AA1083" s="42"/>
      <c r="AB1083" s="42"/>
      <c r="AC1083" s="42"/>
      <c r="AD1083" s="42"/>
      <c r="AE1083" s="42"/>
      <c r="AF1083" s="42"/>
      <c r="AG1083" s="42"/>
      <c r="AH1083" s="42"/>
      <c r="AI1083" s="42"/>
      <c r="AJ1083" s="42"/>
      <c r="AK1083" s="42"/>
    </row>
    <row r="1084">
      <c r="A1084" s="20"/>
      <c r="B1084" s="20"/>
      <c r="C1084" s="20"/>
      <c r="D1084" s="20"/>
      <c r="E1084" s="20"/>
      <c r="F1084" s="21"/>
      <c r="G1084" s="45"/>
      <c r="H1084" s="20"/>
      <c r="I1084" s="20"/>
      <c r="J1084" s="20"/>
      <c r="K1084" s="20"/>
      <c r="L1084" s="21"/>
      <c r="M1084" s="33" t="str">
        <f>IFERROR(__xludf.DUMMYFUNCTION("IFS(W1084=""Achat"",IFERROR(VALUE(X1084),VALUE(REGEXREPLACE(T(X1084),""[^0-9]"",""""))),W1084=""Vente"",-IFERROR(VALUE(X1084),VALUE(REGEXREPLACE(T(X1084),""[^0-9]"",""""))),Y1084=""Change"",0,Y1084&lt;&gt;""Change"","""")"),"")</f>
        <v/>
      </c>
      <c r="N1084" s="34" t="str">
        <f>IFERROR(__xludf.DUMMYFUNCTION("IF(Account!$F1084&lt;&gt;"""", VALUE(REGEXREPLACE($I1084, ""\,"", ""."")), """")"),"")</f>
        <v/>
      </c>
      <c r="O1084" s="35" t="str">
        <f>IF(Account!$F1084&lt;&gt;"", DATEVALUE(MID($A1084,4,3) &amp; LEFT($A1084,3) &amp; RIGHT($A1084,4)) + TIMEVALUE($B1084), "")</f>
        <v/>
      </c>
      <c r="P1084" s="36" t="str">
        <f>IF(Account!$F1084&lt;&gt;"", DATEVALUE(MID($C1084,4,3) &amp; LEFT($C1084,3) &amp; RIGHT($C1084,4)), "")</f>
        <v/>
      </c>
      <c r="Q1084" s="37" t="str">
        <f t="array" ref="Q1084">IF($R1084&lt;&gt;"",IFERROR(INDEX(ISIN!$B:$B,MATCH($R1084,ISIN!$C:$C,0))),)</f>
        <v/>
      </c>
      <c r="R1084" s="38" t="str">
        <f t="array" ref="R1084">IF($E1084&lt;&gt;"",IFERROR(INDEX(ISIN!$C:$C,MATCH($E1084,ISIN!$A:$A,0)),IFERROR(INDEX($R1085:$R1200,MATCH($K1084,$K1085:$K1200,0)))),IF(AND($Y1084="change",$H1084="EUR"),IF($O1084=$O1085,$R1085,IF($O1084=$O1083,$R1083)),IFERROR(INDEX($R1085:$R1200,MATCH(SUBSTITUTE($I1084,"-","",1),$K1085:$K1200,0)))))</f>
        <v/>
      </c>
      <c r="S1084" s="37" t="str">
        <f t="shared" si="1"/>
        <v/>
      </c>
      <c r="T1084" s="39" t="str">
        <f t="shared" si="2"/>
        <v/>
      </c>
      <c r="U1084" s="40" t="str">
        <f t="shared" si="3"/>
        <v/>
      </c>
      <c r="V1084" s="34" t="str">
        <f t="shared" si="4"/>
        <v/>
      </c>
      <c r="W1084" s="41" t="str">
        <f>IFERROR(__xludf.DUMMYFUNCTION(" IF(Account!$F1084&lt;&gt;"""", SPLIT(Account!$F1084, "" ""), """")"),"")</f>
        <v/>
      </c>
      <c r="X1084" s="42"/>
      <c r="Y1084" s="42"/>
      <c r="Z1084" s="42"/>
      <c r="AA1084" s="42"/>
      <c r="AB1084" s="42"/>
      <c r="AC1084" s="42"/>
      <c r="AD1084" s="42"/>
      <c r="AE1084" s="42"/>
      <c r="AF1084" s="42"/>
      <c r="AG1084" s="42"/>
      <c r="AH1084" s="42"/>
      <c r="AI1084" s="42"/>
      <c r="AJ1084" s="42"/>
      <c r="AK1084" s="42"/>
    </row>
    <row r="1085">
      <c r="A1085" s="20"/>
      <c r="B1085" s="20"/>
      <c r="C1085" s="20"/>
      <c r="D1085" s="20"/>
      <c r="E1085" s="20"/>
      <c r="F1085" s="21"/>
      <c r="G1085" s="20"/>
      <c r="H1085" s="20"/>
      <c r="I1085" s="20"/>
      <c r="J1085" s="20"/>
      <c r="K1085" s="20"/>
      <c r="L1085" s="21"/>
      <c r="M1085" s="33" t="str">
        <f>IFERROR(__xludf.DUMMYFUNCTION("IFS(W1085=""Achat"",IFERROR(VALUE(X1085),VALUE(REGEXREPLACE(T(X1085),""[^0-9]"",""""))),W1085=""Vente"",-IFERROR(VALUE(X1085),VALUE(REGEXREPLACE(T(X1085),""[^0-9]"",""""))),Y1085=""Change"",0,Y1085&lt;&gt;""Change"","""")"),"")</f>
        <v/>
      </c>
      <c r="N1085" s="34" t="str">
        <f>IFERROR(__xludf.DUMMYFUNCTION("IF(Account!$F1085&lt;&gt;"""", VALUE(REGEXREPLACE($I1085, ""\,"", ""."")), """")"),"")</f>
        <v/>
      </c>
      <c r="O1085" s="35" t="str">
        <f>IF(Account!$F1085&lt;&gt;"", DATEVALUE(MID($A1085,4,3) &amp; LEFT($A1085,3) &amp; RIGHT($A1085,4)) + TIMEVALUE($B1085), "")</f>
        <v/>
      </c>
      <c r="P1085" s="36" t="str">
        <f>IF(Account!$F1085&lt;&gt;"", DATEVALUE(MID($C1085,4,3) &amp; LEFT($C1085,3) &amp; RIGHT($C1085,4)), "")</f>
        <v/>
      </c>
      <c r="Q1085" s="37" t="str">
        <f t="array" ref="Q1085">IF($R1085&lt;&gt;"",IFERROR(INDEX(ISIN!$B:$B,MATCH($R1085,ISIN!$C:$C,0))),)</f>
        <v/>
      </c>
      <c r="R1085" s="38" t="str">
        <f t="array" ref="R1085">IF($E1085&lt;&gt;"",IFERROR(INDEX(ISIN!$C:$C,MATCH($E1085,ISIN!$A:$A,0)),IFERROR(INDEX($R1086:$R1200,MATCH($K1085,$K1086:$K1200,0)))),IF(AND($Y1085="change",$H1085="EUR"),IF($O1085=$O1086,$R1086,IF($O1085=$O1084,$R1084)),IFERROR(INDEX($R1086:$R1200,MATCH(SUBSTITUTE($I1085,"-","",1),$K1086:$K1200,0)))))</f>
        <v/>
      </c>
      <c r="S1085" s="37" t="str">
        <f t="shared" si="1"/>
        <v/>
      </c>
      <c r="T1085" s="39" t="str">
        <f t="shared" si="2"/>
        <v/>
      </c>
      <c r="U1085" s="40" t="str">
        <f t="shared" si="3"/>
        <v/>
      </c>
      <c r="V1085" s="34" t="str">
        <f t="shared" si="4"/>
        <v/>
      </c>
      <c r="W1085" s="41" t="str">
        <f>IFERROR(__xludf.DUMMYFUNCTION(" IF(Account!$F1085&lt;&gt;"""", SPLIT(Account!$F1085, "" ""), """")"),"")</f>
        <v/>
      </c>
      <c r="X1085" s="42"/>
      <c r="Y1085" s="42"/>
      <c r="Z1085" s="42"/>
      <c r="AA1085" s="42"/>
      <c r="AB1085" s="42"/>
      <c r="AC1085" s="42"/>
      <c r="AD1085" s="42"/>
      <c r="AE1085" s="42"/>
      <c r="AF1085" s="42"/>
      <c r="AG1085" s="42"/>
      <c r="AH1085" s="42"/>
      <c r="AI1085" s="42"/>
      <c r="AJ1085" s="42"/>
      <c r="AK1085" s="42"/>
    </row>
    <row r="1086">
      <c r="A1086" s="20"/>
      <c r="B1086" s="20"/>
      <c r="C1086" s="20"/>
      <c r="D1086" s="20"/>
      <c r="E1086" s="20"/>
      <c r="F1086" s="21"/>
      <c r="G1086" s="45"/>
      <c r="H1086" s="20"/>
      <c r="I1086" s="20"/>
      <c r="J1086" s="20"/>
      <c r="K1086" s="20"/>
      <c r="L1086" s="21"/>
      <c r="M1086" s="33" t="str">
        <f>IFERROR(__xludf.DUMMYFUNCTION("IFS(W1086=""Achat"",IFERROR(VALUE(X1086),VALUE(REGEXREPLACE(T(X1086),""[^0-9]"",""""))),W1086=""Vente"",-IFERROR(VALUE(X1086),VALUE(REGEXREPLACE(T(X1086),""[^0-9]"",""""))),Y1086=""Change"",0,Y1086&lt;&gt;""Change"","""")"),"")</f>
        <v/>
      </c>
      <c r="N1086" s="34" t="str">
        <f>IFERROR(__xludf.DUMMYFUNCTION("IF(Account!$F1086&lt;&gt;"""", VALUE(REGEXREPLACE($I1086, ""\,"", ""."")), """")"),"")</f>
        <v/>
      </c>
      <c r="O1086" s="35" t="str">
        <f>IF(Account!$F1086&lt;&gt;"", DATEVALUE(MID($A1086,4,3) &amp; LEFT($A1086,3) &amp; RIGHT($A1086,4)) + TIMEVALUE($B1086), "")</f>
        <v/>
      </c>
      <c r="P1086" s="36" t="str">
        <f>IF(Account!$F1086&lt;&gt;"", DATEVALUE(MID($C1086,4,3) &amp; LEFT($C1086,3) &amp; RIGHT($C1086,4)), "")</f>
        <v/>
      </c>
      <c r="Q1086" s="37" t="str">
        <f t="array" ref="Q1086">IF($R1086&lt;&gt;"",IFERROR(INDEX(ISIN!$B:$B,MATCH($R1086,ISIN!$C:$C,0))),)</f>
        <v/>
      </c>
      <c r="R1086" s="38" t="str">
        <f t="array" ref="R1086">IF($E1086&lt;&gt;"",IFERROR(INDEX(ISIN!$C:$C,MATCH($E1086,ISIN!$A:$A,0)),IFERROR(INDEX($R1087:$R1200,MATCH($K1086,$K1087:$K1200,0)))),IF(AND($Y1086="change",$H1086="EUR"),IF($O1086=$O1087,$R1087,IF($O1086=$O1085,$R1085)),IFERROR(INDEX($R1087:$R1200,MATCH(SUBSTITUTE($I1086,"-","",1),$K1087:$K1200,0)))))</f>
        <v/>
      </c>
      <c r="S1086" s="37" t="str">
        <f t="shared" si="1"/>
        <v/>
      </c>
      <c r="T1086" s="39" t="str">
        <f t="shared" si="2"/>
        <v/>
      </c>
      <c r="U1086" s="40" t="str">
        <f t="shared" si="3"/>
        <v/>
      </c>
      <c r="V1086" s="34" t="str">
        <f t="shared" si="4"/>
        <v/>
      </c>
      <c r="W1086" s="41" t="str">
        <f>IFERROR(__xludf.DUMMYFUNCTION(" IF(Account!$F1086&lt;&gt;"""", SPLIT(Account!$F1086, "" ""), """")"),"")</f>
        <v/>
      </c>
      <c r="X1086" s="42"/>
      <c r="Y1086" s="42"/>
      <c r="Z1086" s="42"/>
      <c r="AA1086" s="42"/>
      <c r="AB1086" s="42"/>
      <c r="AC1086" s="42"/>
      <c r="AD1086" s="42"/>
      <c r="AE1086" s="42"/>
      <c r="AF1086" s="42"/>
      <c r="AG1086" s="42"/>
      <c r="AH1086" s="42"/>
      <c r="AI1086" s="42"/>
      <c r="AJ1086" s="42"/>
      <c r="AK1086" s="42"/>
    </row>
    <row r="1087">
      <c r="A1087" s="20"/>
      <c r="B1087" s="20"/>
      <c r="C1087" s="20"/>
      <c r="D1087" s="20"/>
      <c r="E1087" s="20"/>
      <c r="F1087" s="21"/>
      <c r="G1087" s="20"/>
      <c r="H1087" s="20"/>
      <c r="I1087" s="20"/>
      <c r="J1087" s="20"/>
      <c r="K1087" s="20"/>
      <c r="L1087" s="21"/>
      <c r="M1087" s="33" t="str">
        <f>IFERROR(__xludf.DUMMYFUNCTION("IFS(W1087=""Achat"",IFERROR(VALUE(X1087),VALUE(REGEXREPLACE(T(X1087),""[^0-9]"",""""))),W1087=""Vente"",-IFERROR(VALUE(X1087),VALUE(REGEXREPLACE(T(X1087),""[^0-9]"",""""))),Y1087=""Change"",0,Y1087&lt;&gt;""Change"","""")"),"")</f>
        <v/>
      </c>
      <c r="N1087" s="34" t="str">
        <f>IFERROR(__xludf.DUMMYFUNCTION("IF(Account!$F1087&lt;&gt;"""", VALUE(REGEXREPLACE($I1087, ""\,"", ""."")), """")"),"")</f>
        <v/>
      </c>
      <c r="O1087" s="35" t="str">
        <f>IF(Account!$F1087&lt;&gt;"", DATEVALUE(MID($A1087,4,3) &amp; LEFT($A1087,3) &amp; RIGHT($A1087,4)) + TIMEVALUE($B1087), "")</f>
        <v/>
      </c>
      <c r="P1087" s="36" t="str">
        <f>IF(Account!$F1087&lt;&gt;"", DATEVALUE(MID($C1087,4,3) &amp; LEFT($C1087,3) &amp; RIGHT($C1087,4)), "")</f>
        <v/>
      </c>
      <c r="Q1087" s="37" t="str">
        <f t="array" ref="Q1087">IF($R1087&lt;&gt;"",IFERROR(INDEX(ISIN!$B:$B,MATCH($R1087,ISIN!$C:$C,0))),)</f>
        <v/>
      </c>
      <c r="R1087" s="38" t="str">
        <f t="array" ref="R1087">IF($E1087&lt;&gt;"",IFERROR(INDEX(ISIN!$C:$C,MATCH($E1087,ISIN!$A:$A,0)),IFERROR(INDEX($R1088:$R1200,MATCH($K1087,$K1088:$K1200,0)))),IF(AND($Y1087="change",$H1087="EUR"),IF($O1087=$O1088,$R1088,IF($O1087=$O1086,$R1086)),IFERROR(INDEX($R1088:$R1200,MATCH(SUBSTITUTE($I1087,"-","",1),$K1088:$K1200,0)))))</f>
        <v/>
      </c>
      <c r="S1087" s="37" t="str">
        <f t="shared" si="1"/>
        <v/>
      </c>
      <c r="T1087" s="39" t="str">
        <f t="shared" si="2"/>
        <v/>
      </c>
      <c r="U1087" s="40" t="str">
        <f t="shared" si="3"/>
        <v/>
      </c>
      <c r="V1087" s="34" t="str">
        <f t="shared" si="4"/>
        <v/>
      </c>
      <c r="W1087" s="41" t="str">
        <f>IFERROR(__xludf.DUMMYFUNCTION(" IF(Account!$F1087&lt;&gt;"""", SPLIT(Account!$F1087, "" ""), """")"),"")</f>
        <v/>
      </c>
      <c r="X1087" s="42"/>
      <c r="Y1087" s="42"/>
      <c r="Z1087" s="42"/>
      <c r="AA1087" s="42"/>
      <c r="AB1087" s="42"/>
      <c r="AC1087" s="42"/>
      <c r="AD1087" s="42"/>
      <c r="AE1087" s="42"/>
      <c r="AF1087" s="42"/>
      <c r="AG1087" s="42"/>
      <c r="AH1087" s="42"/>
      <c r="AI1087" s="42"/>
      <c r="AJ1087" s="42"/>
      <c r="AK1087" s="42"/>
    </row>
    <row r="1088">
      <c r="A1088" s="20"/>
      <c r="B1088" s="20"/>
      <c r="C1088" s="20"/>
      <c r="D1088" s="20"/>
      <c r="E1088" s="20"/>
      <c r="F1088" s="21"/>
      <c r="G1088" s="45"/>
      <c r="H1088" s="20"/>
      <c r="I1088" s="20"/>
      <c r="J1088" s="20"/>
      <c r="K1088" s="20"/>
      <c r="L1088" s="21"/>
      <c r="M1088" s="33" t="str">
        <f>IFERROR(__xludf.DUMMYFUNCTION("IFS(W1088=""Achat"",IFERROR(VALUE(X1088),VALUE(REGEXREPLACE(T(X1088),""[^0-9]"",""""))),W1088=""Vente"",-IFERROR(VALUE(X1088),VALUE(REGEXREPLACE(T(X1088),""[^0-9]"",""""))),Y1088=""Change"",0,Y1088&lt;&gt;""Change"","""")"),"")</f>
        <v/>
      </c>
      <c r="N1088" s="34" t="str">
        <f>IFERROR(__xludf.DUMMYFUNCTION("IF(Account!$F1088&lt;&gt;"""", VALUE(REGEXREPLACE($I1088, ""\,"", ""."")), """")"),"")</f>
        <v/>
      </c>
      <c r="O1088" s="35" t="str">
        <f>IF(Account!$F1088&lt;&gt;"", DATEVALUE(MID($A1088,4,3) &amp; LEFT($A1088,3) &amp; RIGHT($A1088,4)) + TIMEVALUE($B1088), "")</f>
        <v/>
      </c>
      <c r="P1088" s="36" t="str">
        <f>IF(Account!$F1088&lt;&gt;"", DATEVALUE(MID($C1088,4,3) &amp; LEFT($C1088,3) &amp; RIGHT($C1088,4)), "")</f>
        <v/>
      </c>
      <c r="Q1088" s="37" t="str">
        <f t="array" ref="Q1088">IF($R1088&lt;&gt;"",IFERROR(INDEX(ISIN!$B:$B,MATCH($R1088,ISIN!$C:$C,0))),)</f>
        <v/>
      </c>
      <c r="R1088" s="38" t="str">
        <f t="array" ref="R1088">IF($E1088&lt;&gt;"",IFERROR(INDEX(ISIN!$C:$C,MATCH($E1088,ISIN!$A:$A,0)),IFERROR(INDEX($R1089:$R1200,MATCH($K1088,$K1089:$K1200,0)))),IF(AND($Y1088="change",$H1088="EUR"),IF($O1088=$O1089,$R1089,IF($O1088=$O1087,$R1087)),IFERROR(INDEX($R1089:$R1200,MATCH(SUBSTITUTE($I1088,"-","",1),$K1089:$K1200,0)))))</f>
        <v/>
      </c>
      <c r="S1088" s="37" t="str">
        <f t="shared" si="1"/>
        <v/>
      </c>
      <c r="T1088" s="39" t="str">
        <f t="shared" si="2"/>
        <v/>
      </c>
      <c r="U1088" s="40" t="str">
        <f t="shared" si="3"/>
        <v/>
      </c>
      <c r="V1088" s="34" t="str">
        <f t="shared" si="4"/>
        <v/>
      </c>
      <c r="W1088" s="41" t="str">
        <f>IFERROR(__xludf.DUMMYFUNCTION(" IF(Account!$F1088&lt;&gt;"""", SPLIT(Account!$F1088, "" ""), """")"),"")</f>
        <v/>
      </c>
      <c r="X1088" s="42"/>
      <c r="Y1088" s="42"/>
      <c r="Z1088" s="42"/>
      <c r="AA1088" s="42"/>
      <c r="AB1088" s="42"/>
      <c r="AC1088" s="42"/>
      <c r="AD1088" s="42"/>
      <c r="AE1088" s="42"/>
      <c r="AF1088" s="42"/>
      <c r="AG1088" s="42"/>
      <c r="AH1088" s="42"/>
      <c r="AI1088" s="42"/>
      <c r="AJ1088" s="42"/>
      <c r="AK1088" s="42"/>
    </row>
    <row r="1089">
      <c r="A1089" s="20"/>
      <c r="B1089" s="20"/>
      <c r="C1089" s="20"/>
      <c r="D1089" s="20"/>
      <c r="E1089" s="20"/>
      <c r="F1089" s="21"/>
      <c r="G1089" s="20"/>
      <c r="H1089" s="20"/>
      <c r="I1089" s="20"/>
      <c r="J1089" s="20"/>
      <c r="K1089" s="20"/>
      <c r="L1089" s="21"/>
      <c r="M1089" s="33" t="str">
        <f>IFERROR(__xludf.DUMMYFUNCTION("IFS(W1089=""Achat"",IFERROR(VALUE(X1089),VALUE(REGEXREPLACE(T(X1089),""[^0-9]"",""""))),W1089=""Vente"",-IFERROR(VALUE(X1089),VALUE(REGEXREPLACE(T(X1089),""[^0-9]"",""""))),Y1089=""Change"",0,Y1089&lt;&gt;""Change"","""")"),"")</f>
        <v/>
      </c>
      <c r="N1089" s="34" t="str">
        <f>IFERROR(__xludf.DUMMYFUNCTION("IF(Account!$F1089&lt;&gt;"""", VALUE(REGEXREPLACE($I1089, ""\,"", ""."")), """")"),"")</f>
        <v/>
      </c>
      <c r="O1089" s="35" t="str">
        <f>IF(Account!$F1089&lt;&gt;"", DATEVALUE(MID($A1089,4,3) &amp; LEFT($A1089,3) &amp; RIGHT($A1089,4)) + TIMEVALUE($B1089), "")</f>
        <v/>
      </c>
      <c r="P1089" s="36" t="str">
        <f>IF(Account!$F1089&lt;&gt;"", DATEVALUE(MID($C1089,4,3) &amp; LEFT($C1089,3) &amp; RIGHT($C1089,4)), "")</f>
        <v/>
      </c>
      <c r="Q1089" s="37" t="str">
        <f t="array" ref="Q1089">IF($R1089&lt;&gt;"",IFERROR(INDEX(ISIN!$B:$B,MATCH($R1089,ISIN!$C:$C,0))),)</f>
        <v/>
      </c>
      <c r="R1089" s="38" t="str">
        <f t="array" ref="R1089">IF($E1089&lt;&gt;"",IFERROR(INDEX(ISIN!$C:$C,MATCH($E1089,ISIN!$A:$A,0)),IFERROR(INDEX($R1090:$R1200,MATCH($K1089,$K1090:$K1200,0)))),IF(AND($Y1089="change",$H1089="EUR"),IF($O1089=$O1090,$R1090,IF($O1089=$O1088,$R1088)),IFERROR(INDEX($R1090:$R1200,MATCH(SUBSTITUTE($I1089,"-","",1),$K1090:$K1200,0)))))</f>
        <v/>
      </c>
      <c r="S1089" s="37" t="str">
        <f t="shared" si="1"/>
        <v/>
      </c>
      <c r="T1089" s="39" t="str">
        <f t="shared" si="2"/>
        <v/>
      </c>
      <c r="U1089" s="40" t="str">
        <f t="shared" si="3"/>
        <v/>
      </c>
      <c r="V1089" s="34" t="str">
        <f t="shared" si="4"/>
        <v/>
      </c>
      <c r="W1089" s="41" t="str">
        <f>IFERROR(__xludf.DUMMYFUNCTION(" IF(Account!$F1089&lt;&gt;"""", SPLIT(Account!$F1089, "" ""), """")"),"")</f>
        <v/>
      </c>
      <c r="X1089" s="42"/>
      <c r="Y1089" s="42"/>
      <c r="Z1089" s="42"/>
      <c r="AA1089" s="42"/>
      <c r="AB1089" s="42"/>
      <c r="AC1089" s="42"/>
      <c r="AD1089" s="42"/>
      <c r="AE1089" s="42"/>
      <c r="AF1089" s="42"/>
      <c r="AG1089" s="42"/>
      <c r="AH1089" s="42"/>
      <c r="AI1089" s="42"/>
      <c r="AJ1089" s="42"/>
      <c r="AK1089" s="42"/>
    </row>
    <row r="1090">
      <c r="A1090" s="20"/>
      <c r="B1090" s="20"/>
      <c r="C1090" s="20"/>
      <c r="D1090" s="20"/>
      <c r="E1090" s="20"/>
      <c r="F1090" s="21"/>
      <c r="G1090" s="45"/>
      <c r="H1090" s="20"/>
      <c r="I1090" s="20"/>
      <c r="J1090" s="20"/>
      <c r="K1090" s="20"/>
      <c r="L1090" s="21"/>
      <c r="M1090" s="33" t="str">
        <f>IFERROR(__xludf.DUMMYFUNCTION("IFS(W1090=""Achat"",IFERROR(VALUE(X1090),VALUE(REGEXREPLACE(T(X1090),""[^0-9]"",""""))),W1090=""Vente"",-IFERROR(VALUE(X1090),VALUE(REGEXREPLACE(T(X1090),""[^0-9]"",""""))),Y1090=""Change"",0,Y1090&lt;&gt;""Change"","""")"),"")</f>
        <v/>
      </c>
      <c r="N1090" s="34" t="str">
        <f>IFERROR(__xludf.DUMMYFUNCTION("IF(Account!$F1090&lt;&gt;"""", VALUE(REGEXREPLACE($I1090, ""\,"", ""."")), """")"),"")</f>
        <v/>
      </c>
      <c r="O1090" s="35" t="str">
        <f>IF(Account!$F1090&lt;&gt;"", DATEVALUE(MID($A1090,4,3) &amp; LEFT($A1090,3) &amp; RIGHT($A1090,4)) + TIMEVALUE($B1090), "")</f>
        <v/>
      </c>
      <c r="P1090" s="36" t="str">
        <f>IF(Account!$F1090&lt;&gt;"", DATEVALUE(MID($C1090,4,3) &amp; LEFT($C1090,3) &amp; RIGHT($C1090,4)), "")</f>
        <v/>
      </c>
      <c r="Q1090" s="37" t="str">
        <f t="array" ref="Q1090">IF($R1090&lt;&gt;"",IFERROR(INDEX(ISIN!$B:$B,MATCH($R1090,ISIN!$C:$C,0))),)</f>
        <v/>
      </c>
      <c r="R1090" s="38" t="str">
        <f t="array" ref="R1090">IF($E1090&lt;&gt;"",IFERROR(INDEX(ISIN!$C:$C,MATCH($E1090,ISIN!$A:$A,0)),IFERROR(INDEX($R1091:$R1200,MATCH($K1090,$K1091:$K1200,0)))),IF(AND($Y1090="change",$H1090="EUR"),IF($O1090=$O1091,$R1091,IF($O1090=$O1089,$R1089)),IFERROR(INDEX($R1091:$R1200,MATCH(SUBSTITUTE($I1090,"-","",1),$K1091:$K1200,0)))))</f>
        <v/>
      </c>
      <c r="S1090" s="37" t="str">
        <f t="shared" si="1"/>
        <v/>
      </c>
      <c r="T1090" s="39" t="str">
        <f t="shared" si="2"/>
        <v/>
      </c>
      <c r="U1090" s="40" t="str">
        <f t="shared" si="3"/>
        <v/>
      </c>
      <c r="V1090" s="34" t="str">
        <f t="shared" si="4"/>
        <v/>
      </c>
      <c r="W1090" s="41" t="str">
        <f>IFERROR(__xludf.DUMMYFUNCTION(" IF(Account!$F1090&lt;&gt;"""", SPLIT(Account!$F1090, "" ""), """")"),"")</f>
        <v/>
      </c>
      <c r="X1090" s="42"/>
      <c r="Y1090" s="42"/>
      <c r="Z1090" s="42"/>
      <c r="AA1090" s="42"/>
      <c r="AB1090" s="42"/>
      <c r="AC1090" s="42"/>
      <c r="AD1090" s="42"/>
      <c r="AE1090" s="42"/>
      <c r="AF1090" s="42"/>
      <c r="AG1090" s="42"/>
      <c r="AH1090" s="42"/>
      <c r="AI1090" s="42"/>
      <c r="AJ1090" s="42"/>
      <c r="AK1090" s="42"/>
    </row>
    <row r="1091">
      <c r="A1091" s="20"/>
      <c r="B1091" s="20"/>
      <c r="C1091" s="20"/>
      <c r="D1091" s="20"/>
      <c r="E1091" s="20"/>
      <c r="F1091" s="21"/>
      <c r="G1091" s="45"/>
      <c r="H1091" s="20"/>
      <c r="I1091" s="20"/>
      <c r="J1091" s="20"/>
      <c r="K1091" s="20"/>
      <c r="L1091" s="21"/>
      <c r="M1091" s="33" t="str">
        <f>IFERROR(__xludf.DUMMYFUNCTION("IFS(W1091=""Achat"",IFERROR(VALUE(X1091),VALUE(REGEXREPLACE(T(X1091),""[^0-9]"",""""))),W1091=""Vente"",-IFERROR(VALUE(X1091),VALUE(REGEXREPLACE(T(X1091),""[^0-9]"",""""))),Y1091=""Change"",0,Y1091&lt;&gt;""Change"","""")"),"")</f>
        <v/>
      </c>
      <c r="N1091" s="34" t="str">
        <f>IFERROR(__xludf.DUMMYFUNCTION("IF(Account!$F1091&lt;&gt;"""", VALUE(REGEXREPLACE($I1091, ""\,"", ""."")), """")"),"")</f>
        <v/>
      </c>
      <c r="O1091" s="35" t="str">
        <f>IF(Account!$F1091&lt;&gt;"", DATEVALUE(MID($A1091,4,3) &amp; LEFT($A1091,3) &amp; RIGHT($A1091,4)) + TIMEVALUE($B1091), "")</f>
        <v/>
      </c>
      <c r="P1091" s="36" t="str">
        <f>IF(Account!$F1091&lt;&gt;"", DATEVALUE(MID($C1091,4,3) &amp; LEFT($C1091,3) &amp; RIGHT($C1091,4)), "")</f>
        <v/>
      </c>
      <c r="Q1091" s="37" t="str">
        <f t="array" ref="Q1091">IF($R1091&lt;&gt;"",IFERROR(INDEX(ISIN!$B:$B,MATCH($R1091,ISIN!$C:$C,0))),)</f>
        <v/>
      </c>
      <c r="R1091" s="38" t="str">
        <f t="array" ref="R1091">IF($E1091&lt;&gt;"",IFERROR(INDEX(ISIN!$C:$C,MATCH($E1091,ISIN!$A:$A,0)),IFERROR(INDEX($R1092:$R1200,MATCH($K1091,$K1092:$K1200,0)))),IF(AND($Y1091="change",$H1091="EUR"),IF($O1091=$O1092,$R1092,IF($O1091=$O1090,$R1090)),IFERROR(INDEX($R1092:$R1200,MATCH(SUBSTITUTE($I1091,"-","",1),$K1092:$K1200,0)))))</f>
        <v/>
      </c>
      <c r="S1091" s="37" t="str">
        <f t="shared" si="1"/>
        <v/>
      </c>
      <c r="T1091" s="39" t="str">
        <f t="shared" si="2"/>
        <v/>
      </c>
      <c r="U1091" s="40" t="str">
        <f t="shared" si="3"/>
        <v/>
      </c>
      <c r="V1091" s="34" t="str">
        <f t="shared" si="4"/>
        <v/>
      </c>
      <c r="W1091" s="41" t="str">
        <f>IFERROR(__xludf.DUMMYFUNCTION(" IF(Account!$F1091&lt;&gt;"""", SPLIT(Account!$F1091, "" ""), """")"),"")</f>
        <v/>
      </c>
      <c r="X1091" s="42"/>
      <c r="Y1091" s="42"/>
      <c r="Z1091" s="42"/>
      <c r="AA1091" s="42"/>
      <c r="AB1091" s="42"/>
      <c r="AC1091" s="42"/>
      <c r="AD1091" s="42"/>
      <c r="AE1091" s="42"/>
      <c r="AF1091" s="42"/>
      <c r="AG1091" s="42"/>
      <c r="AH1091" s="42"/>
      <c r="AI1091" s="42"/>
      <c r="AJ1091" s="42"/>
      <c r="AK1091" s="42"/>
    </row>
    <row r="1092">
      <c r="A1092" s="20"/>
      <c r="B1092" s="20"/>
      <c r="C1092" s="20"/>
      <c r="D1092" s="20"/>
      <c r="E1092" s="20"/>
      <c r="F1092" s="21"/>
      <c r="G1092" s="45"/>
      <c r="H1092" s="20"/>
      <c r="I1092" s="20"/>
      <c r="J1092" s="20"/>
      <c r="K1092" s="20"/>
      <c r="L1092" s="21"/>
      <c r="M1092" s="33" t="str">
        <f>IFERROR(__xludf.DUMMYFUNCTION("IFS(W1092=""Achat"",IFERROR(VALUE(X1092),VALUE(REGEXREPLACE(T(X1092),""[^0-9]"",""""))),W1092=""Vente"",-IFERROR(VALUE(X1092),VALUE(REGEXREPLACE(T(X1092),""[^0-9]"",""""))),Y1092=""Change"",0,Y1092&lt;&gt;""Change"","""")"),"")</f>
        <v/>
      </c>
      <c r="N1092" s="34" t="str">
        <f>IFERROR(__xludf.DUMMYFUNCTION("IF(Account!$F1092&lt;&gt;"""", VALUE(REGEXREPLACE($I1092, ""\,"", ""."")), """")"),"")</f>
        <v/>
      </c>
      <c r="O1092" s="35" t="str">
        <f>IF(Account!$F1092&lt;&gt;"", DATEVALUE(MID($A1092,4,3) &amp; LEFT($A1092,3) &amp; RIGHT($A1092,4)) + TIMEVALUE($B1092), "")</f>
        <v/>
      </c>
      <c r="P1092" s="36" t="str">
        <f>IF(Account!$F1092&lt;&gt;"", DATEVALUE(MID($C1092,4,3) &amp; LEFT($C1092,3) &amp; RIGHT($C1092,4)), "")</f>
        <v/>
      </c>
      <c r="Q1092" s="37" t="str">
        <f t="array" ref="Q1092">IF($R1092&lt;&gt;"",IFERROR(INDEX(ISIN!$B:$B,MATCH($R1092,ISIN!$C:$C,0))),)</f>
        <v/>
      </c>
      <c r="R1092" s="38" t="str">
        <f t="array" ref="R1092">IF($E1092&lt;&gt;"",IFERROR(INDEX(ISIN!$C:$C,MATCH($E1092,ISIN!$A:$A,0)),IFERROR(INDEX($R1093:$R1200,MATCH($K1092,$K1093:$K1200,0)))),IF(AND($Y1092="change",$H1092="EUR"),IF($O1092=$O1093,$R1093,IF($O1092=$O1091,$R1091)),IFERROR(INDEX($R1093:$R1200,MATCH(SUBSTITUTE($I1092,"-","",1),$K1093:$K1200,0)))))</f>
        <v/>
      </c>
      <c r="S1092" s="37" t="str">
        <f t="shared" si="1"/>
        <v/>
      </c>
      <c r="T1092" s="39" t="str">
        <f t="shared" si="2"/>
        <v/>
      </c>
      <c r="U1092" s="40" t="str">
        <f t="shared" si="3"/>
        <v/>
      </c>
      <c r="V1092" s="34" t="str">
        <f t="shared" si="4"/>
        <v/>
      </c>
      <c r="W1092" s="41" t="str">
        <f>IFERROR(__xludf.DUMMYFUNCTION(" IF(Account!$F1092&lt;&gt;"""", SPLIT(Account!$F1092, "" ""), """")"),"")</f>
        <v/>
      </c>
      <c r="X1092" s="42"/>
      <c r="Y1092" s="42"/>
      <c r="Z1092" s="42"/>
      <c r="AA1092" s="42"/>
      <c r="AB1092" s="42"/>
      <c r="AC1092" s="42"/>
      <c r="AD1092" s="42"/>
      <c r="AE1092" s="42"/>
      <c r="AF1092" s="42"/>
      <c r="AG1092" s="42"/>
      <c r="AH1092" s="42"/>
      <c r="AI1092" s="42"/>
      <c r="AJ1092" s="42"/>
      <c r="AK1092" s="42"/>
    </row>
    <row r="1093">
      <c r="A1093" s="20"/>
      <c r="B1093" s="20"/>
      <c r="C1093" s="20"/>
      <c r="D1093" s="20"/>
      <c r="E1093" s="20"/>
      <c r="F1093" s="21"/>
      <c r="G1093" s="45"/>
      <c r="H1093" s="20"/>
      <c r="I1093" s="20"/>
      <c r="J1093" s="20"/>
      <c r="K1093" s="20"/>
      <c r="L1093" s="21"/>
      <c r="M1093" s="33" t="str">
        <f>IFERROR(__xludf.DUMMYFUNCTION("IFS(W1093=""Achat"",IFERROR(VALUE(X1093),VALUE(REGEXREPLACE(T(X1093),""[^0-9]"",""""))),W1093=""Vente"",-IFERROR(VALUE(X1093),VALUE(REGEXREPLACE(T(X1093),""[^0-9]"",""""))),Y1093=""Change"",0,Y1093&lt;&gt;""Change"","""")"),"")</f>
        <v/>
      </c>
      <c r="N1093" s="34" t="str">
        <f>IFERROR(__xludf.DUMMYFUNCTION("IF(Account!$F1093&lt;&gt;"""", VALUE(REGEXREPLACE($I1093, ""\,"", ""."")), """")"),"")</f>
        <v/>
      </c>
      <c r="O1093" s="35" t="str">
        <f>IF(Account!$F1093&lt;&gt;"", DATEVALUE(MID($A1093,4,3) &amp; LEFT($A1093,3) &amp; RIGHT($A1093,4)) + TIMEVALUE($B1093), "")</f>
        <v/>
      </c>
      <c r="P1093" s="36" t="str">
        <f>IF(Account!$F1093&lt;&gt;"", DATEVALUE(MID($C1093,4,3) &amp; LEFT($C1093,3) &amp; RIGHT($C1093,4)), "")</f>
        <v/>
      </c>
      <c r="Q1093" s="37" t="str">
        <f t="array" ref="Q1093">IF($R1093&lt;&gt;"",IFERROR(INDEX(ISIN!$B:$B,MATCH($R1093,ISIN!$C:$C,0))),)</f>
        <v/>
      </c>
      <c r="R1093" s="38" t="str">
        <f t="array" ref="R1093">IF($E1093&lt;&gt;"",IFERROR(INDEX(ISIN!$C:$C,MATCH($E1093,ISIN!$A:$A,0)),IFERROR(INDEX($R1094:$R1200,MATCH($K1093,$K1094:$K1200,0)))),IF(AND($Y1093="change",$H1093="EUR"),IF($O1093=$O1094,$R1094,IF($O1093=$O1092,$R1092)),IFERROR(INDEX($R1094:$R1200,MATCH(SUBSTITUTE($I1093,"-","",1),$K1094:$K1200,0)))))</f>
        <v/>
      </c>
      <c r="S1093" s="37" t="str">
        <f t="shared" si="1"/>
        <v/>
      </c>
      <c r="T1093" s="39" t="str">
        <f t="shared" si="2"/>
        <v/>
      </c>
      <c r="U1093" s="40" t="str">
        <f t="shared" si="3"/>
        <v/>
      </c>
      <c r="V1093" s="34" t="str">
        <f t="shared" si="4"/>
        <v/>
      </c>
      <c r="W1093" s="41" t="str">
        <f>IFERROR(__xludf.DUMMYFUNCTION(" IF(Account!$F1093&lt;&gt;"""", SPLIT(Account!$F1093, "" ""), """")"),"")</f>
        <v/>
      </c>
      <c r="X1093" s="42"/>
      <c r="Y1093" s="42"/>
      <c r="Z1093" s="42"/>
      <c r="AA1093" s="42"/>
      <c r="AB1093" s="42"/>
      <c r="AC1093" s="42"/>
      <c r="AD1093" s="42"/>
      <c r="AE1093" s="42"/>
      <c r="AF1093" s="42"/>
      <c r="AG1093" s="42"/>
      <c r="AH1093" s="42"/>
      <c r="AI1093" s="42"/>
      <c r="AJ1093" s="42"/>
      <c r="AK1093" s="42"/>
    </row>
    <row r="1094">
      <c r="A1094" s="20"/>
      <c r="B1094" s="20"/>
      <c r="C1094" s="20"/>
      <c r="D1094" s="20"/>
      <c r="E1094" s="20"/>
      <c r="F1094" s="21"/>
      <c r="G1094" s="20"/>
      <c r="H1094" s="20"/>
      <c r="I1094" s="20"/>
      <c r="J1094" s="20"/>
      <c r="K1094" s="20"/>
      <c r="L1094" s="21"/>
      <c r="M1094" s="33" t="str">
        <f>IFERROR(__xludf.DUMMYFUNCTION("IFS(W1094=""Achat"",IFERROR(VALUE(X1094),VALUE(REGEXREPLACE(T(X1094),""[^0-9]"",""""))),W1094=""Vente"",-IFERROR(VALUE(X1094),VALUE(REGEXREPLACE(T(X1094),""[^0-9]"",""""))),Y1094=""Change"",0,Y1094&lt;&gt;""Change"","""")"),"")</f>
        <v/>
      </c>
      <c r="N1094" s="34" t="str">
        <f>IFERROR(__xludf.DUMMYFUNCTION("IF(Account!$F1094&lt;&gt;"""", VALUE(REGEXREPLACE($I1094, ""\,"", ""."")), """")"),"")</f>
        <v/>
      </c>
      <c r="O1094" s="35" t="str">
        <f>IF(Account!$F1094&lt;&gt;"", DATEVALUE(MID($A1094,4,3) &amp; LEFT($A1094,3) &amp; RIGHT($A1094,4)) + TIMEVALUE($B1094), "")</f>
        <v/>
      </c>
      <c r="P1094" s="36" t="str">
        <f>IF(Account!$F1094&lt;&gt;"", DATEVALUE(MID($C1094,4,3) &amp; LEFT($C1094,3) &amp; RIGHT($C1094,4)), "")</f>
        <v/>
      </c>
      <c r="Q1094" s="37" t="str">
        <f t="array" ref="Q1094">IF($R1094&lt;&gt;"",IFERROR(INDEX(ISIN!$B:$B,MATCH($R1094,ISIN!$C:$C,0))),)</f>
        <v/>
      </c>
      <c r="R1094" s="38" t="str">
        <f t="array" ref="R1094">IF($E1094&lt;&gt;"",IFERROR(INDEX(ISIN!$C:$C,MATCH($E1094,ISIN!$A:$A,0)),IFERROR(INDEX($R1095:$R1200,MATCH($K1094,$K1095:$K1200,0)))),IF(AND($Y1094="change",$H1094="EUR"),IF($O1094=$O1095,$R1095,IF($O1094=$O1093,$R1093)),IFERROR(INDEX($R1095:$R1200,MATCH(SUBSTITUTE($I1094,"-","",1),$K1095:$K1200,0)))))</f>
        <v/>
      </c>
      <c r="S1094" s="37" t="str">
        <f t="shared" si="1"/>
        <v/>
      </c>
      <c r="T1094" s="39" t="str">
        <f t="shared" si="2"/>
        <v/>
      </c>
      <c r="U1094" s="40" t="str">
        <f t="shared" si="3"/>
        <v/>
      </c>
      <c r="V1094" s="34" t="str">
        <f t="shared" si="4"/>
        <v/>
      </c>
      <c r="W1094" s="41" t="str">
        <f>IFERROR(__xludf.DUMMYFUNCTION(" IF(Account!$F1094&lt;&gt;"""", SPLIT(Account!$F1094, "" ""), """")"),"")</f>
        <v/>
      </c>
      <c r="X1094" s="42"/>
      <c r="Y1094" s="42"/>
      <c r="Z1094" s="42"/>
      <c r="AA1094" s="42"/>
      <c r="AB1094" s="42"/>
      <c r="AC1094" s="42"/>
      <c r="AD1094" s="42"/>
      <c r="AE1094" s="42"/>
      <c r="AF1094" s="42"/>
      <c r="AG1094" s="42"/>
      <c r="AH1094" s="42"/>
      <c r="AI1094" s="42"/>
      <c r="AJ1094" s="42"/>
      <c r="AK1094" s="42"/>
    </row>
    <row r="1095">
      <c r="A1095" s="20"/>
      <c r="B1095" s="20"/>
      <c r="C1095" s="20"/>
      <c r="D1095" s="20"/>
      <c r="E1095" s="20"/>
      <c r="F1095" s="21"/>
      <c r="G1095" s="45"/>
      <c r="H1095" s="20"/>
      <c r="I1095" s="20"/>
      <c r="J1095" s="20"/>
      <c r="K1095" s="20"/>
      <c r="L1095" s="21"/>
      <c r="M1095" s="33" t="str">
        <f>IFERROR(__xludf.DUMMYFUNCTION("IFS(W1095=""Achat"",IFERROR(VALUE(X1095),VALUE(REGEXREPLACE(T(X1095),""[^0-9]"",""""))),W1095=""Vente"",-IFERROR(VALUE(X1095),VALUE(REGEXREPLACE(T(X1095),""[^0-9]"",""""))),Y1095=""Change"",0,Y1095&lt;&gt;""Change"","""")"),"")</f>
        <v/>
      </c>
      <c r="N1095" s="34" t="str">
        <f>IFERROR(__xludf.DUMMYFUNCTION("IF(Account!$F1095&lt;&gt;"""", VALUE(REGEXREPLACE($I1095, ""\,"", ""."")), """")"),"")</f>
        <v/>
      </c>
      <c r="O1095" s="35" t="str">
        <f>IF(Account!$F1095&lt;&gt;"", DATEVALUE(MID($A1095,4,3) &amp; LEFT($A1095,3) &amp; RIGHT($A1095,4)) + TIMEVALUE($B1095), "")</f>
        <v/>
      </c>
      <c r="P1095" s="36" t="str">
        <f>IF(Account!$F1095&lt;&gt;"", DATEVALUE(MID($C1095,4,3) &amp; LEFT($C1095,3) &amp; RIGHT($C1095,4)), "")</f>
        <v/>
      </c>
      <c r="Q1095" s="37" t="str">
        <f t="array" ref="Q1095">IF($R1095&lt;&gt;"",IFERROR(INDEX(ISIN!$B:$B,MATCH($R1095,ISIN!$C:$C,0))),)</f>
        <v/>
      </c>
      <c r="R1095" s="38" t="str">
        <f t="array" ref="R1095">IF($E1095&lt;&gt;"",IFERROR(INDEX(ISIN!$C:$C,MATCH($E1095,ISIN!$A:$A,0)),IFERROR(INDEX($R1096:$R1200,MATCH($K1095,$K1096:$K1200,0)))),IF(AND($Y1095="change",$H1095="EUR"),IF($O1095=$O1096,$R1096,IF($O1095=$O1094,$R1094)),IFERROR(INDEX($R1096:$R1200,MATCH(SUBSTITUTE($I1095,"-","",1),$K1096:$K1200,0)))))</f>
        <v/>
      </c>
      <c r="S1095" s="37" t="str">
        <f t="shared" si="1"/>
        <v/>
      </c>
      <c r="T1095" s="39" t="str">
        <f t="shared" si="2"/>
        <v/>
      </c>
      <c r="U1095" s="40" t="str">
        <f t="shared" si="3"/>
        <v/>
      </c>
      <c r="V1095" s="34" t="str">
        <f t="shared" si="4"/>
        <v/>
      </c>
      <c r="W1095" s="41" t="str">
        <f>IFERROR(__xludf.DUMMYFUNCTION(" IF(Account!$F1095&lt;&gt;"""", SPLIT(Account!$F1095, "" ""), """")"),"")</f>
        <v/>
      </c>
      <c r="X1095" s="42"/>
      <c r="Y1095" s="42"/>
      <c r="Z1095" s="42"/>
      <c r="AA1095" s="42"/>
      <c r="AB1095" s="42"/>
      <c r="AC1095" s="42"/>
      <c r="AD1095" s="42"/>
      <c r="AE1095" s="42"/>
      <c r="AF1095" s="42"/>
      <c r="AG1095" s="42"/>
      <c r="AH1095" s="42"/>
      <c r="AI1095" s="42"/>
      <c r="AJ1095" s="42"/>
      <c r="AK1095" s="42"/>
    </row>
    <row r="1096">
      <c r="A1096" s="20"/>
      <c r="B1096" s="20"/>
      <c r="C1096" s="20"/>
      <c r="D1096" s="20"/>
      <c r="E1096" s="20"/>
      <c r="F1096" s="21"/>
      <c r="G1096" s="45"/>
      <c r="H1096" s="20"/>
      <c r="I1096" s="20"/>
      <c r="J1096" s="20"/>
      <c r="K1096" s="20"/>
      <c r="L1096" s="21"/>
      <c r="M1096" s="33" t="str">
        <f>IFERROR(__xludf.DUMMYFUNCTION("IFS(W1096=""Achat"",IFERROR(VALUE(X1096),VALUE(REGEXREPLACE(T(X1096),""[^0-9]"",""""))),W1096=""Vente"",-IFERROR(VALUE(X1096),VALUE(REGEXREPLACE(T(X1096),""[^0-9]"",""""))),Y1096=""Change"",0,Y1096&lt;&gt;""Change"","""")"),"")</f>
        <v/>
      </c>
      <c r="N1096" s="34" t="str">
        <f>IFERROR(__xludf.DUMMYFUNCTION("IF(Account!$F1096&lt;&gt;"""", VALUE(REGEXREPLACE($I1096, ""\,"", ""."")), """")"),"")</f>
        <v/>
      </c>
      <c r="O1096" s="35" t="str">
        <f>IF(Account!$F1096&lt;&gt;"", DATEVALUE(MID($A1096,4,3) &amp; LEFT($A1096,3) &amp; RIGHT($A1096,4)) + TIMEVALUE($B1096), "")</f>
        <v/>
      </c>
      <c r="P1096" s="36" t="str">
        <f>IF(Account!$F1096&lt;&gt;"", DATEVALUE(MID($C1096,4,3) &amp; LEFT($C1096,3) &amp; RIGHT($C1096,4)), "")</f>
        <v/>
      </c>
      <c r="Q1096" s="37" t="str">
        <f t="array" ref="Q1096">IF($R1096&lt;&gt;"",IFERROR(INDEX(ISIN!$B:$B,MATCH($R1096,ISIN!$C:$C,0))),)</f>
        <v/>
      </c>
      <c r="R1096" s="38" t="str">
        <f t="array" ref="R1096">IF($E1096&lt;&gt;"",IFERROR(INDEX(ISIN!$C:$C,MATCH($E1096,ISIN!$A:$A,0)),IFERROR(INDEX($R1097:$R1200,MATCH($K1096,$K1097:$K1200,0)))),IF(AND($Y1096="change",$H1096="EUR"),IF($O1096=$O1097,$R1097,IF($O1096=$O1095,$R1095)),IFERROR(INDEX($R1097:$R1200,MATCH(SUBSTITUTE($I1096,"-","",1),$K1097:$K1200,0)))))</f>
        <v/>
      </c>
      <c r="S1096" s="37" t="str">
        <f t="shared" si="1"/>
        <v/>
      </c>
      <c r="T1096" s="39" t="str">
        <f t="shared" si="2"/>
        <v/>
      </c>
      <c r="U1096" s="40" t="str">
        <f t="shared" si="3"/>
        <v/>
      </c>
      <c r="V1096" s="34" t="str">
        <f t="shared" si="4"/>
        <v/>
      </c>
      <c r="W1096" s="41" t="str">
        <f>IFERROR(__xludf.DUMMYFUNCTION(" IF(Account!$F1096&lt;&gt;"""", SPLIT(Account!$F1096, "" ""), """")"),"")</f>
        <v/>
      </c>
      <c r="X1096" s="42"/>
      <c r="Y1096" s="42"/>
      <c r="Z1096" s="42"/>
      <c r="AA1096" s="42"/>
      <c r="AB1096" s="42"/>
      <c r="AC1096" s="42"/>
      <c r="AD1096" s="42"/>
      <c r="AE1096" s="42"/>
      <c r="AF1096" s="42"/>
      <c r="AG1096" s="42"/>
      <c r="AH1096" s="42"/>
      <c r="AI1096" s="42"/>
      <c r="AJ1096" s="42"/>
      <c r="AK1096" s="42"/>
    </row>
    <row r="1097">
      <c r="A1097" s="20"/>
      <c r="B1097" s="20"/>
      <c r="C1097" s="20"/>
      <c r="D1097" s="20"/>
      <c r="E1097" s="20"/>
      <c r="F1097" s="21"/>
      <c r="G1097" s="20"/>
      <c r="H1097" s="20"/>
      <c r="I1097" s="20"/>
      <c r="J1097" s="20"/>
      <c r="K1097" s="20"/>
      <c r="L1097" s="21"/>
      <c r="M1097" s="33" t="str">
        <f>IFERROR(__xludf.DUMMYFUNCTION("IFS(W1097=""Achat"",IFERROR(VALUE(X1097),VALUE(REGEXREPLACE(T(X1097),""[^0-9]"",""""))),W1097=""Vente"",-IFERROR(VALUE(X1097),VALUE(REGEXREPLACE(T(X1097),""[^0-9]"",""""))),Y1097=""Change"",0,Y1097&lt;&gt;""Change"","""")"),"")</f>
        <v/>
      </c>
      <c r="N1097" s="34" t="str">
        <f>IFERROR(__xludf.DUMMYFUNCTION("IF(Account!$F1097&lt;&gt;"""", VALUE(REGEXREPLACE($I1097, ""\,"", ""."")), """")"),"")</f>
        <v/>
      </c>
      <c r="O1097" s="35" t="str">
        <f>IF(Account!$F1097&lt;&gt;"", DATEVALUE(MID($A1097,4,3) &amp; LEFT($A1097,3) &amp; RIGHT($A1097,4)) + TIMEVALUE($B1097), "")</f>
        <v/>
      </c>
      <c r="P1097" s="36" t="str">
        <f>IF(Account!$F1097&lt;&gt;"", DATEVALUE(MID($C1097,4,3) &amp; LEFT($C1097,3) &amp; RIGHT($C1097,4)), "")</f>
        <v/>
      </c>
      <c r="Q1097" s="37" t="str">
        <f t="array" ref="Q1097">IF($R1097&lt;&gt;"",IFERROR(INDEX(ISIN!$B:$B,MATCH($R1097,ISIN!$C:$C,0))),)</f>
        <v/>
      </c>
      <c r="R1097" s="38" t="str">
        <f t="array" ref="R1097">IF($E1097&lt;&gt;"",IFERROR(INDEX(ISIN!$C:$C,MATCH($E1097,ISIN!$A:$A,0)),IFERROR(INDEX($R1098:$R1200,MATCH($K1097,$K1098:$K1200,0)))),IF(AND($Y1097="change",$H1097="EUR"),IF($O1097=$O1098,$R1098,IF($O1097=$O1096,$R1096)),IFERROR(INDEX($R1098:$R1200,MATCH(SUBSTITUTE($I1097,"-","",1),$K1098:$K1200,0)))))</f>
        <v/>
      </c>
      <c r="S1097" s="37" t="str">
        <f t="shared" si="1"/>
        <v/>
      </c>
      <c r="T1097" s="39" t="str">
        <f t="shared" si="2"/>
        <v/>
      </c>
      <c r="U1097" s="40" t="str">
        <f t="shared" si="3"/>
        <v/>
      </c>
      <c r="V1097" s="34" t="str">
        <f t="shared" si="4"/>
        <v/>
      </c>
      <c r="W1097" s="41" t="str">
        <f>IFERROR(__xludf.DUMMYFUNCTION(" IF(Account!$F1097&lt;&gt;"""", SPLIT(Account!$F1097, "" ""), """")"),"")</f>
        <v/>
      </c>
      <c r="X1097" s="42"/>
      <c r="Y1097" s="42"/>
      <c r="Z1097" s="42"/>
      <c r="AA1097" s="42"/>
      <c r="AB1097" s="42"/>
      <c r="AC1097" s="42"/>
      <c r="AD1097" s="42"/>
      <c r="AE1097" s="42"/>
      <c r="AF1097" s="42"/>
      <c r="AG1097" s="42"/>
      <c r="AH1097" s="42"/>
      <c r="AI1097" s="42"/>
      <c r="AJ1097" s="42"/>
      <c r="AK1097" s="42"/>
    </row>
    <row r="1098">
      <c r="A1098" s="45"/>
      <c r="B1098" s="45"/>
      <c r="C1098" s="45"/>
      <c r="D1098" s="45"/>
      <c r="E1098" s="45"/>
      <c r="F1098" s="46"/>
      <c r="G1098" s="45"/>
      <c r="H1098" s="45"/>
      <c r="I1098" s="45"/>
      <c r="J1098" s="45"/>
      <c r="K1098" s="45"/>
      <c r="L1098" s="21"/>
      <c r="M1098" s="33" t="str">
        <f>IFERROR(__xludf.DUMMYFUNCTION("IFS(W1098=""Achat"",IFERROR(VALUE(X1098),VALUE(REGEXREPLACE(T(X1098),""[^0-9]"",""""))),W1098=""Vente"",-IFERROR(VALUE(X1098),VALUE(REGEXREPLACE(T(X1098),""[^0-9]"",""""))),Y1098=""Change"",0,Y1098&lt;&gt;""Change"","""")"),"")</f>
        <v/>
      </c>
      <c r="N1098" s="34" t="str">
        <f>IFERROR(__xludf.DUMMYFUNCTION("IF(Account!$F1098&lt;&gt;"""", VALUE(REGEXREPLACE($I1098, ""\,"", ""."")), """")"),"")</f>
        <v/>
      </c>
      <c r="O1098" s="35" t="str">
        <f>IF(Account!$F1098&lt;&gt;"", DATEVALUE(MID($A1098,4,3) &amp; LEFT($A1098,3) &amp; RIGHT($A1098,4)) + TIMEVALUE($B1098), "")</f>
        <v/>
      </c>
      <c r="P1098" s="36" t="str">
        <f>IF(Account!$F1098&lt;&gt;"", DATEVALUE(MID($C1098,4,3) &amp; LEFT($C1098,3) &amp; RIGHT($C1098,4)), "")</f>
        <v/>
      </c>
      <c r="Q1098" s="37" t="str">
        <f t="array" ref="Q1098">IF($R1098&lt;&gt;"",IFERROR(INDEX(ISIN!$B:$B,MATCH($R1098,ISIN!$C:$C,0))),)</f>
        <v/>
      </c>
      <c r="R1098" s="38" t="str">
        <f t="array" ref="R1098">IF($E1098&lt;&gt;"",IFERROR(INDEX(ISIN!$C:$C,MATCH($E1098,ISIN!$A:$A,0)),IFERROR(INDEX($R1099:$R1200,MATCH($K1098,$K1099:$K1200,0)))),IF(AND($Y1098="change",$H1098="EUR"),IF($O1098=$O1099,$R1099,IF($O1098=$O1097,$R1097)),IFERROR(INDEX($R1099:$R1200,MATCH(SUBSTITUTE($I1098,"-","",1),$K1099:$K1200,0)))))</f>
        <v/>
      </c>
      <c r="S1098" s="37" t="str">
        <f t="shared" si="1"/>
        <v/>
      </c>
      <c r="T1098" s="39" t="str">
        <f t="shared" si="2"/>
        <v/>
      </c>
      <c r="U1098" s="40" t="str">
        <f t="shared" si="3"/>
        <v/>
      </c>
      <c r="V1098" s="34" t="str">
        <f t="shared" si="4"/>
        <v/>
      </c>
      <c r="W1098" s="41" t="str">
        <f>IFERROR(__xludf.DUMMYFUNCTION(" IF(Account!$F1098&lt;&gt;"""", SPLIT(Account!$F1098, "" ""), """")"),"")</f>
        <v/>
      </c>
      <c r="X1098" s="42"/>
      <c r="Y1098" s="42"/>
      <c r="Z1098" s="42"/>
      <c r="AA1098" s="42"/>
      <c r="AB1098" s="42"/>
      <c r="AC1098" s="42"/>
      <c r="AD1098" s="42"/>
      <c r="AE1098" s="42"/>
      <c r="AF1098" s="42"/>
      <c r="AG1098" s="42"/>
      <c r="AH1098" s="42"/>
      <c r="AI1098" s="42"/>
      <c r="AJ1098" s="42"/>
      <c r="AK1098" s="42"/>
    </row>
    <row r="1099">
      <c r="A1099" s="20"/>
      <c r="B1099" s="20"/>
      <c r="C1099" s="20"/>
      <c r="D1099" s="20"/>
      <c r="E1099" s="20"/>
      <c r="F1099" s="21"/>
      <c r="G1099" s="45"/>
      <c r="H1099" s="20"/>
      <c r="I1099" s="20"/>
      <c r="J1099" s="20"/>
      <c r="K1099" s="20"/>
      <c r="L1099" s="21"/>
      <c r="M1099" s="33" t="str">
        <f>IFERROR(__xludf.DUMMYFUNCTION("IFS(W1099=""Achat"",IFERROR(VALUE(X1099),VALUE(REGEXREPLACE(T(X1099),""[^0-9]"",""""))),W1099=""Vente"",-IFERROR(VALUE(X1099),VALUE(REGEXREPLACE(T(X1099),""[^0-9]"",""""))),Y1099=""Change"",0,Y1099&lt;&gt;""Change"","""")"),"")</f>
        <v/>
      </c>
      <c r="N1099" s="34" t="str">
        <f>IFERROR(__xludf.DUMMYFUNCTION("IF(Account!$F1099&lt;&gt;"""", VALUE(REGEXREPLACE($I1099, ""\,"", ""."")), """")"),"")</f>
        <v/>
      </c>
      <c r="O1099" s="35" t="str">
        <f>IF(Account!$F1099&lt;&gt;"", DATEVALUE(MID($A1099,4,3) &amp; LEFT($A1099,3) &amp; RIGHT($A1099,4)) + TIMEVALUE($B1099), "")</f>
        <v/>
      </c>
      <c r="P1099" s="36" t="str">
        <f>IF(Account!$F1099&lt;&gt;"", DATEVALUE(MID($C1099,4,3) &amp; LEFT($C1099,3) &amp; RIGHT($C1099,4)), "")</f>
        <v/>
      </c>
      <c r="Q1099" s="37" t="str">
        <f t="array" ref="Q1099">IF($R1099&lt;&gt;"",IFERROR(INDEX(ISIN!$B:$B,MATCH($R1099,ISIN!$C:$C,0))),)</f>
        <v/>
      </c>
      <c r="R1099" s="38" t="str">
        <f t="array" ref="R1099">IF($E1099&lt;&gt;"",IFERROR(INDEX(ISIN!$C:$C,MATCH($E1099,ISIN!$A:$A,0)),IFERROR(INDEX($R1100:$R1200,MATCH($K1099,$K1100:$K1200,0)))),IF(AND($Y1099="change",$H1099="EUR"),IF($O1099=$O1100,$R1100,IF($O1099=$O1098,$R1098)),IFERROR(INDEX($R1100:$R1200,MATCH(SUBSTITUTE($I1099,"-","",1),$K1100:$K1200,0)))))</f>
        <v/>
      </c>
      <c r="S1099" s="37" t="str">
        <f t="shared" si="1"/>
        <v/>
      </c>
      <c r="T1099" s="39" t="str">
        <f t="shared" si="2"/>
        <v/>
      </c>
      <c r="U1099" s="40" t="str">
        <f t="shared" si="3"/>
        <v/>
      </c>
      <c r="V1099" s="34" t="str">
        <f t="shared" si="4"/>
        <v/>
      </c>
      <c r="W1099" s="41" t="str">
        <f>IFERROR(__xludf.DUMMYFUNCTION(" IF(Account!$F1099&lt;&gt;"""", SPLIT(Account!$F1099, "" ""), """")"),"")</f>
        <v/>
      </c>
      <c r="X1099" s="42"/>
      <c r="Y1099" s="42"/>
      <c r="Z1099" s="42"/>
      <c r="AA1099" s="42"/>
      <c r="AB1099" s="42"/>
      <c r="AC1099" s="42"/>
      <c r="AD1099" s="42"/>
      <c r="AE1099" s="42"/>
      <c r="AF1099" s="42"/>
      <c r="AG1099" s="42"/>
      <c r="AH1099" s="42"/>
      <c r="AI1099" s="42"/>
      <c r="AJ1099" s="42"/>
      <c r="AK1099" s="42"/>
    </row>
    <row r="1100">
      <c r="A1100" s="20"/>
      <c r="B1100" s="20"/>
      <c r="C1100" s="20"/>
      <c r="D1100" s="20"/>
      <c r="E1100" s="20"/>
      <c r="F1100" s="21"/>
      <c r="G1100" s="45"/>
      <c r="H1100" s="20"/>
      <c r="I1100" s="20"/>
      <c r="J1100" s="20"/>
      <c r="K1100" s="20"/>
      <c r="L1100" s="21"/>
      <c r="M1100" s="33" t="str">
        <f>IFERROR(__xludf.DUMMYFUNCTION("IFS(W1100=""Achat"",IFERROR(VALUE(X1100),VALUE(REGEXREPLACE(T(X1100),""[^0-9]"",""""))),W1100=""Vente"",-IFERROR(VALUE(X1100),VALUE(REGEXREPLACE(T(X1100),""[^0-9]"",""""))),Y1100=""Change"",0,Y1100&lt;&gt;""Change"","""")"),"")</f>
        <v/>
      </c>
      <c r="N1100" s="34" t="str">
        <f>IFERROR(__xludf.DUMMYFUNCTION("IF(Account!$F1100&lt;&gt;"""", VALUE(REGEXREPLACE($I1100, ""\,"", ""."")), """")"),"")</f>
        <v/>
      </c>
      <c r="O1100" s="35" t="str">
        <f>IF(Account!$F1100&lt;&gt;"", DATEVALUE(MID($A1100,4,3) &amp; LEFT($A1100,3) &amp; RIGHT($A1100,4)) + TIMEVALUE($B1100), "")</f>
        <v/>
      </c>
      <c r="P1100" s="36" t="str">
        <f>IF(Account!$F1100&lt;&gt;"", DATEVALUE(MID($C1100,4,3) &amp; LEFT($C1100,3) &amp; RIGHT($C1100,4)), "")</f>
        <v/>
      </c>
      <c r="Q1100" s="37" t="str">
        <f t="array" ref="Q1100">IF($R1100&lt;&gt;"",IFERROR(INDEX(ISIN!$B:$B,MATCH($R1100,ISIN!$C:$C,0))),)</f>
        <v/>
      </c>
      <c r="R1100" s="38" t="str">
        <f t="array" ref="R1100">IF($E1100&lt;&gt;"",IFERROR(INDEX(ISIN!$C:$C,MATCH($E1100,ISIN!$A:$A,0)),IFERROR(INDEX($R1101:$R1200,MATCH($K1100,$K1101:$K1200,0)))),IF(AND($Y1100="change",$H1100="EUR"),IF($O1100=$O1101,$R1101,IF($O1100=$O1099,$R1099)),IFERROR(INDEX($R1101:$R1200,MATCH(SUBSTITUTE($I1100,"-","",1),$K1101:$K1200,0)))))</f>
        <v/>
      </c>
      <c r="S1100" s="37" t="str">
        <f t="shared" si="1"/>
        <v/>
      </c>
      <c r="T1100" s="39" t="str">
        <f t="shared" si="2"/>
        <v/>
      </c>
      <c r="U1100" s="40" t="str">
        <f t="shared" si="3"/>
        <v/>
      </c>
      <c r="V1100" s="34" t="str">
        <f t="shared" si="4"/>
        <v/>
      </c>
      <c r="W1100" s="41" t="str">
        <f>IFERROR(__xludf.DUMMYFUNCTION(" IF(Account!$F1100&lt;&gt;"""", SPLIT(Account!$F1100, "" ""), """")"),"")</f>
        <v/>
      </c>
      <c r="X1100" s="42"/>
      <c r="Y1100" s="42"/>
      <c r="Z1100" s="42"/>
      <c r="AA1100" s="42"/>
      <c r="AB1100" s="42"/>
      <c r="AC1100" s="42"/>
      <c r="AD1100" s="42"/>
      <c r="AE1100" s="42"/>
      <c r="AF1100" s="42"/>
      <c r="AG1100" s="42"/>
      <c r="AH1100" s="42"/>
      <c r="AI1100" s="42"/>
      <c r="AJ1100" s="42"/>
      <c r="AK1100" s="42"/>
    </row>
    <row r="1101">
      <c r="A1101" s="20"/>
      <c r="B1101" s="20"/>
      <c r="C1101" s="20"/>
      <c r="D1101" s="20"/>
      <c r="E1101" s="20"/>
      <c r="F1101" s="21"/>
      <c r="G1101" s="45"/>
      <c r="H1101" s="20"/>
      <c r="I1101" s="20"/>
      <c r="J1101" s="20"/>
      <c r="K1101" s="20"/>
      <c r="L1101" s="21"/>
      <c r="M1101" s="33" t="str">
        <f>IFERROR(__xludf.DUMMYFUNCTION("IFS(W1101=""Achat"",IFERROR(VALUE(X1101),VALUE(REGEXREPLACE(T(X1101),""[^0-9]"",""""))),W1101=""Vente"",-IFERROR(VALUE(X1101),VALUE(REGEXREPLACE(T(X1101),""[^0-9]"",""""))),Y1101=""Change"",0,Y1101&lt;&gt;""Change"","""")"),"")</f>
        <v/>
      </c>
      <c r="N1101" s="34" t="str">
        <f>IFERROR(__xludf.DUMMYFUNCTION("IF(Account!$F1101&lt;&gt;"""", VALUE(REGEXREPLACE($I1101, ""\,"", ""."")), """")"),"")</f>
        <v/>
      </c>
      <c r="O1101" s="35" t="str">
        <f>IF(Account!$F1101&lt;&gt;"", DATEVALUE(MID($A1101,4,3) &amp; LEFT($A1101,3) &amp; RIGHT($A1101,4)) + TIMEVALUE($B1101), "")</f>
        <v/>
      </c>
      <c r="P1101" s="36" t="str">
        <f>IF(Account!$F1101&lt;&gt;"", DATEVALUE(MID($C1101,4,3) &amp; LEFT($C1101,3) &amp; RIGHT($C1101,4)), "")</f>
        <v/>
      </c>
      <c r="Q1101" s="37" t="str">
        <f t="array" ref="Q1101">IF($R1101&lt;&gt;"",IFERROR(INDEX(ISIN!$B:$B,MATCH($R1101,ISIN!$C:$C,0))),)</f>
        <v/>
      </c>
      <c r="R1101" s="38" t="str">
        <f t="array" ref="R1101">IF($E1101&lt;&gt;"",IFERROR(INDEX(ISIN!$C:$C,MATCH($E1101,ISIN!$A:$A,0)),IFERROR(INDEX($R1102:$R1200,MATCH($K1101,$K1102:$K1200,0)))),IF(AND($Y1101="change",$H1101="EUR"),IF($O1101=$O1102,$R1102,IF($O1101=$O1100,$R1100)),IFERROR(INDEX($R1102:$R1200,MATCH(SUBSTITUTE($I1101,"-","",1),$K1102:$K1200,0)))))</f>
        <v/>
      </c>
      <c r="S1101" s="37" t="str">
        <f t="shared" si="1"/>
        <v/>
      </c>
      <c r="T1101" s="39" t="str">
        <f t="shared" si="2"/>
        <v/>
      </c>
      <c r="U1101" s="40" t="str">
        <f t="shared" si="3"/>
        <v/>
      </c>
      <c r="V1101" s="34" t="str">
        <f t="shared" si="4"/>
        <v/>
      </c>
      <c r="W1101" s="41" t="str">
        <f>IFERROR(__xludf.DUMMYFUNCTION(" IF(Account!$F1101&lt;&gt;"""", SPLIT(Account!$F1101, "" ""), """")"),"")</f>
        <v/>
      </c>
      <c r="X1101" s="42"/>
      <c r="Y1101" s="42"/>
      <c r="Z1101" s="42"/>
      <c r="AA1101" s="42"/>
      <c r="AB1101" s="42"/>
      <c r="AC1101" s="42"/>
      <c r="AD1101" s="42"/>
      <c r="AE1101" s="42"/>
      <c r="AF1101" s="42"/>
      <c r="AG1101" s="42"/>
      <c r="AH1101" s="42"/>
      <c r="AI1101" s="42"/>
      <c r="AJ1101" s="42"/>
      <c r="AK1101" s="42"/>
    </row>
    <row r="1102">
      <c r="A1102" s="20"/>
      <c r="B1102" s="20"/>
      <c r="C1102" s="20"/>
      <c r="D1102" s="20"/>
      <c r="E1102" s="20"/>
      <c r="F1102" s="21"/>
      <c r="G1102" s="45"/>
      <c r="H1102" s="45"/>
      <c r="I1102" s="45"/>
      <c r="J1102" s="20"/>
      <c r="K1102" s="20"/>
      <c r="L1102" s="46"/>
      <c r="M1102" s="33" t="str">
        <f>IFERROR(__xludf.DUMMYFUNCTION("IFS(W1102=""Achat"",IFERROR(VALUE(X1102),VALUE(REGEXREPLACE(T(X1102),""[^0-9]"",""""))),W1102=""Vente"",-IFERROR(VALUE(X1102),VALUE(REGEXREPLACE(T(X1102),""[^0-9]"",""""))),Y1102=""Change"",0,Y1102&lt;&gt;""Change"","""")"),"")</f>
        <v/>
      </c>
      <c r="N1102" s="34" t="str">
        <f>IFERROR(__xludf.DUMMYFUNCTION("IF(Account!$F1102&lt;&gt;"""", VALUE(REGEXREPLACE($I1102, ""\,"", ""."")), """")"),"")</f>
        <v/>
      </c>
      <c r="O1102" s="35" t="str">
        <f>IF(Account!$F1102&lt;&gt;"", DATEVALUE(MID($A1102,4,3) &amp; LEFT($A1102,3) &amp; RIGHT($A1102,4)) + TIMEVALUE($B1102), "")</f>
        <v/>
      </c>
      <c r="P1102" s="36" t="str">
        <f>IF(Account!$F1102&lt;&gt;"", DATEVALUE(MID($C1102,4,3) &amp; LEFT($C1102,3) &amp; RIGHT($C1102,4)), "")</f>
        <v/>
      </c>
      <c r="Q1102" s="37" t="str">
        <f t="array" ref="Q1102">IF($R1102&lt;&gt;"",IFERROR(INDEX(ISIN!$B:$B,MATCH($R1102,ISIN!$C:$C,0))),)</f>
        <v/>
      </c>
      <c r="R1102" s="38" t="str">
        <f t="array" ref="R1102">IF($E1102&lt;&gt;"",IFERROR(INDEX(ISIN!$C:$C,MATCH($E1102,ISIN!$A:$A,0)),IFERROR(INDEX($R1103:$R1200,MATCH($K1102,$K1103:$K1200,0)))),IF(AND($Y1102="change",$H1102="EUR"),IF($O1102=$O1103,$R1103,IF($O1102=$O1101,$R1101)),IFERROR(INDEX($R1103:$R1200,MATCH(SUBSTITUTE($I1102,"-","",1),$K1103:$K1200,0)))))</f>
        <v/>
      </c>
      <c r="S1102" s="37" t="str">
        <f t="shared" si="1"/>
        <v/>
      </c>
      <c r="T1102" s="39" t="str">
        <f t="shared" si="2"/>
        <v/>
      </c>
      <c r="U1102" s="40" t="str">
        <f t="shared" si="3"/>
        <v/>
      </c>
      <c r="V1102" s="34" t="str">
        <f t="shared" si="4"/>
        <v/>
      </c>
      <c r="W1102" s="41" t="str">
        <f>IFERROR(__xludf.DUMMYFUNCTION(" IF(Account!$F1102&lt;&gt;"""", SPLIT(Account!$F1102, "" ""), """")"),"")</f>
        <v/>
      </c>
      <c r="X1102" s="42"/>
      <c r="Y1102" s="42"/>
      <c r="Z1102" s="42"/>
      <c r="AA1102" s="42"/>
      <c r="AB1102" s="42"/>
      <c r="AC1102" s="42"/>
      <c r="AD1102" s="42"/>
      <c r="AE1102" s="42"/>
      <c r="AF1102" s="42"/>
      <c r="AG1102" s="42"/>
      <c r="AH1102" s="42"/>
      <c r="AI1102" s="42"/>
      <c r="AJ1102" s="42"/>
      <c r="AK1102" s="42"/>
    </row>
    <row r="1103">
      <c r="A1103" s="20"/>
      <c r="B1103" s="20"/>
      <c r="C1103" s="20"/>
      <c r="D1103" s="45"/>
      <c r="E1103" s="45"/>
      <c r="F1103" s="21"/>
      <c r="G1103" s="20"/>
      <c r="H1103" s="20"/>
      <c r="I1103" s="20"/>
      <c r="J1103" s="20"/>
      <c r="K1103" s="20"/>
      <c r="L1103" s="46"/>
      <c r="M1103" s="33" t="str">
        <f>IFERROR(__xludf.DUMMYFUNCTION("IFS(W1103=""Achat"",IFERROR(VALUE(X1103),VALUE(REGEXREPLACE(T(X1103),""[^0-9]"",""""))),W1103=""Vente"",-IFERROR(VALUE(X1103),VALUE(REGEXREPLACE(T(X1103),""[^0-9]"",""""))),Y1103=""Change"",0,Y1103&lt;&gt;""Change"","""")"),"")</f>
        <v/>
      </c>
      <c r="N1103" s="34" t="str">
        <f>IFERROR(__xludf.DUMMYFUNCTION("IF(Account!$F1103&lt;&gt;"""", VALUE(REGEXREPLACE($I1103, ""\,"", ""."")), """")"),"")</f>
        <v/>
      </c>
      <c r="O1103" s="35" t="str">
        <f>IF(Account!$F1103&lt;&gt;"", DATEVALUE(MID($A1103,4,3) &amp; LEFT($A1103,3) &amp; RIGHT($A1103,4)) + TIMEVALUE($B1103), "")</f>
        <v/>
      </c>
      <c r="P1103" s="36" t="str">
        <f>IF(Account!$F1103&lt;&gt;"", DATEVALUE(MID($C1103,4,3) &amp; LEFT($C1103,3) &amp; RIGHT($C1103,4)), "")</f>
        <v/>
      </c>
      <c r="Q1103" s="37" t="str">
        <f t="array" ref="Q1103">IF($R1103&lt;&gt;"",IFERROR(INDEX(ISIN!$B:$B,MATCH($R1103,ISIN!$C:$C,0))),)</f>
        <v/>
      </c>
      <c r="R1103" s="38" t="str">
        <f t="array" ref="R1103">IF($E1103&lt;&gt;"",IFERROR(INDEX(ISIN!$C:$C,MATCH($E1103,ISIN!$A:$A,0)),IFERROR(INDEX($R1104:$R1200,MATCH($K1103,$K1104:$K1200,0)))),IF(AND($Y1103="change",$H1103="EUR"),IF($O1103=$O1104,$R1104,IF($O1103=$O1102,$R1102)),IFERROR(INDEX($R1104:$R1200,MATCH(SUBSTITUTE($I1103,"-","",1),$K1104:$K1200,0)))))</f>
        <v/>
      </c>
      <c r="S1103" s="37" t="str">
        <f t="shared" si="1"/>
        <v/>
      </c>
      <c r="T1103" s="39" t="str">
        <f t="shared" si="2"/>
        <v/>
      </c>
      <c r="U1103" s="40" t="str">
        <f t="shared" si="3"/>
        <v/>
      </c>
      <c r="V1103" s="34" t="str">
        <f t="shared" si="4"/>
        <v/>
      </c>
      <c r="W1103" s="41" t="str">
        <f>IFERROR(__xludf.DUMMYFUNCTION(" IF(Account!$F1103&lt;&gt;"""", SPLIT(Account!$F1103, "" ""), """")"),"")</f>
        <v/>
      </c>
      <c r="X1103" s="42"/>
      <c r="Y1103" s="42"/>
      <c r="Z1103" s="42"/>
      <c r="AA1103" s="42"/>
      <c r="AB1103" s="42"/>
      <c r="AC1103" s="42"/>
      <c r="AD1103" s="42"/>
      <c r="AE1103" s="42"/>
      <c r="AF1103" s="42"/>
      <c r="AG1103" s="42"/>
      <c r="AH1103" s="42"/>
      <c r="AI1103" s="42"/>
      <c r="AJ1103" s="42"/>
      <c r="AK1103" s="42"/>
    </row>
    <row r="1104">
      <c r="A1104" s="20"/>
      <c r="B1104" s="20"/>
      <c r="C1104" s="20"/>
      <c r="D1104" s="45"/>
      <c r="E1104" s="45"/>
      <c r="F1104" s="21"/>
      <c r="G1104" s="45"/>
      <c r="H1104" s="20"/>
      <c r="I1104" s="20"/>
      <c r="J1104" s="20"/>
      <c r="K1104" s="20"/>
      <c r="L1104" s="46"/>
      <c r="M1104" s="33" t="str">
        <f>IFERROR(__xludf.DUMMYFUNCTION("IFS(W1104=""Achat"",IFERROR(VALUE(X1104),VALUE(REGEXREPLACE(T(X1104),""[^0-9]"",""""))),W1104=""Vente"",-IFERROR(VALUE(X1104),VALUE(REGEXREPLACE(T(X1104),""[^0-9]"",""""))),Y1104=""Change"",0,Y1104&lt;&gt;""Change"","""")"),"")</f>
        <v/>
      </c>
      <c r="N1104" s="34" t="str">
        <f>IFERROR(__xludf.DUMMYFUNCTION("IF(Account!$F1104&lt;&gt;"""", VALUE(REGEXREPLACE($I1104, ""\,"", ""."")), """")"),"")</f>
        <v/>
      </c>
      <c r="O1104" s="35" t="str">
        <f>IF(Account!$F1104&lt;&gt;"", DATEVALUE(MID($A1104,4,3) &amp; LEFT($A1104,3) &amp; RIGHT($A1104,4)) + TIMEVALUE($B1104), "")</f>
        <v/>
      </c>
      <c r="P1104" s="36" t="str">
        <f>IF(Account!$F1104&lt;&gt;"", DATEVALUE(MID($C1104,4,3) &amp; LEFT($C1104,3) &amp; RIGHT($C1104,4)), "")</f>
        <v/>
      </c>
      <c r="Q1104" s="37" t="str">
        <f t="array" ref="Q1104">IF($R1104&lt;&gt;"",IFERROR(INDEX(ISIN!$B:$B,MATCH($R1104,ISIN!$C:$C,0))),)</f>
        <v/>
      </c>
      <c r="R1104" s="38" t="str">
        <f t="array" ref="R1104">IF($E1104&lt;&gt;"",IFERROR(INDEX(ISIN!$C:$C,MATCH($E1104,ISIN!$A:$A,0)),IFERROR(INDEX($R1105:$R1200,MATCH($K1104,$K1105:$K1200,0)))),IF(AND($Y1104="change",$H1104="EUR"),IF($O1104=$O1105,$R1105,IF($O1104=$O1103,$R1103)),IFERROR(INDEX($R1105:$R1200,MATCH(SUBSTITUTE($I1104,"-","",1),$K1105:$K1200,0)))))</f>
        <v/>
      </c>
      <c r="S1104" s="37" t="str">
        <f t="shared" si="1"/>
        <v/>
      </c>
      <c r="T1104" s="39" t="str">
        <f t="shared" si="2"/>
        <v/>
      </c>
      <c r="U1104" s="40" t="str">
        <f t="shared" si="3"/>
        <v/>
      </c>
      <c r="V1104" s="34" t="str">
        <f t="shared" si="4"/>
        <v/>
      </c>
      <c r="W1104" s="41" t="str">
        <f>IFERROR(__xludf.DUMMYFUNCTION(" IF(Account!$F1104&lt;&gt;"""", SPLIT(Account!$F1104, "" ""), """")"),"")</f>
        <v/>
      </c>
      <c r="X1104" s="42"/>
      <c r="Y1104" s="42"/>
      <c r="Z1104" s="42"/>
      <c r="AA1104" s="42"/>
      <c r="AB1104" s="42"/>
      <c r="AC1104" s="42"/>
      <c r="AD1104" s="42"/>
      <c r="AE1104" s="42"/>
      <c r="AF1104" s="42"/>
      <c r="AG1104" s="42"/>
      <c r="AH1104" s="42"/>
      <c r="AI1104" s="42"/>
      <c r="AJ1104" s="42"/>
      <c r="AK1104" s="42"/>
    </row>
    <row r="1105">
      <c r="A1105" s="20"/>
      <c r="B1105" s="20"/>
      <c r="C1105" s="20"/>
      <c r="D1105" s="20"/>
      <c r="E1105" s="20"/>
      <c r="F1105" s="21"/>
      <c r="G1105" s="45"/>
      <c r="H1105" s="45"/>
      <c r="I1105" s="45"/>
      <c r="J1105" s="20"/>
      <c r="K1105" s="20"/>
      <c r="L1105" s="46"/>
      <c r="M1105" s="33" t="str">
        <f>IFERROR(__xludf.DUMMYFUNCTION("IFS(W1105=""Achat"",IFERROR(VALUE(X1105),VALUE(REGEXREPLACE(T(X1105),""[^0-9]"",""""))),W1105=""Vente"",-IFERROR(VALUE(X1105),VALUE(REGEXREPLACE(T(X1105),""[^0-9]"",""""))),Y1105=""Change"",0,Y1105&lt;&gt;""Change"","""")"),"")</f>
        <v/>
      </c>
      <c r="N1105" s="34" t="str">
        <f>IFERROR(__xludf.DUMMYFUNCTION("IF(Account!$F1105&lt;&gt;"""", VALUE(REGEXREPLACE($I1105, ""\,"", ""."")), """")"),"")</f>
        <v/>
      </c>
      <c r="O1105" s="35" t="str">
        <f>IF(Account!$F1105&lt;&gt;"", DATEVALUE(MID($A1105,4,3) &amp; LEFT($A1105,3) &amp; RIGHT($A1105,4)) + TIMEVALUE($B1105), "")</f>
        <v/>
      </c>
      <c r="P1105" s="36" t="str">
        <f>IF(Account!$F1105&lt;&gt;"", DATEVALUE(MID($C1105,4,3) &amp; LEFT($C1105,3) &amp; RIGHT($C1105,4)), "")</f>
        <v/>
      </c>
      <c r="Q1105" s="37" t="str">
        <f t="array" ref="Q1105">IF($R1105&lt;&gt;"",IFERROR(INDEX(ISIN!$B:$B,MATCH($R1105,ISIN!$C:$C,0))),)</f>
        <v/>
      </c>
      <c r="R1105" s="38" t="str">
        <f t="array" ref="R1105">IF($E1105&lt;&gt;"",IFERROR(INDEX(ISIN!$C:$C,MATCH($E1105,ISIN!$A:$A,0)),IFERROR(INDEX($R1106:$R1200,MATCH($K1105,$K1106:$K1200,0)))),IF(AND($Y1105="change",$H1105="EUR"),IF($O1105=$O1106,$R1106,IF($O1105=$O1104,$R1104)),IFERROR(INDEX($R1106:$R1200,MATCH(SUBSTITUTE($I1105,"-","",1),$K1106:$K1200,0)))))</f>
        <v/>
      </c>
      <c r="S1105" s="37" t="str">
        <f t="shared" si="1"/>
        <v/>
      </c>
      <c r="T1105" s="39" t="str">
        <f t="shared" si="2"/>
        <v/>
      </c>
      <c r="U1105" s="40" t="str">
        <f t="shared" si="3"/>
        <v/>
      </c>
      <c r="V1105" s="34" t="str">
        <f t="shared" si="4"/>
        <v/>
      </c>
      <c r="W1105" s="41" t="str">
        <f>IFERROR(__xludf.DUMMYFUNCTION(" IF(Account!$F1105&lt;&gt;"""", SPLIT(Account!$F1105, "" ""), """")"),"")</f>
        <v/>
      </c>
      <c r="X1105" s="42"/>
      <c r="Y1105" s="42"/>
      <c r="Z1105" s="42"/>
      <c r="AA1105" s="42"/>
      <c r="AB1105" s="42"/>
      <c r="AC1105" s="42"/>
      <c r="AD1105" s="42"/>
      <c r="AE1105" s="42"/>
      <c r="AF1105" s="42"/>
      <c r="AG1105" s="42"/>
      <c r="AH1105" s="42"/>
      <c r="AI1105" s="42"/>
      <c r="AJ1105" s="42"/>
      <c r="AK1105" s="42"/>
    </row>
    <row r="1106">
      <c r="A1106" s="20"/>
      <c r="B1106" s="20"/>
      <c r="C1106" s="20"/>
      <c r="D1106" s="20"/>
      <c r="E1106" s="20"/>
      <c r="F1106" s="21"/>
      <c r="G1106" s="45"/>
      <c r="H1106" s="20"/>
      <c r="I1106" s="20"/>
      <c r="J1106" s="20"/>
      <c r="K1106" s="20"/>
      <c r="L1106" s="46"/>
      <c r="M1106" s="33" t="str">
        <f>IFERROR(__xludf.DUMMYFUNCTION("IFS(W1106=""Achat"",IFERROR(VALUE(X1106),VALUE(REGEXREPLACE(T(X1106),""[^0-9]"",""""))),W1106=""Vente"",-IFERROR(VALUE(X1106),VALUE(REGEXREPLACE(T(X1106),""[^0-9]"",""""))),Y1106=""Change"",0,Y1106&lt;&gt;""Change"","""")"),"")</f>
        <v/>
      </c>
      <c r="N1106" s="34" t="str">
        <f>IFERROR(__xludf.DUMMYFUNCTION("IF(Account!$F1106&lt;&gt;"""", VALUE(REGEXREPLACE($I1106, ""\,"", ""."")), """")"),"")</f>
        <v/>
      </c>
      <c r="O1106" s="35" t="str">
        <f>IF(Account!$F1106&lt;&gt;"", DATEVALUE(MID($A1106,4,3) &amp; LEFT($A1106,3) &amp; RIGHT($A1106,4)) + TIMEVALUE($B1106), "")</f>
        <v/>
      </c>
      <c r="P1106" s="36" t="str">
        <f>IF(Account!$F1106&lt;&gt;"", DATEVALUE(MID($C1106,4,3) &amp; LEFT($C1106,3) &amp; RIGHT($C1106,4)), "")</f>
        <v/>
      </c>
      <c r="Q1106" s="37" t="str">
        <f t="array" ref="Q1106">IF($R1106&lt;&gt;"",IFERROR(INDEX(ISIN!$B:$B,MATCH($R1106,ISIN!$C:$C,0))),)</f>
        <v/>
      </c>
      <c r="R1106" s="38" t="str">
        <f t="array" ref="R1106">IF($E1106&lt;&gt;"",IFERROR(INDEX(ISIN!$C:$C,MATCH($E1106,ISIN!$A:$A,0)),IFERROR(INDEX($R1107:$R1200,MATCH($K1106,$K1107:$K1200,0)))),IF(AND($Y1106="change",$H1106="EUR"),IF($O1106=$O1107,$R1107,IF($O1106=$O1105,$R1105)),IFERROR(INDEX($R1107:$R1200,MATCH(SUBSTITUTE($I1106,"-","",1),$K1107:$K1200,0)))))</f>
        <v/>
      </c>
      <c r="S1106" s="37" t="str">
        <f t="shared" si="1"/>
        <v/>
      </c>
      <c r="T1106" s="39" t="str">
        <f t="shared" si="2"/>
        <v/>
      </c>
      <c r="U1106" s="40" t="str">
        <f t="shared" si="3"/>
        <v/>
      </c>
      <c r="V1106" s="34" t="str">
        <f t="shared" si="4"/>
        <v/>
      </c>
      <c r="W1106" s="41" t="str">
        <f>IFERROR(__xludf.DUMMYFUNCTION(" IF(Account!$F1106&lt;&gt;"""", SPLIT(Account!$F1106, "" ""), """")"),"")</f>
        <v/>
      </c>
      <c r="X1106" s="42"/>
      <c r="Y1106" s="42"/>
      <c r="Z1106" s="42"/>
      <c r="AA1106" s="42"/>
      <c r="AB1106" s="42"/>
      <c r="AC1106" s="42"/>
      <c r="AD1106" s="42"/>
      <c r="AE1106" s="42"/>
      <c r="AF1106" s="42"/>
      <c r="AG1106" s="42"/>
      <c r="AH1106" s="42"/>
      <c r="AI1106" s="42"/>
      <c r="AJ1106" s="42"/>
      <c r="AK1106" s="42"/>
    </row>
    <row r="1107">
      <c r="A1107" s="20"/>
      <c r="B1107" s="20"/>
      <c r="C1107" s="20"/>
      <c r="D1107" s="20"/>
      <c r="E1107" s="20"/>
      <c r="F1107" s="21"/>
      <c r="G1107" s="45"/>
      <c r="H1107" s="20"/>
      <c r="I1107" s="20"/>
      <c r="J1107" s="20"/>
      <c r="K1107" s="20"/>
      <c r="L1107" s="46"/>
      <c r="M1107" s="33" t="str">
        <f>IFERROR(__xludf.DUMMYFUNCTION("IFS(W1107=""Achat"",IFERROR(VALUE(X1107),VALUE(REGEXREPLACE(T(X1107),""[^0-9]"",""""))),W1107=""Vente"",-IFERROR(VALUE(X1107),VALUE(REGEXREPLACE(T(X1107),""[^0-9]"",""""))),Y1107=""Change"",0,Y1107&lt;&gt;""Change"","""")"),"")</f>
        <v/>
      </c>
      <c r="N1107" s="34" t="str">
        <f>IFERROR(__xludf.DUMMYFUNCTION("IF(Account!$F1107&lt;&gt;"""", VALUE(REGEXREPLACE($I1107, ""\,"", ""."")), """")"),"")</f>
        <v/>
      </c>
      <c r="O1107" s="35" t="str">
        <f>IF(Account!$F1107&lt;&gt;"", DATEVALUE(MID($A1107,4,3) &amp; LEFT($A1107,3) &amp; RIGHT($A1107,4)) + TIMEVALUE($B1107), "")</f>
        <v/>
      </c>
      <c r="P1107" s="36" t="str">
        <f>IF(Account!$F1107&lt;&gt;"", DATEVALUE(MID($C1107,4,3) &amp; LEFT($C1107,3) &amp; RIGHT($C1107,4)), "")</f>
        <v/>
      </c>
      <c r="Q1107" s="37" t="str">
        <f t="array" ref="Q1107">IF($R1107&lt;&gt;"",IFERROR(INDEX(ISIN!$B:$B,MATCH($R1107,ISIN!$C:$C,0))),)</f>
        <v/>
      </c>
      <c r="R1107" s="38" t="str">
        <f t="array" ref="R1107">IF($E1107&lt;&gt;"",IFERROR(INDEX(ISIN!$C:$C,MATCH($E1107,ISIN!$A:$A,0)),IFERROR(INDEX($R1108:$R1200,MATCH($K1107,$K1108:$K1200,0)))),IF(AND($Y1107="change",$H1107="EUR"),IF($O1107=$O1108,$R1108,IF($O1107=$O1106,$R1106)),IFERROR(INDEX($R1108:$R1200,MATCH(SUBSTITUTE($I1107,"-","",1),$K1108:$K1200,0)))))</f>
        <v/>
      </c>
      <c r="S1107" s="37" t="str">
        <f t="shared" si="1"/>
        <v/>
      </c>
      <c r="T1107" s="39" t="str">
        <f t="shared" si="2"/>
        <v/>
      </c>
      <c r="U1107" s="40" t="str">
        <f t="shared" si="3"/>
        <v/>
      </c>
      <c r="V1107" s="34" t="str">
        <f t="shared" si="4"/>
        <v/>
      </c>
      <c r="W1107" s="41" t="str">
        <f>IFERROR(__xludf.DUMMYFUNCTION(" IF(Account!$F1107&lt;&gt;"""", SPLIT(Account!$F1107, "" ""), """")"),"")</f>
        <v/>
      </c>
      <c r="X1107" s="42"/>
      <c r="Y1107" s="42"/>
      <c r="Z1107" s="42"/>
      <c r="AA1107" s="42"/>
      <c r="AB1107" s="42"/>
      <c r="AC1107" s="42"/>
      <c r="AD1107" s="42"/>
      <c r="AE1107" s="42"/>
      <c r="AF1107" s="42"/>
      <c r="AG1107" s="42"/>
      <c r="AH1107" s="42"/>
      <c r="AI1107" s="42"/>
      <c r="AJ1107" s="42"/>
      <c r="AK1107" s="42"/>
    </row>
    <row r="1108">
      <c r="A1108" s="20"/>
      <c r="B1108" s="20"/>
      <c r="C1108" s="20"/>
      <c r="D1108" s="45"/>
      <c r="E1108" s="45"/>
      <c r="F1108" s="21"/>
      <c r="G1108" s="45"/>
      <c r="H1108" s="20"/>
      <c r="I1108" s="20"/>
      <c r="J1108" s="20"/>
      <c r="K1108" s="20"/>
      <c r="L1108" s="46"/>
      <c r="M1108" s="33" t="str">
        <f>IFERROR(__xludf.DUMMYFUNCTION("IFS(W1108=""Achat"",IFERROR(VALUE(X1108),VALUE(REGEXREPLACE(T(X1108),""[^0-9]"",""""))),W1108=""Vente"",-IFERROR(VALUE(X1108),VALUE(REGEXREPLACE(T(X1108),""[^0-9]"",""""))),Y1108=""Change"",0,Y1108&lt;&gt;""Change"","""")"),"")</f>
        <v/>
      </c>
      <c r="N1108" s="34" t="str">
        <f>IFERROR(__xludf.DUMMYFUNCTION("IF(Account!$F1108&lt;&gt;"""", VALUE(REGEXREPLACE($I1108, ""\,"", ""."")), """")"),"")</f>
        <v/>
      </c>
      <c r="O1108" s="35" t="str">
        <f>IF(Account!$F1108&lt;&gt;"", DATEVALUE(MID($A1108,4,3) &amp; LEFT($A1108,3) &amp; RIGHT($A1108,4)) + TIMEVALUE($B1108), "")</f>
        <v/>
      </c>
      <c r="P1108" s="36" t="str">
        <f>IF(Account!$F1108&lt;&gt;"", DATEVALUE(MID($C1108,4,3) &amp; LEFT($C1108,3) &amp; RIGHT($C1108,4)), "")</f>
        <v/>
      </c>
      <c r="Q1108" s="37" t="str">
        <f t="array" ref="Q1108">IF($R1108&lt;&gt;"",IFERROR(INDEX(ISIN!$B:$B,MATCH($R1108,ISIN!$C:$C,0))),)</f>
        <v/>
      </c>
      <c r="R1108" s="38" t="str">
        <f t="array" ref="R1108">IF($E1108&lt;&gt;"",IFERROR(INDEX(ISIN!$C:$C,MATCH($E1108,ISIN!$A:$A,0)),IFERROR(INDEX($R1109:$R1200,MATCH($K1108,$K1109:$K1200,0)))),IF(AND($Y1108="change",$H1108="EUR"),IF($O1108=$O1109,$R1109,IF($O1108=$O1107,$R1107)),IFERROR(INDEX($R1109:$R1200,MATCH(SUBSTITUTE($I1108,"-","",1),$K1109:$K1200,0)))))</f>
        <v/>
      </c>
      <c r="S1108" s="37" t="str">
        <f t="shared" si="1"/>
        <v/>
      </c>
      <c r="T1108" s="39" t="str">
        <f t="shared" si="2"/>
        <v/>
      </c>
      <c r="U1108" s="40" t="str">
        <f t="shared" si="3"/>
        <v/>
      </c>
      <c r="V1108" s="34" t="str">
        <f t="shared" si="4"/>
        <v/>
      </c>
      <c r="W1108" s="41" t="str">
        <f>IFERROR(__xludf.DUMMYFUNCTION(" IF(Account!$F1108&lt;&gt;"""", SPLIT(Account!$F1108, "" ""), """")"),"")</f>
        <v/>
      </c>
      <c r="X1108" s="42"/>
      <c r="Y1108" s="42"/>
      <c r="Z1108" s="42"/>
      <c r="AA1108" s="42"/>
      <c r="AB1108" s="42"/>
      <c r="AC1108" s="42"/>
      <c r="AD1108" s="42"/>
      <c r="AE1108" s="42"/>
      <c r="AF1108" s="42"/>
      <c r="AG1108" s="42"/>
      <c r="AH1108" s="42"/>
      <c r="AI1108" s="42"/>
      <c r="AJ1108" s="42"/>
      <c r="AK1108" s="42"/>
    </row>
    <row r="1109">
      <c r="A1109" s="20"/>
      <c r="B1109" s="20"/>
      <c r="C1109" s="20"/>
      <c r="D1109" s="45"/>
      <c r="E1109" s="45"/>
      <c r="F1109" s="21"/>
      <c r="G1109" s="45"/>
      <c r="H1109" s="20"/>
      <c r="I1109" s="20"/>
      <c r="J1109" s="20"/>
      <c r="K1109" s="20"/>
      <c r="L1109" s="46"/>
      <c r="M1109" s="33" t="str">
        <f>IFERROR(__xludf.DUMMYFUNCTION("IFS(W1109=""Achat"",IFERROR(VALUE(X1109),VALUE(REGEXREPLACE(T(X1109),""[^0-9]"",""""))),W1109=""Vente"",-IFERROR(VALUE(X1109),VALUE(REGEXREPLACE(T(X1109),""[^0-9]"",""""))),Y1109=""Change"",0,Y1109&lt;&gt;""Change"","""")"),"")</f>
        <v/>
      </c>
      <c r="N1109" s="34" t="str">
        <f>IFERROR(__xludf.DUMMYFUNCTION("IF(Account!$F1109&lt;&gt;"""", VALUE(REGEXREPLACE($I1109, ""\,"", ""."")), """")"),"")</f>
        <v/>
      </c>
      <c r="O1109" s="35" t="str">
        <f>IF(Account!$F1109&lt;&gt;"", DATEVALUE(MID($A1109,4,3) &amp; LEFT($A1109,3) &amp; RIGHT($A1109,4)) + TIMEVALUE($B1109), "")</f>
        <v/>
      </c>
      <c r="P1109" s="36" t="str">
        <f>IF(Account!$F1109&lt;&gt;"", DATEVALUE(MID($C1109,4,3) &amp; LEFT($C1109,3) &amp; RIGHT($C1109,4)), "")</f>
        <v/>
      </c>
      <c r="Q1109" s="37" t="str">
        <f t="array" ref="Q1109">IF($R1109&lt;&gt;"",IFERROR(INDEX(ISIN!$B:$B,MATCH($R1109,ISIN!$C:$C,0))),)</f>
        <v/>
      </c>
      <c r="R1109" s="38" t="str">
        <f t="array" ref="R1109">IF($E1109&lt;&gt;"",IFERROR(INDEX(ISIN!$C:$C,MATCH($E1109,ISIN!$A:$A,0)),IFERROR(INDEX($R1110:$R1200,MATCH($K1109,$K1110:$K1200,0)))),IF(AND($Y1109="change",$H1109="EUR"),IF($O1109=$O1110,$R1110,IF($O1109=$O1108,$R1108)),IFERROR(INDEX($R1110:$R1200,MATCH(SUBSTITUTE($I1109,"-","",1),$K1110:$K1200,0)))))</f>
        <v/>
      </c>
      <c r="S1109" s="37" t="str">
        <f t="shared" si="1"/>
        <v/>
      </c>
      <c r="T1109" s="39" t="str">
        <f t="shared" si="2"/>
        <v/>
      </c>
      <c r="U1109" s="40" t="str">
        <f t="shared" si="3"/>
        <v/>
      </c>
      <c r="V1109" s="34" t="str">
        <f t="shared" si="4"/>
        <v/>
      </c>
      <c r="W1109" s="41" t="str">
        <f>IFERROR(__xludf.DUMMYFUNCTION(" IF(Account!$F1109&lt;&gt;"""", SPLIT(Account!$F1109, "" ""), """")"),"")</f>
        <v/>
      </c>
      <c r="X1109" s="42"/>
      <c r="Y1109" s="42"/>
      <c r="Z1109" s="42"/>
      <c r="AA1109" s="42"/>
      <c r="AB1109" s="42"/>
      <c r="AC1109" s="42"/>
      <c r="AD1109" s="42"/>
      <c r="AE1109" s="42"/>
      <c r="AF1109" s="42"/>
      <c r="AG1109" s="42"/>
      <c r="AH1109" s="42"/>
      <c r="AI1109" s="42"/>
      <c r="AJ1109" s="42"/>
      <c r="AK1109" s="42"/>
    </row>
    <row r="1110">
      <c r="A1110" s="20"/>
      <c r="B1110" s="20"/>
      <c r="C1110" s="20"/>
      <c r="D1110" s="45"/>
      <c r="E1110" s="45"/>
      <c r="F1110" s="21"/>
      <c r="G1110" s="45"/>
      <c r="H1110" s="20"/>
      <c r="I1110" s="20"/>
      <c r="J1110" s="20"/>
      <c r="K1110" s="20"/>
      <c r="L1110" s="46"/>
      <c r="M1110" s="33" t="str">
        <f>IFERROR(__xludf.DUMMYFUNCTION("IFS(W1110=""Achat"",IFERROR(VALUE(X1110),VALUE(REGEXREPLACE(T(X1110),""[^0-9]"",""""))),W1110=""Vente"",-IFERROR(VALUE(X1110),VALUE(REGEXREPLACE(T(X1110),""[^0-9]"",""""))),Y1110=""Change"",0,Y1110&lt;&gt;""Change"","""")"),"")</f>
        <v/>
      </c>
      <c r="N1110" s="34" t="str">
        <f>IFERROR(__xludf.DUMMYFUNCTION("IF(Account!$F1110&lt;&gt;"""", VALUE(REGEXREPLACE($I1110, ""\,"", ""."")), """")"),"")</f>
        <v/>
      </c>
      <c r="O1110" s="35" t="str">
        <f>IF(Account!$F1110&lt;&gt;"", DATEVALUE(MID($A1110,4,3) &amp; LEFT($A1110,3) &amp; RIGHT($A1110,4)) + TIMEVALUE($B1110), "")</f>
        <v/>
      </c>
      <c r="P1110" s="36" t="str">
        <f>IF(Account!$F1110&lt;&gt;"", DATEVALUE(MID($C1110,4,3) &amp; LEFT($C1110,3) &amp; RIGHT($C1110,4)), "")</f>
        <v/>
      </c>
      <c r="Q1110" s="37" t="str">
        <f t="array" ref="Q1110">IF($R1110&lt;&gt;"",IFERROR(INDEX(ISIN!$B:$B,MATCH($R1110,ISIN!$C:$C,0))),)</f>
        <v/>
      </c>
      <c r="R1110" s="38" t="str">
        <f t="array" ref="R1110">IF($E1110&lt;&gt;"",IFERROR(INDEX(ISIN!$C:$C,MATCH($E1110,ISIN!$A:$A,0)),IFERROR(INDEX($R1111:$R1200,MATCH($K1110,$K1111:$K1200,0)))),IF(AND($Y1110="change",$H1110="EUR"),IF($O1110=$O1111,$R1111,IF($O1110=$O1109,$R1109)),IFERROR(INDEX($R1111:$R1200,MATCH(SUBSTITUTE($I1110,"-","",1),$K1111:$K1200,0)))))</f>
        <v/>
      </c>
      <c r="S1110" s="37" t="str">
        <f t="shared" si="1"/>
        <v/>
      </c>
      <c r="T1110" s="39" t="str">
        <f t="shared" si="2"/>
        <v/>
      </c>
      <c r="U1110" s="40" t="str">
        <f t="shared" si="3"/>
        <v/>
      </c>
      <c r="V1110" s="34" t="str">
        <f t="shared" si="4"/>
        <v/>
      </c>
      <c r="W1110" s="41" t="str">
        <f>IFERROR(__xludf.DUMMYFUNCTION(" IF(Account!$F1110&lt;&gt;"""", SPLIT(Account!$F1110, "" ""), """")"),"")</f>
        <v/>
      </c>
      <c r="X1110" s="42"/>
      <c r="Y1110" s="42"/>
      <c r="Z1110" s="42"/>
      <c r="AA1110" s="42"/>
      <c r="AB1110" s="42"/>
      <c r="AC1110" s="42"/>
      <c r="AD1110" s="42"/>
      <c r="AE1110" s="42"/>
      <c r="AF1110" s="42"/>
      <c r="AG1110" s="42"/>
      <c r="AH1110" s="42"/>
      <c r="AI1110" s="42"/>
      <c r="AJ1110" s="42"/>
      <c r="AK1110" s="42"/>
    </row>
    <row r="1111">
      <c r="A1111" s="20"/>
      <c r="B1111" s="20"/>
      <c r="C1111" s="20"/>
      <c r="D1111" s="20"/>
      <c r="E1111" s="20"/>
      <c r="F1111" s="21"/>
      <c r="G1111" s="20"/>
      <c r="H1111" s="20"/>
      <c r="I1111" s="20"/>
      <c r="J1111" s="20"/>
      <c r="K1111" s="20"/>
      <c r="L1111" s="21"/>
      <c r="M1111" s="33" t="str">
        <f>IFERROR(__xludf.DUMMYFUNCTION("IFS(W1111=""Achat"",IFERROR(VALUE(X1111),VALUE(REGEXREPLACE(T(X1111),""[^0-9]"",""""))),W1111=""Vente"",-IFERROR(VALUE(X1111),VALUE(REGEXREPLACE(T(X1111),""[^0-9]"",""""))),Y1111=""Change"",0,Y1111&lt;&gt;""Change"","""")"),"")</f>
        <v/>
      </c>
      <c r="N1111" s="34" t="str">
        <f>IFERROR(__xludf.DUMMYFUNCTION("IF(Account!$F1111&lt;&gt;"""", VALUE(REGEXREPLACE($I1111, ""\,"", ""."")), """")"),"")</f>
        <v/>
      </c>
      <c r="O1111" s="35" t="str">
        <f>IF(Account!$F1111&lt;&gt;"", DATEVALUE(MID($A1111,4,3) &amp; LEFT($A1111,3) &amp; RIGHT($A1111,4)) + TIMEVALUE($B1111), "")</f>
        <v/>
      </c>
      <c r="P1111" s="36" t="str">
        <f>IF(Account!$F1111&lt;&gt;"", DATEVALUE(MID($C1111,4,3) &amp; LEFT($C1111,3) &amp; RIGHT($C1111,4)), "")</f>
        <v/>
      </c>
      <c r="Q1111" s="37" t="str">
        <f t="array" ref="Q1111">IF($R1111&lt;&gt;"",IFERROR(INDEX(ISIN!$B:$B,MATCH($R1111,ISIN!$C:$C,0))),)</f>
        <v/>
      </c>
      <c r="R1111" s="38" t="str">
        <f t="array" ref="R1111">IF($E1111&lt;&gt;"",IFERROR(INDEX(ISIN!$C:$C,MATCH($E1111,ISIN!$A:$A,0)),IFERROR(INDEX($R1112:$R1200,MATCH($K1111,$K1112:$K1200,0)))),IF(AND($Y1111="change",$H1111="EUR"),IF($O1111=$O1112,$R1112,IF($O1111=$O1110,$R1110)),IFERROR(INDEX($R1112:$R1200,MATCH(SUBSTITUTE($I1111,"-","",1),$K1112:$K1200,0)))))</f>
        <v/>
      </c>
      <c r="S1111" s="37" t="str">
        <f t="shared" si="1"/>
        <v/>
      </c>
      <c r="T1111" s="39" t="str">
        <f t="shared" si="2"/>
        <v/>
      </c>
      <c r="U1111" s="40" t="str">
        <f t="shared" si="3"/>
        <v/>
      </c>
      <c r="V1111" s="34" t="str">
        <f t="shared" si="4"/>
        <v/>
      </c>
      <c r="W1111" s="41" t="str">
        <f>IFERROR(__xludf.DUMMYFUNCTION(" IF(Account!$F1111&lt;&gt;"""", SPLIT(Account!$F1111, "" ""), """")"),"")</f>
        <v/>
      </c>
      <c r="X1111" s="42"/>
      <c r="Y1111" s="42"/>
      <c r="Z1111" s="42"/>
      <c r="AA1111" s="42"/>
      <c r="AB1111" s="42"/>
      <c r="AC1111" s="42"/>
      <c r="AD1111" s="42"/>
      <c r="AE1111" s="42"/>
      <c r="AF1111" s="42"/>
      <c r="AG1111" s="42"/>
      <c r="AH1111" s="42"/>
      <c r="AI1111" s="42"/>
      <c r="AJ1111" s="42"/>
      <c r="AK1111" s="42"/>
    </row>
    <row r="1112">
      <c r="A1112" s="20"/>
      <c r="B1112" s="20"/>
      <c r="C1112" s="20"/>
      <c r="D1112" s="20"/>
      <c r="E1112" s="20"/>
      <c r="F1112" s="21"/>
      <c r="G1112" s="45"/>
      <c r="H1112" s="20"/>
      <c r="I1112" s="20"/>
      <c r="J1112" s="20"/>
      <c r="K1112" s="20"/>
      <c r="L1112" s="21"/>
      <c r="M1112" s="33" t="str">
        <f>IFERROR(__xludf.DUMMYFUNCTION("IFS(W1112=""Achat"",IFERROR(VALUE(X1112),VALUE(REGEXREPLACE(T(X1112),""[^0-9]"",""""))),W1112=""Vente"",-IFERROR(VALUE(X1112),VALUE(REGEXREPLACE(T(X1112),""[^0-9]"",""""))),Y1112=""Change"",0,Y1112&lt;&gt;""Change"","""")"),"")</f>
        <v/>
      </c>
      <c r="N1112" s="34" t="str">
        <f>IFERROR(__xludf.DUMMYFUNCTION("IF(Account!$F1112&lt;&gt;"""", VALUE(REGEXREPLACE($I1112, ""\,"", ""."")), """")"),"")</f>
        <v/>
      </c>
      <c r="O1112" s="35" t="str">
        <f>IF(Account!$F1112&lt;&gt;"", DATEVALUE(MID($A1112,4,3) &amp; LEFT($A1112,3) &amp; RIGHT($A1112,4)) + TIMEVALUE($B1112), "")</f>
        <v/>
      </c>
      <c r="P1112" s="36" t="str">
        <f>IF(Account!$F1112&lt;&gt;"", DATEVALUE(MID($C1112,4,3) &amp; LEFT($C1112,3) &amp; RIGHT($C1112,4)), "")</f>
        <v/>
      </c>
      <c r="Q1112" s="37" t="str">
        <f t="array" ref="Q1112">IF($R1112&lt;&gt;"",IFERROR(INDEX(ISIN!$B:$B,MATCH($R1112,ISIN!$C:$C,0))),)</f>
        <v/>
      </c>
      <c r="R1112" s="38" t="str">
        <f t="array" ref="R1112">IF($E1112&lt;&gt;"",IFERROR(INDEX(ISIN!$C:$C,MATCH($E1112,ISIN!$A:$A,0)),IFERROR(INDEX($R1113:$R1200,MATCH($K1112,$K1113:$K1200,0)))),IF(AND($Y1112="change",$H1112="EUR"),IF($O1112=$O1113,$R1113,IF($O1112=$O1111,$R1111)),IFERROR(INDEX($R1113:$R1200,MATCH(SUBSTITUTE($I1112,"-","",1),$K1113:$K1200,0)))))</f>
        <v/>
      </c>
      <c r="S1112" s="37" t="str">
        <f t="shared" si="1"/>
        <v/>
      </c>
      <c r="T1112" s="39" t="str">
        <f t="shared" si="2"/>
        <v/>
      </c>
      <c r="U1112" s="40" t="str">
        <f t="shared" si="3"/>
        <v/>
      </c>
      <c r="V1112" s="34" t="str">
        <f t="shared" si="4"/>
        <v/>
      </c>
      <c r="W1112" s="41" t="str">
        <f>IFERROR(__xludf.DUMMYFUNCTION(" IF(Account!$F1112&lt;&gt;"""", SPLIT(Account!$F1112, "" ""), """")"),"")</f>
        <v/>
      </c>
      <c r="X1112" s="42"/>
      <c r="Y1112" s="42"/>
      <c r="Z1112" s="42"/>
      <c r="AA1112" s="42"/>
      <c r="AB1112" s="42"/>
      <c r="AC1112" s="42"/>
      <c r="AD1112" s="42"/>
      <c r="AE1112" s="42"/>
      <c r="AF1112" s="42"/>
      <c r="AG1112" s="42"/>
      <c r="AH1112" s="42"/>
      <c r="AI1112" s="42"/>
      <c r="AJ1112" s="42"/>
      <c r="AK1112" s="42"/>
    </row>
    <row r="1113">
      <c r="A1113" s="20"/>
      <c r="B1113" s="20"/>
      <c r="C1113" s="20"/>
      <c r="D1113" s="20"/>
      <c r="E1113" s="20"/>
      <c r="F1113" s="21"/>
      <c r="G1113" s="20"/>
      <c r="H1113" s="20"/>
      <c r="I1113" s="20"/>
      <c r="J1113" s="20"/>
      <c r="K1113" s="20"/>
      <c r="L1113" s="21"/>
      <c r="M1113" s="33" t="str">
        <f>IFERROR(__xludf.DUMMYFUNCTION("IFS(W1113=""Achat"",IFERROR(VALUE(X1113),VALUE(REGEXREPLACE(T(X1113),""[^0-9]"",""""))),W1113=""Vente"",-IFERROR(VALUE(X1113),VALUE(REGEXREPLACE(T(X1113),""[^0-9]"",""""))),Y1113=""Change"",0,Y1113&lt;&gt;""Change"","""")"),"")</f>
        <v/>
      </c>
      <c r="N1113" s="34" t="str">
        <f>IFERROR(__xludf.DUMMYFUNCTION("IF(Account!$F1113&lt;&gt;"""", VALUE(REGEXREPLACE($I1113, ""\,"", ""."")), """")"),"")</f>
        <v/>
      </c>
      <c r="O1113" s="35" t="str">
        <f>IF(Account!$F1113&lt;&gt;"", DATEVALUE(MID($A1113,4,3) &amp; LEFT($A1113,3) &amp; RIGHT($A1113,4)) + TIMEVALUE($B1113), "")</f>
        <v/>
      </c>
      <c r="P1113" s="36" t="str">
        <f>IF(Account!$F1113&lt;&gt;"", DATEVALUE(MID($C1113,4,3) &amp; LEFT($C1113,3) &amp; RIGHT($C1113,4)), "")</f>
        <v/>
      </c>
      <c r="Q1113" s="37" t="str">
        <f t="array" ref="Q1113">IF($R1113&lt;&gt;"",IFERROR(INDEX(ISIN!$B:$B,MATCH($R1113,ISIN!$C:$C,0))),)</f>
        <v/>
      </c>
      <c r="R1113" s="38" t="str">
        <f t="array" ref="R1113">IF($E1113&lt;&gt;"",IFERROR(INDEX(ISIN!$C:$C,MATCH($E1113,ISIN!$A:$A,0)),IFERROR(INDEX($R1114:$R1200,MATCH($K1113,$K1114:$K1200,0)))),IF(AND($Y1113="change",$H1113="EUR"),IF($O1113=$O1114,$R1114,IF($O1113=$O1112,$R1112)),IFERROR(INDEX($R1114:$R1200,MATCH(SUBSTITUTE($I1113,"-","",1),$K1114:$K1200,0)))))</f>
        <v/>
      </c>
      <c r="S1113" s="37" t="str">
        <f t="shared" si="1"/>
        <v/>
      </c>
      <c r="T1113" s="39" t="str">
        <f t="shared" si="2"/>
        <v/>
      </c>
      <c r="U1113" s="40" t="str">
        <f t="shared" si="3"/>
        <v/>
      </c>
      <c r="V1113" s="34" t="str">
        <f t="shared" si="4"/>
        <v/>
      </c>
      <c r="W1113" s="41" t="str">
        <f>IFERROR(__xludf.DUMMYFUNCTION(" IF(Account!$F1113&lt;&gt;"""", SPLIT(Account!$F1113, "" ""), """")"),"")</f>
        <v/>
      </c>
      <c r="X1113" s="42"/>
      <c r="Y1113" s="42"/>
      <c r="Z1113" s="42"/>
      <c r="AA1113" s="42"/>
      <c r="AB1113" s="42"/>
      <c r="AC1113" s="42"/>
      <c r="AD1113" s="42"/>
      <c r="AE1113" s="42"/>
      <c r="AF1113" s="42"/>
      <c r="AG1113" s="42"/>
      <c r="AH1113" s="42"/>
      <c r="AI1113" s="42"/>
      <c r="AJ1113" s="42"/>
      <c r="AK1113" s="42"/>
    </row>
    <row r="1114">
      <c r="A1114" s="20"/>
      <c r="B1114" s="20"/>
      <c r="C1114" s="20"/>
      <c r="D1114" s="20"/>
      <c r="E1114" s="20"/>
      <c r="F1114" s="21"/>
      <c r="G1114" s="45"/>
      <c r="H1114" s="20"/>
      <c r="I1114" s="20"/>
      <c r="J1114" s="20"/>
      <c r="K1114" s="20"/>
      <c r="L1114" s="21"/>
      <c r="M1114" s="33" t="str">
        <f>IFERROR(__xludf.DUMMYFUNCTION("IFS(W1114=""Achat"",IFERROR(VALUE(X1114),VALUE(REGEXREPLACE(T(X1114),""[^0-9]"",""""))),W1114=""Vente"",-IFERROR(VALUE(X1114),VALUE(REGEXREPLACE(T(X1114),""[^0-9]"",""""))),Y1114=""Change"",0,Y1114&lt;&gt;""Change"","""")"),"")</f>
        <v/>
      </c>
      <c r="N1114" s="34" t="str">
        <f>IFERROR(__xludf.DUMMYFUNCTION("IF(Account!$F1114&lt;&gt;"""", VALUE(REGEXREPLACE($I1114, ""\,"", ""."")), """")"),"")</f>
        <v/>
      </c>
      <c r="O1114" s="35" t="str">
        <f>IF(Account!$F1114&lt;&gt;"", DATEVALUE(MID($A1114,4,3) &amp; LEFT($A1114,3) &amp; RIGHT($A1114,4)) + TIMEVALUE($B1114), "")</f>
        <v/>
      </c>
      <c r="P1114" s="36" t="str">
        <f>IF(Account!$F1114&lt;&gt;"", DATEVALUE(MID($C1114,4,3) &amp; LEFT($C1114,3) &amp; RIGHT($C1114,4)), "")</f>
        <v/>
      </c>
      <c r="Q1114" s="37" t="str">
        <f t="array" ref="Q1114">IF($R1114&lt;&gt;"",IFERROR(INDEX(ISIN!$B:$B,MATCH($R1114,ISIN!$C:$C,0))),)</f>
        <v/>
      </c>
      <c r="R1114" s="38" t="str">
        <f t="array" ref="R1114">IF($E1114&lt;&gt;"",IFERROR(INDEX(ISIN!$C:$C,MATCH($E1114,ISIN!$A:$A,0)),IFERROR(INDEX($R1115:$R1200,MATCH($K1114,$K1115:$K1200,0)))),IF(AND($Y1114="change",$H1114="EUR"),IF($O1114=$O1115,$R1115,IF($O1114=$O1113,$R1113)),IFERROR(INDEX($R1115:$R1200,MATCH(SUBSTITUTE($I1114,"-","",1),$K1115:$K1200,0)))))</f>
        <v/>
      </c>
      <c r="S1114" s="37" t="str">
        <f t="shared" si="1"/>
        <v/>
      </c>
      <c r="T1114" s="39" t="str">
        <f t="shared" si="2"/>
        <v/>
      </c>
      <c r="U1114" s="40" t="str">
        <f t="shared" si="3"/>
        <v/>
      </c>
      <c r="V1114" s="34" t="str">
        <f t="shared" si="4"/>
        <v/>
      </c>
      <c r="W1114" s="41" t="str">
        <f>IFERROR(__xludf.DUMMYFUNCTION(" IF(Account!$F1114&lt;&gt;"""", SPLIT(Account!$F1114, "" ""), """")"),"")</f>
        <v/>
      </c>
      <c r="X1114" s="42"/>
      <c r="Y1114" s="42"/>
      <c r="Z1114" s="42"/>
      <c r="AA1114" s="42"/>
      <c r="AB1114" s="42"/>
      <c r="AC1114" s="42"/>
      <c r="AD1114" s="42"/>
      <c r="AE1114" s="42"/>
      <c r="AF1114" s="42"/>
      <c r="AG1114" s="42"/>
      <c r="AH1114" s="42"/>
      <c r="AI1114" s="42"/>
      <c r="AJ1114" s="42"/>
      <c r="AK1114" s="42"/>
    </row>
    <row r="1115">
      <c r="A1115" s="20"/>
      <c r="B1115" s="20"/>
      <c r="C1115" s="20"/>
      <c r="D1115" s="20"/>
      <c r="E1115" s="20"/>
      <c r="F1115" s="21"/>
      <c r="G1115" s="45"/>
      <c r="H1115" s="20"/>
      <c r="I1115" s="20"/>
      <c r="J1115" s="20"/>
      <c r="K1115" s="20"/>
      <c r="L1115" s="21"/>
      <c r="M1115" s="33" t="str">
        <f>IFERROR(__xludf.DUMMYFUNCTION("IFS(W1115=""Achat"",IFERROR(VALUE(X1115),VALUE(REGEXREPLACE(T(X1115),""[^0-9]"",""""))),W1115=""Vente"",-IFERROR(VALUE(X1115),VALUE(REGEXREPLACE(T(X1115),""[^0-9]"",""""))),Y1115=""Change"",0,Y1115&lt;&gt;""Change"","""")"),"")</f>
        <v/>
      </c>
      <c r="N1115" s="34" t="str">
        <f>IFERROR(__xludf.DUMMYFUNCTION("IF(Account!$F1115&lt;&gt;"""", VALUE(REGEXREPLACE($I1115, ""\,"", ""."")), """")"),"")</f>
        <v/>
      </c>
      <c r="O1115" s="35" t="str">
        <f>IF(Account!$F1115&lt;&gt;"", DATEVALUE(MID($A1115,4,3) &amp; LEFT($A1115,3) &amp; RIGHT($A1115,4)) + TIMEVALUE($B1115), "")</f>
        <v/>
      </c>
      <c r="P1115" s="36" t="str">
        <f>IF(Account!$F1115&lt;&gt;"", DATEVALUE(MID($C1115,4,3) &amp; LEFT($C1115,3) &amp; RIGHT($C1115,4)), "")</f>
        <v/>
      </c>
      <c r="Q1115" s="37" t="str">
        <f t="array" ref="Q1115">IF($R1115&lt;&gt;"",IFERROR(INDEX(ISIN!$B:$B,MATCH($R1115,ISIN!$C:$C,0))),)</f>
        <v/>
      </c>
      <c r="R1115" s="38" t="str">
        <f t="array" ref="R1115">IF($E1115&lt;&gt;"",IFERROR(INDEX(ISIN!$C:$C,MATCH($E1115,ISIN!$A:$A,0)),IFERROR(INDEX($R1116:$R1200,MATCH($K1115,$K1116:$K1200,0)))),IF(AND($Y1115="change",$H1115="EUR"),IF($O1115=$O1116,$R1116,IF($O1115=$O1114,$R1114)),IFERROR(INDEX($R1116:$R1200,MATCH(SUBSTITUTE($I1115,"-","",1),$K1116:$K1200,0)))))</f>
        <v/>
      </c>
      <c r="S1115" s="37" t="str">
        <f t="shared" si="1"/>
        <v/>
      </c>
      <c r="T1115" s="39" t="str">
        <f t="shared" si="2"/>
        <v/>
      </c>
      <c r="U1115" s="40" t="str">
        <f t="shared" si="3"/>
        <v/>
      </c>
      <c r="V1115" s="34" t="str">
        <f t="shared" si="4"/>
        <v/>
      </c>
      <c r="W1115" s="41" t="str">
        <f>IFERROR(__xludf.DUMMYFUNCTION(" IF(Account!$F1115&lt;&gt;"""", SPLIT(Account!$F1115, "" ""), """")"),"")</f>
        <v/>
      </c>
      <c r="X1115" s="42"/>
      <c r="Y1115" s="42"/>
      <c r="Z1115" s="42"/>
      <c r="AA1115" s="42"/>
      <c r="AB1115" s="42"/>
      <c r="AC1115" s="42"/>
      <c r="AD1115" s="42"/>
      <c r="AE1115" s="42"/>
      <c r="AF1115" s="42"/>
      <c r="AG1115" s="42"/>
      <c r="AH1115" s="42"/>
      <c r="AI1115" s="42"/>
      <c r="AJ1115" s="42"/>
      <c r="AK1115" s="42"/>
    </row>
    <row r="1116">
      <c r="A1116" s="20"/>
      <c r="B1116" s="20"/>
      <c r="C1116" s="20"/>
      <c r="D1116" s="20"/>
      <c r="E1116" s="20"/>
      <c r="F1116" s="21"/>
      <c r="G1116" s="45"/>
      <c r="H1116" s="20"/>
      <c r="I1116" s="20"/>
      <c r="J1116" s="20"/>
      <c r="K1116" s="20"/>
      <c r="L1116" s="21"/>
      <c r="M1116" s="33" t="str">
        <f>IFERROR(__xludf.DUMMYFUNCTION("IFS(W1116=""Achat"",IFERROR(VALUE(X1116),VALUE(REGEXREPLACE(T(X1116),""[^0-9]"",""""))),W1116=""Vente"",-IFERROR(VALUE(X1116),VALUE(REGEXREPLACE(T(X1116),""[^0-9]"",""""))),Y1116=""Change"",0,Y1116&lt;&gt;""Change"","""")"),"")</f>
        <v/>
      </c>
      <c r="N1116" s="34" t="str">
        <f>IFERROR(__xludf.DUMMYFUNCTION("IF(Account!$F1116&lt;&gt;"""", VALUE(REGEXREPLACE($I1116, ""\,"", ""."")), """")"),"")</f>
        <v/>
      </c>
      <c r="O1116" s="35" t="str">
        <f>IF(Account!$F1116&lt;&gt;"", DATEVALUE(MID($A1116,4,3) &amp; LEFT($A1116,3) &amp; RIGHT($A1116,4)) + TIMEVALUE($B1116), "")</f>
        <v/>
      </c>
      <c r="P1116" s="36" t="str">
        <f>IF(Account!$F1116&lt;&gt;"", DATEVALUE(MID($C1116,4,3) &amp; LEFT($C1116,3) &amp; RIGHT($C1116,4)), "")</f>
        <v/>
      </c>
      <c r="Q1116" s="37" t="str">
        <f t="array" ref="Q1116">IF($R1116&lt;&gt;"",IFERROR(INDEX(ISIN!$B:$B,MATCH($R1116,ISIN!$C:$C,0))),)</f>
        <v/>
      </c>
      <c r="R1116" s="38" t="str">
        <f t="array" ref="R1116">IF($E1116&lt;&gt;"",IFERROR(INDEX(ISIN!$C:$C,MATCH($E1116,ISIN!$A:$A,0)),IFERROR(INDEX($R1117:$R1200,MATCH($K1116,$K1117:$K1200,0)))),IF(AND($Y1116="change",$H1116="EUR"),IF($O1116=$O1117,$R1117,IF($O1116=$O1115,$R1115)),IFERROR(INDEX($R1117:$R1200,MATCH(SUBSTITUTE($I1116,"-","",1),$K1117:$K1200,0)))))</f>
        <v/>
      </c>
      <c r="S1116" s="37" t="str">
        <f t="shared" si="1"/>
        <v/>
      </c>
      <c r="T1116" s="39" t="str">
        <f t="shared" si="2"/>
        <v/>
      </c>
      <c r="U1116" s="40" t="str">
        <f t="shared" si="3"/>
        <v/>
      </c>
      <c r="V1116" s="34" t="str">
        <f t="shared" si="4"/>
        <v/>
      </c>
      <c r="W1116" s="41" t="str">
        <f>IFERROR(__xludf.DUMMYFUNCTION(" IF(Account!$F1116&lt;&gt;"""", SPLIT(Account!$F1116, "" ""), """")"),"")</f>
        <v/>
      </c>
      <c r="X1116" s="42"/>
      <c r="Y1116" s="42"/>
      <c r="Z1116" s="42"/>
      <c r="AA1116" s="42"/>
      <c r="AB1116" s="42"/>
      <c r="AC1116" s="42"/>
      <c r="AD1116" s="42"/>
      <c r="AE1116" s="42"/>
      <c r="AF1116" s="42"/>
      <c r="AG1116" s="42"/>
      <c r="AH1116" s="42"/>
      <c r="AI1116" s="42"/>
      <c r="AJ1116" s="42"/>
      <c r="AK1116" s="42"/>
    </row>
    <row r="1117">
      <c r="A1117" s="20"/>
      <c r="B1117" s="20"/>
      <c r="C1117" s="20"/>
      <c r="D1117" s="45"/>
      <c r="E1117" s="45"/>
      <c r="F1117" s="21"/>
      <c r="G1117" s="45"/>
      <c r="H1117" s="20"/>
      <c r="I1117" s="20"/>
      <c r="J1117" s="20"/>
      <c r="K1117" s="20"/>
      <c r="L1117" s="46"/>
      <c r="M1117" s="33" t="str">
        <f>IFERROR(__xludf.DUMMYFUNCTION("IFS(W1117=""Achat"",IFERROR(VALUE(X1117),VALUE(REGEXREPLACE(T(X1117),""[^0-9]"",""""))),W1117=""Vente"",-IFERROR(VALUE(X1117),VALUE(REGEXREPLACE(T(X1117),""[^0-9]"",""""))),Y1117=""Change"",0,Y1117&lt;&gt;""Change"","""")"),"")</f>
        <v/>
      </c>
      <c r="N1117" s="34" t="str">
        <f>IFERROR(__xludf.DUMMYFUNCTION("IF(Account!$F1117&lt;&gt;"""", VALUE(REGEXREPLACE($I1117, ""\,"", ""."")), """")"),"")</f>
        <v/>
      </c>
      <c r="O1117" s="35" t="str">
        <f>IF(Account!$F1117&lt;&gt;"", DATEVALUE(MID($A1117,4,3) &amp; LEFT($A1117,3) &amp; RIGHT($A1117,4)) + TIMEVALUE($B1117), "")</f>
        <v/>
      </c>
      <c r="P1117" s="36" t="str">
        <f>IF(Account!$F1117&lt;&gt;"", DATEVALUE(MID($C1117,4,3) &amp; LEFT($C1117,3) &amp; RIGHT($C1117,4)), "")</f>
        <v/>
      </c>
      <c r="Q1117" s="37" t="str">
        <f t="array" ref="Q1117">IF($R1117&lt;&gt;"",IFERROR(INDEX(ISIN!$B:$B,MATCH($R1117,ISIN!$C:$C,0))),)</f>
        <v/>
      </c>
      <c r="R1117" s="38" t="str">
        <f t="array" ref="R1117">IF($E1117&lt;&gt;"",IFERROR(INDEX(ISIN!$C:$C,MATCH($E1117,ISIN!$A:$A,0)),IFERROR(INDEX($R1118:$R1200,MATCH($K1117,$K1118:$K1200,0)))),IF(AND($Y1117="change",$H1117="EUR"),IF($O1117=$O1118,$R1118,IF($O1117=$O1116,$R1116)),IFERROR(INDEX($R1118:$R1200,MATCH(SUBSTITUTE($I1117,"-","",1),$K1118:$K1200,0)))))</f>
        <v/>
      </c>
      <c r="S1117" s="37" t="str">
        <f t="shared" si="1"/>
        <v/>
      </c>
      <c r="T1117" s="39" t="str">
        <f t="shared" si="2"/>
        <v/>
      </c>
      <c r="U1117" s="40" t="str">
        <f t="shared" si="3"/>
        <v/>
      </c>
      <c r="V1117" s="34" t="str">
        <f t="shared" si="4"/>
        <v/>
      </c>
      <c r="W1117" s="41" t="str">
        <f>IFERROR(__xludf.DUMMYFUNCTION(" IF(Account!$F1117&lt;&gt;"""", SPLIT(Account!$F1117, "" ""), """")"),"")</f>
        <v/>
      </c>
      <c r="X1117" s="42"/>
      <c r="Y1117" s="42"/>
      <c r="Z1117" s="42"/>
      <c r="AA1117" s="42"/>
      <c r="AB1117" s="42"/>
      <c r="AC1117" s="42"/>
      <c r="AD1117" s="42"/>
      <c r="AE1117" s="42"/>
      <c r="AF1117" s="42"/>
      <c r="AG1117" s="42"/>
      <c r="AH1117" s="42"/>
      <c r="AI1117" s="42"/>
      <c r="AJ1117" s="42"/>
      <c r="AK1117" s="42"/>
    </row>
    <row r="1118">
      <c r="A1118" s="20"/>
      <c r="B1118" s="20"/>
      <c r="C1118" s="20"/>
      <c r="D1118" s="45"/>
      <c r="E1118" s="45"/>
      <c r="F1118" s="21"/>
      <c r="G1118" s="45"/>
      <c r="H1118" s="20"/>
      <c r="I1118" s="20"/>
      <c r="J1118" s="20"/>
      <c r="K1118" s="20"/>
      <c r="L1118" s="46"/>
      <c r="M1118" s="33" t="str">
        <f>IFERROR(__xludf.DUMMYFUNCTION("IFS(W1118=""Achat"",IFERROR(VALUE(X1118),VALUE(REGEXREPLACE(T(X1118),""[^0-9]"",""""))),W1118=""Vente"",-IFERROR(VALUE(X1118),VALUE(REGEXREPLACE(T(X1118),""[^0-9]"",""""))),Y1118=""Change"",0,Y1118&lt;&gt;""Change"","""")"),"")</f>
        <v/>
      </c>
      <c r="N1118" s="34" t="str">
        <f>IFERROR(__xludf.DUMMYFUNCTION("IF(Account!$F1118&lt;&gt;"""", VALUE(REGEXREPLACE($I1118, ""\,"", ""."")), """")"),"")</f>
        <v/>
      </c>
      <c r="O1118" s="35" t="str">
        <f>IF(Account!$F1118&lt;&gt;"", DATEVALUE(MID($A1118,4,3) &amp; LEFT($A1118,3) &amp; RIGHT($A1118,4)) + TIMEVALUE($B1118), "")</f>
        <v/>
      </c>
      <c r="P1118" s="36" t="str">
        <f>IF(Account!$F1118&lt;&gt;"", DATEVALUE(MID($C1118,4,3) &amp; LEFT($C1118,3) &amp; RIGHT($C1118,4)), "")</f>
        <v/>
      </c>
      <c r="Q1118" s="37" t="str">
        <f t="array" ref="Q1118">IF($R1118&lt;&gt;"",IFERROR(INDEX(ISIN!$B:$B,MATCH($R1118,ISIN!$C:$C,0))),)</f>
        <v/>
      </c>
      <c r="R1118" s="38" t="str">
        <f t="array" ref="R1118">IF($E1118&lt;&gt;"",IFERROR(INDEX(ISIN!$C:$C,MATCH($E1118,ISIN!$A:$A,0)),IFERROR(INDEX($R1119:$R1200,MATCH($K1118,$K1119:$K1200,0)))),IF(AND($Y1118="change",$H1118="EUR"),IF($O1118=$O1119,$R1119,IF($O1118=$O1117,$R1117)),IFERROR(INDEX($R1119:$R1200,MATCH(SUBSTITUTE($I1118,"-","",1),$K1119:$K1200,0)))))</f>
        <v/>
      </c>
      <c r="S1118" s="37" t="str">
        <f t="shared" si="1"/>
        <v/>
      </c>
      <c r="T1118" s="39" t="str">
        <f t="shared" si="2"/>
        <v/>
      </c>
      <c r="U1118" s="40" t="str">
        <f t="shared" si="3"/>
        <v/>
      </c>
      <c r="V1118" s="34" t="str">
        <f t="shared" si="4"/>
        <v/>
      </c>
      <c r="W1118" s="41" t="str">
        <f>IFERROR(__xludf.DUMMYFUNCTION(" IF(Account!$F1118&lt;&gt;"""", SPLIT(Account!$F1118, "" ""), """")"),"")</f>
        <v/>
      </c>
      <c r="X1118" s="42"/>
      <c r="Y1118" s="42"/>
      <c r="Z1118" s="42"/>
      <c r="AA1118" s="42"/>
      <c r="AB1118" s="42"/>
      <c r="AC1118" s="42"/>
      <c r="AD1118" s="42"/>
      <c r="AE1118" s="42"/>
      <c r="AF1118" s="42"/>
      <c r="AG1118" s="42"/>
      <c r="AH1118" s="42"/>
      <c r="AI1118" s="42"/>
      <c r="AJ1118" s="42"/>
      <c r="AK1118" s="42"/>
    </row>
    <row r="1119">
      <c r="A1119" s="20"/>
      <c r="B1119" s="20"/>
      <c r="C1119" s="20"/>
      <c r="D1119" s="45"/>
      <c r="E1119" s="45"/>
      <c r="F1119" s="21"/>
      <c r="G1119" s="45"/>
      <c r="H1119" s="20"/>
      <c r="I1119" s="20"/>
      <c r="J1119" s="20"/>
      <c r="K1119" s="20"/>
      <c r="L1119" s="46"/>
      <c r="M1119" s="33" t="str">
        <f>IFERROR(__xludf.DUMMYFUNCTION("IFS(W1119=""Achat"",IFERROR(VALUE(X1119),VALUE(REGEXREPLACE(T(X1119),""[^0-9]"",""""))),W1119=""Vente"",-IFERROR(VALUE(X1119),VALUE(REGEXREPLACE(T(X1119),""[^0-9]"",""""))),Y1119=""Change"",0,Y1119&lt;&gt;""Change"","""")"),"")</f>
        <v/>
      </c>
      <c r="N1119" s="34" t="str">
        <f>IFERROR(__xludf.DUMMYFUNCTION("IF(Account!$F1119&lt;&gt;"""", VALUE(REGEXREPLACE($I1119, ""\,"", ""."")), """")"),"")</f>
        <v/>
      </c>
      <c r="O1119" s="35" t="str">
        <f>IF(Account!$F1119&lt;&gt;"", DATEVALUE(MID($A1119,4,3) &amp; LEFT($A1119,3) &amp; RIGHT($A1119,4)) + TIMEVALUE($B1119), "")</f>
        <v/>
      </c>
      <c r="P1119" s="36" t="str">
        <f>IF(Account!$F1119&lt;&gt;"", DATEVALUE(MID($C1119,4,3) &amp; LEFT($C1119,3) &amp; RIGHT($C1119,4)), "")</f>
        <v/>
      </c>
      <c r="Q1119" s="37" t="str">
        <f t="array" ref="Q1119">IF($R1119&lt;&gt;"",IFERROR(INDEX(ISIN!$B:$B,MATCH($R1119,ISIN!$C:$C,0))),)</f>
        <v/>
      </c>
      <c r="R1119" s="38" t="str">
        <f t="array" ref="R1119">IF($E1119&lt;&gt;"",IFERROR(INDEX(ISIN!$C:$C,MATCH($E1119,ISIN!$A:$A,0)),IFERROR(INDEX($R1120:$R1200,MATCH($K1119,$K1120:$K1200,0)))),IF(AND($Y1119="change",$H1119="EUR"),IF($O1119=$O1120,$R1120,IF($O1119=$O1118,$R1118)),IFERROR(INDEX($R1120:$R1200,MATCH(SUBSTITUTE($I1119,"-","",1),$K1120:$K1200,0)))))</f>
        <v/>
      </c>
      <c r="S1119" s="37" t="str">
        <f t="shared" si="1"/>
        <v/>
      </c>
      <c r="T1119" s="39" t="str">
        <f t="shared" si="2"/>
        <v/>
      </c>
      <c r="U1119" s="40" t="str">
        <f t="shared" si="3"/>
        <v/>
      </c>
      <c r="V1119" s="34" t="str">
        <f t="shared" si="4"/>
        <v/>
      </c>
      <c r="W1119" s="41" t="str">
        <f>IFERROR(__xludf.DUMMYFUNCTION(" IF(Account!$F1119&lt;&gt;"""", SPLIT(Account!$F1119, "" ""), """")"),"")</f>
        <v/>
      </c>
      <c r="X1119" s="42"/>
      <c r="Y1119" s="42"/>
      <c r="Z1119" s="42"/>
      <c r="AA1119" s="42"/>
      <c r="AB1119" s="42"/>
      <c r="AC1119" s="42"/>
      <c r="AD1119" s="42"/>
      <c r="AE1119" s="42"/>
      <c r="AF1119" s="42"/>
      <c r="AG1119" s="42"/>
      <c r="AH1119" s="42"/>
      <c r="AI1119" s="42"/>
      <c r="AJ1119" s="42"/>
      <c r="AK1119" s="42"/>
    </row>
    <row r="1120">
      <c r="A1120" s="47"/>
      <c r="B1120" s="48"/>
      <c r="C1120" s="47"/>
      <c r="F1120" s="49"/>
      <c r="G1120" s="45"/>
      <c r="H1120" s="45"/>
      <c r="I1120" s="45"/>
      <c r="L1120" s="46"/>
      <c r="M1120" s="33" t="str">
        <f>IFERROR(__xludf.DUMMYFUNCTION("IFS(W1120=""Achat"",IFERROR(VALUE(X1120),VALUE(REGEXREPLACE(T(X1120),""[^0-9]"",""""))),W1120=""Vente"",-IFERROR(VALUE(X1120),VALUE(REGEXREPLACE(T(X1120),""[^0-9]"",""""))),Y1120=""Change"",0,Y1120&lt;&gt;""Change"","""")"),"")</f>
        <v/>
      </c>
      <c r="N1120" s="34" t="str">
        <f>IFERROR(__xludf.DUMMYFUNCTION("IF(Account!$F1120&lt;&gt;"""", VALUE(REGEXREPLACE($I1120, ""\,"", ""."")), """")"),"")</f>
        <v/>
      </c>
      <c r="O1120" s="35" t="str">
        <f>IF(Account!$F1120&lt;&gt;"", DATEVALUE(MID($A1120,4,3) &amp; LEFT($A1120,3) &amp; RIGHT($A1120,4)) + TIMEVALUE($B1120), "")</f>
        <v/>
      </c>
      <c r="P1120" s="36" t="str">
        <f>IF(Account!$F1120&lt;&gt;"", DATEVALUE(MID($C1120,4,3) &amp; LEFT($C1120,3) &amp; RIGHT($C1120,4)), "")</f>
        <v/>
      </c>
      <c r="Q1120" s="37" t="str">
        <f t="array" ref="Q1120">IF($R1120&lt;&gt;"",IFERROR(INDEX(ISIN!$B:$B,MATCH($R1120,ISIN!$C:$C,0))),)</f>
        <v/>
      </c>
      <c r="R1120" s="38" t="str">
        <f t="array" ref="R1120">IF($E1120&lt;&gt;"",IFERROR(INDEX(ISIN!$C:$C,MATCH($E1120,ISIN!$A:$A,0)),IFERROR(INDEX($R1121:$R1200,MATCH($K1120,$K1121:$K1200,0)))),IF(AND($Y1120="change",$H1120="EUR"),IF($O1120=$O1121,$R1121,IF($O1120=$O1119,$R1119)),IFERROR(INDEX($R1121:$R1200,MATCH(SUBSTITUTE($I1120,"-","",1),$K1121:$K1200,0)))))</f>
        <v/>
      </c>
      <c r="S1120" s="37" t="str">
        <f t="shared" si="1"/>
        <v/>
      </c>
      <c r="T1120" s="39" t="str">
        <f t="shared" si="2"/>
        <v/>
      </c>
      <c r="U1120" s="40" t="str">
        <f t="shared" si="3"/>
        <v/>
      </c>
      <c r="V1120" s="34" t="str">
        <f t="shared" si="4"/>
        <v/>
      </c>
      <c r="W1120" s="41" t="str">
        <f>IFERROR(__xludf.DUMMYFUNCTION(" IF(Account!$F1120&lt;&gt;"""", SPLIT(Account!$F1120, "" ""), """")"),"")</f>
        <v/>
      </c>
      <c r="X1120" s="42"/>
      <c r="Y1120" s="42"/>
      <c r="Z1120" s="42"/>
      <c r="AA1120" s="42"/>
      <c r="AB1120" s="42"/>
      <c r="AC1120" s="42"/>
      <c r="AD1120" s="42"/>
      <c r="AE1120" s="42"/>
      <c r="AF1120" s="42"/>
      <c r="AG1120" s="42"/>
      <c r="AH1120" s="42"/>
      <c r="AI1120" s="42"/>
      <c r="AJ1120" s="42"/>
      <c r="AK1120" s="42"/>
    </row>
    <row r="1121">
      <c r="A1121" s="47"/>
      <c r="B1121" s="48"/>
      <c r="C1121" s="47"/>
      <c r="F1121" s="49"/>
      <c r="G1121" s="50"/>
      <c r="L1121" s="49"/>
      <c r="M1121" s="33" t="str">
        <f>IFERROR(__xludf.DUMMYFUNCTION("IFS(W1121=""Achat"",IFERROR(VALUE(X1121),VALUE(REGEXREPLACE(T(X1121),""[^0-9]"",""""))),W1121=""Vente"",-IFERROR(VALUE(X1121),VALUE(REGEXREPLACE(T(X1121),""[^0-9]"",""""))),Y1121=""Change"",0,Y1121&lt;&gt;""Change"","""")"),"")</f>
        <v/>
      </c>
      <c r="N1121" s="34" t="str">
        <f>IFERROR(__xludf.DUMMYFUNCTION("IF(Account!$F1121&lt;&gt;"""", VALUE(REGEXREPLACE($I1121, ""\,"", ""."")), """")"),"")</f>
        <v/>
      </c>
      <c r="O1121" s="35" t="str">
        <f>IF(Account!$F1121&lt;&gt;"", DATEVALUE(MID($A1121,4,3) &amp; LEFT($A1121,3) &amp; RIGHT($A1121,4)) + TIMEVALUE($B1121), "")</f>
        <v/>
      </c>
      <c r="P1121" s="36" t="str">
        <f>IF(Account!$F1121&lt;&gt;"", DATEVALUE(MID($C1121,4,3) &amp; LEFT($C1121,3) &amp; RIGHT($C1121,4)), "")</f>
        <v/>
      </c>
      <c r="Q1121" s="37" t="str">
        <f t="array" ref="Q1121">IF($R1121&lt;&gt;"",IFERROR(INDEX(ISIN!$B:$B,MATCH($R1121,ISIN!$C:$C,0))),)</f>
        <v/>
      </c>
      <c r="R1121" s="38" t="str">
        <f t="array" ref="R1121">IF($E1121&lt;&gt;"",IFERROR(INDEX(ISIN!$C:$C,MATCH($E1121,ISIN!$A:$A,0)),IFERROR(INDEX($R1122:$R1200,MATCH($K1121,$K1122:$K1200,0)))),IF(AND($Y1121="change",$H1121="EUR"),IF($O1121=$O1122,$R1122,IF($O1121=$O1120,$R1120)),IFERROR(INDEX($R1122:$R1200,MATCH(SUBSTITUTE($I1121,"-","",1),$K1122:$K1200,0)))))</f>
        <v/>
      </c>
      <c r="S1121" s="37" t="str">
        <f t="shared" si="1"/>
        <v/>
      </c>
      <c r="T1121" s="39" t="str">
        <f t="shared" si="2"/>
        <v/>
      </c>
      <c r="U1121" s="40" t="str">
        <f t="shared" si="3"/>
        <v/>
      </c>
      <c r="V1121" s="34" t="str">
        <f t="shared" si="4"/>
        <v/>
      </c>
      <c r="W1121" s="41" t="str">
        <f>IFERROR(__xludf.DUMMYFUNCTION(" IF(Account!$F1121&lt;&gt;"""", SPLIT(Account!$F1121, "" ""), """")"),"")</f>
        <v/>
      </c>
      <c r="X1121" s="42"/>
      <c r="Y1121" s="42"/>
      <c r="Z1121" s="42"/>
      <c r="AA1121" s="42"/>
      <c r="AB1121" s="42"/>
      <c r="AC1121" s="42"/>
      <c r="AD1121" s="42"/>
      <c r="AE1121" s="42"/>
      <c r="AF1121" s="42"/>
      <c r="AG1121" s="42"/>
      <c r="AH1121" s="42"/>
      <c r="AI1121" s="42"/>
      <c r="AJ1121" s="42"/>
      <c r="AK1121" s="42"/>
    </row>
    <row r="1122">
      <c r="A1122" s="47"/>
      <c r="B1122" s="48"/>
      <c r="C1122" s="47"/>
      <c r="F1122" s="49"/>
      <c r="G1122" s="45"/>
      <c r="L1122" s="49"/>
      <c r="M1122" s="33" t="str">
        <f>IFERROR(__xludf.DUMMYFUNCTION("IFS(W1122=""Achat"",IFERROR(VALUE(X1122),VALUE(REGEXREPLACE(T(X1122),""[^0-9]"",""""))),W1122=""Vente"",-IFERROR(VALUE(X1122),VALUE(REGEXREPLACE(T(X1122),""[^0-9]"",""""))),Y1122=""Change"",0,Y1122&lt;&gt;""Change"","""")"),"")</f>
        <v/>
      </c>
      <c r="N1122" s="34" t="str">
        <f>IFERROR(__xludf.DUMMYFUNCTION("IF(Account!$F1122&lt;&gt;"""", VALUE(REGEXREPLACE($I1122, ""\,"", ""."")), """")"),"")</f>
        <v/>
      </c>
      <c r="O1122" s="35" t="str">
        <f>IF(Account!$F1122&lt;&gt;"", DATEVALUE(MID($A1122,4,3) &amp; LEFT($A1122,3) &amp; RIGHT($A1122,4)) + TIMEVALUE($B1122), "")</f>
        <v/>
      </c>
      <c r="P1122" s="36" t="str">
        <f>IF(Account!$F1122&lt;&gt;"", DATEVALUE(MID($C1122,4,3) &amp; LEFT($C1122,3) &amp; RIGHT($C1122,4)), "")</f>
        <v/>
      </c>
      <c r="Q1122" s="37" t="str">
        <f t="array" ref="Q1122">IF($R1122&lt;&gt;"",IFERROR(INDEX(ISIN!$B:$B,MATCH($R1122,ISIN!$C:$C,0))),)</f>
        <v/>
      </c>
      <c r="R1122" s="38" t="str">
        <f t="array" ref="R1122">IF($E1122&lt;&gt;"",IFERROR(INDEX(ISIN!$C:$C,MATCH($E1122,ISIN!$A:$A,0)),IFERROR(INDEX($R1123:$R1200,MATCH($K1122,$K1123:$K1200,0)))),IF(AND($Y1122="change",$H1122="EUR"),IF($O1122=$O1123,$R1123,IF($O1122=$O1121,$R1121)),IFERROR(INDEX($R1123:$R1200,MATCH(SUBSTITUTE($I1122,"-","",1),$K1123:$K1200,0)))))</f>
        <v/>
      </c>
      <c r="S1122" s="37" t="str">
        <f t="shared" si="1"/>
        <v/>
      </c>
      <c r="T1122" s="39" t="str">
        <f t="shared" si="2"/>
        <v/>
      </c>
      <c r="U1122" s="40" t="str">
        <f t="shared" si="3"/>
        <v/>
      </c>
      <c r="V1122" s="34" t="str">
        <f t="shared" si="4"/>
        <v/>
      </c>
      <c r="W1122" s="41" t="str">
        <f>IFERROR(__xludf.DUMMYFUNCTION(" IF(Account!$F1122&lt;&gt;"""", SPLIT(Account!$F1122, "" ""), """")"),"")</f>
        <v/>
      </c>
      <c r="X1122" s="42"/>
      <c r="Y1122" s="42"/>
      <c r="Z1122" s="42"/>
      <c r="AA1122" s="42"/>
      <c r="AB1122" s="42"/>
      <c r="AC1122" s="42"/>
      <c r="AD1122" s="42"/>
      <c r="AE1122" s="42"/>
      <c r="AF1122" s="42"/>
      <c r="AG1122" s="42"/>
      <c r="AH1122" s="42"/>
      <c r="AI1122" s="42"/>
      <c r="AJ1122" s="42"/>
      <c r="AK1122" s="42"/>
    </row>
    <row r="1123">
      <c r="A1123" s="47"/>
      <c r="B1123" s="48"/>
      <c r="C1123" s="47"/>
      <c r="F1123" s="49"/>
      <c r="G1123" s="50"/>
      <c r="L1123" s="49"/>
      <c r="M1123" s="33" t="str">
        <f>IFERROR(__xludf.DUMMYFUNCTION("IFS(W1123=""Achat"",IFERROR(VALUE(X1123),VALUE(REGEXREPLACE(T(X1123),""[^0-9]"",""""))),W1123=""Vente"",-IFERROR(VALUE(X1123),VALUE(REGEXREPLACE(T(X1123),""[^0-9]"",""""))),Y1123=""Change"",0,Y1123&lt;&gt;""Change"","""")"),"")</f>
        <v/>
      </c>
      <c r="N1123" s="34" t="str">
        <f>IFERROR(__xludf.DUMMYFUNCTION("IF(Account!$F1123&lt;&gt;"""", VALUE(REGEXREPLACE($I1123, ""\,"", ""."")), """")"),"")</f>
        <v/>
      </c>
      <c r="O1123" s="35" t="str">
        <f>IF(Account!$F1123&lt;&gt;"", DATEVALUE(MID($A1123,4,3) &amp; LEFT($A1123,3) &amp; RIGHT($A1123,4)) + TIMEVALUE($B1123), "")</f>
        <v/>
      </c>
      <c r="P1123" s="36" t="str">
        <f>IF(Account!$F1123&lt;&gt;"", DATEVALUE(MID($C1123,4,3) &amp; LEFT($C1123,3) &amp; RIGHT($C1123,4)), "")</f>
        <v/>
      </c>
      <c r="Q1123" s="37" t="str">
        <f t="array" ref="Q1123">IF($R1123&lt;&gt;"",IFERROR(INDEX(ISIN!$B:$B,MATCH($R1123,ISIN!$C:$C,0))),)</f>
        <v/>
      </c>
      <c r="R1123" s="38" t="str">
        <f t="array" ref="R1123">IF($E1123&lt;&gt;"",IFERROR(INDEX(ISIN!$C:$C,MATCH($E1123,ISIN!$A:$A,0)),IFERROR(INDEX($R1124:$R1200,MATCH($K1123,$K1124:$K1200,0)))),IF(AND($Y1123="change",$H1123="EUR"),IF($O1123=$O1124,$R1124,IF($O1123=$O1122,$R1122)),IFERROR(INDEX($R1124:$R1200,MATCH(SUBSTITUTE($I1123,"-","",1),$K1124:$K1200,0)))))</f>
        <v/>
      </c>
      <c r="S1123" s="37" t="str">
        <f t="shared" si="1"/>
        <v/>
      </c>
      <c r="T1123" s="39" t="str">
        <f t="shared" si="2"/>
        <v/>
      </c>
      <c r="U1123" s="40" t="str">
        <f t="shared" si="3"/>
        <v/>
      </c>
      <c r="V1123" s="34" t="str">
        <f t="shared" si="4"/>
        <v/>
      </c>
      <c r="W1123" s="41" t="str">
        <f>IFERROR(__xludf.DUMMYFUNCTION(" IF(Account!$F1123&lt;&gt;"""", SPLIT(Account!$F1123, "" ""), """")"),"")</f>
        <v/>
      </c>
      <c r="X1123" s="42"/>
      <c r="Y1123" s="42"/>
      <c r="Z1123" s="42"/>
      <c r="AA1123" s="42"/>
      <c r="AB1123" s="42"/>
      <c r="AC1123" s="42"/>
      <c r="AD1123" s="42"/>
      <c r="AE1123" s="42"/>
      <c r="AF1123" s="42"/>
      <c r="AG1123" s="42"/>
      <c r="AH1123" s="42"/>
      <c r="AI1123" s="42"/>
      <c r="AJ1123" s="42"/>
      <c r="AK1123" s="42"/>
    </row>
    <row r="1124">
      <c r="A1124" s="47"/>
      <c r="B1124" s="48"/>
      <c r="C1124" s="47"/>
      <c r="F1124" s="49"/>
      <c r="G1124" s="45"/>
      <c r="L1124" s="49"/>
      <c r="M1124" s="33" t="str">
        <f>IFERROR(__xludf.DUMMYFUNCTION("IFS(W1124=""Achat"",IFERROR(VALUE(X1124),VALUE(REGEXREPLACE(T(X1124),""[^0-9]"",""""))),W1124=""Vente"",-IFERROR(VALUE(X1124),VALUE(REGEXREPLACE(T(X1124),""[^0-9]"",""""))),Y1124=""Change"",0,Y1124&lt;&gt;""Change"","""")"),"")</f>
        <v/>
      </c>
      <c r="N1124" s="34" t="str">
        <f>IFERROR(__xludf.DUMMYFUNCTION("IF(Account!$F1124&lt;&gt;"""", VALUE(REGEXREPLACE($I1124, ""\,"", ""."")), """")"),"")</f>
        <v/>
      </c>
      <c r="O1124" s="35" t="str">
        <f>IF(Account!$F1124&lt;&gt;"", DATEVALUE(MID($A1124,4,3) &amp; LEFT($A1124,3) &amp; RIGHT($A1124,4)) + TIMEVALUE($B1124), "")</f>
        <v/>
      </c>
      <c r="P1124" s="36" t="str">
        <f>IF(Account!$F1124&lt;&gt;"", DATEVALUE(MID($C1124,4,3) &amp; LEFT($C1124,3) &amp; RIGHT($C1124,4)), "")</f>
        <v/>
      </c>
      <c r="Q1124" s="37" t="str">
        <f t="array" ref="Q1124">IF($R1124&lt;&gt;"",IFERROR(INDEX(ISIN!$B:$B,MATCH($R1124,ISIN!$C:$C,0))),)</f>
        <v/>
      </c>
      <c r="R1124" s="38" t="str">
        <f t="array" ref="R1124">IF($E1124&lt;&gt;"",IFERROR(INDEX(ISIN!$C:$C,MATCH($E1124,ISIN!$A:$A,0)),IFERROR(INDEX($R1125:$R1200,MATCH($K1124,$K1125:$K1200,0)))),IF(AND($Y1124="change",$H1124="EUR"),IF($O1124=$O1125,$R1125,IF($O1124=$O1123,$R1123)),IFERROR(INDEX($R1125:$R1200,MATCH(SUBSTITUTE($I1124,"-","",1),$K1125:$K1200,0)))))</f>
        <v/>
      </c>
      <c r="S1124" s="37" t="str">
        <f t="shared" si="1"/>
        <v/>
      </c>
      <c r="T1124" s="39" t="str">
        <f t="shared" si="2"/>
        <v/>
      </c>
      <c r="U1124" s="40" t="str">
        <f t="shared" si="3"/>
        <v/>
      </c>
      <c r="V1124" s="34" t="str">
        <f t="shared" si="4"/>
        <v/>
      </c>
      <c r="W1124" s="41" t="str">
        <f>IFERROR(__xludf.DUMMYFUNCTION(" IF(Account!$F1124&lt;&gt;"""", SPLIT(Account!$F1124, "" ""), """")"),"")</f>
        <v/>
      </c>
      <c r="X1124" s="42"/>
      <c r="Y1124" s="42"/>
      <c r="Z1124" s="42"/>
      <c r="AA1124" s="42"/>
      <c r="AB1124" s="42"/>
      <c r="AC1124" s="42"/>
      <c r="AD1124" s="42"/>
      <c r="AE1124" s="42"/>
      <c r="AF1124" s="42"/>
      <c r="AG1124" s="42"/>
      <c r="AH1124" s="42"/>
      <c r="AI1124" s="42"/>
      <c r="AJ1124" s="42"/>
      <c r="AK1124" s="42"/>
    </row>
    <row r="1125">
      <c r="A1125" s="47"/>
      <c r="B1125" s="48"/>
      <c r="C1125" s="47"/>
      <c r="F1125" s="49"/>
      <c r="G1125" s="45"/>
      <c r="L1125" s="49"/>
      <c r="M1125" s="33" t="str">
        <f>IFERROR(__xludf.DUMMYFUNCTION("IFS(W1125=""Achat"",IFERROR(VALUE(X1125),VALUE(REGEXREPLACE(T(X1125),""[^0-9]"",""""))),W1125=""Vente"",-IFERROR(VALUE(X1125),VALUE(REGEXREPLACE(T(X1125),""[^0-9]"",""""))),Y1125=""Change"",0,Y1125&lt;&gt;""Change"","""")"),"")</f>
        <v/>
      </c>
      <c r="N1125" s="34" t="str">
        <f>IFERROR(__xludf.DUMMYFUNCTION("IF(Account!$F1125&lt;&gt;"""", VALUE(REGEXREPLACE($I1125, ""\,"", ""."")), """")"),"")</f>
        <v/>
      </c>
      <c r="O1125" s="35" t="str">
        <f>IF(Account!$F1125&lt;&gt;"", DATEVALUE(MID($A1125,4,3) &amp; LEFT($A1125,3) &amp; RIGHT($A1125,4)) + TIMEVALUE($B1125), "")</f>
        <v/>
      </c>
      <c r="P1125" s="36" t="str">
        <f>IF(Account!$F1125&lt;&gt;"", DATEVALUE(MID($C1125,4,3) &amp; LEFT($C1125,3) &amp; RIGHT($C1125,4)), "")</f>
        <v/>
      </c>
      <c r="Q1125" s="37" t="str">
        <f t="array" ref="Q1125">IF($R1125&lt;&gt;"",IFERROR(INDEX(ISIN!$B:$B,MATCH($R1125,ISIN!$C:$C,0))),)</f>
        <v/>
      </c>
      <c r="R1125" s="38" t="str">
        <f t="array" ref="R1125">IF($E1125&lt;&gt;"",IFERROR(INDEX(ISIN!$C:$C,MATCH($E1125,ISIN!$A:$A,0)),IFERROR(INDEX($R1126:$R1200,MATCH($K1125,$K1126:$K1200,0)))),IF(AND($Y1125="change",$H1125="EUR"),IF($O1125=$O1126,$R1126,IF($O1125=$O1124,$R1124)),IFERROR(INDEX($R1126:$R1200,MATCH(SUBSTITUTE($I1125,"-","",1),$K1126:$K1200,0)))))</f>
        <v/>
      </c>
      <c r="S1125" s="37" t="str">
        <f t="shared" si="1"/>
        <v/>
      </c>
      <c r="T1125" s="39" t="str">
        <f t="shared" si="2"/>
        <v/>
      </c>
      <c r="U1125" s="40" t="str">
        <f t="shared" si="3"/>
        <v/>
      </c>
      <c r="V1125" s="34" t="str">
        <f t="shared" si="4"/>
        <v/>
      </c>
      <c r="W1125" s="41" t="str">
        <f>IFERROR(__xludf.DUMMYFUNCTION(" IF(Account!$F1125&lt;&gt;"""", SPLIT(Account!$F1125, "" ""), """")"),"")</f>
        <v/>
      </c>
      <c r="X1125" s="42"/>
      <c r="Y1125" s="42"/>
      <c r="Z1125" s="42"/>
      <c r="AA1125" s="42"/>
      <c r="AB1125" s="42"/>
      <c r="AC1125" s="42"/>
      <c r="AD1125" s="42"/>
      <c r="AE1125" s="42"/>
      <c r="AF1125" s="42"/>
      <c r="AG1125" s="42"/>
      <c r="AH1125" s="42"/>
      <c r="AI1125" s="42"/>
      <c r="AJ1125" s="42"/>
      <c r="AK1125" s="42"/>
    </row>
    <row r="1126">
      <c r="A1126" s="47"/>
      <c r="B1126" s="48"/>
      <c r="C1126" s="47"/>
      <c r="F1126" s="49"/>
      <c r="G1126" s="45"/>
      <c r="L1126" s="49"/>
      <c r="M1126" s="33" t="str">
        <f>IFERROR(__xludf.DUMMYFUNCTION("IFS(W1126=""Achat"",IFERROR(VALUE(X1126),VALUE(REGEXREPLACE(T(X1126),""[^0-9]"",""""))),W1126=""Vente"",-IFERROR(VALUE(X1126),VALUE(REGEXREPLACE(T(X1126),""[^0-9]"",""""))),Y1126=""Change"",0,Y1126&lt;&gt;""Change"","""")"),"")</f>
        <v/>
      </c>
      <c r="N1126" s="34" t="str">
        <f>IFERROR(__xludf.DUMMYFUNCTION("IF(Account!$F1126&lt;&gt;"""", VALUE(REGEXREPLACE($I1126, ""\,"", ""."")), """")"),"")</f>
        <v/>
      </c>
      <c r="O1126" s="35" t="str">
        <f>IF(Account!$F1126&lt;&gt;"", DATEVALUE(MID($A1126,4,3) &amp; LEFT($A1126,3) &amp; RIGHT($A1126,4)) + TIMEVALUE($B1126), "")</f>
        <v/>
      </c>
      <c r="P1126" s="36" t="str">
        <f>IF(Account!$F1126&lt;&gt;"", DATEVALUE(MID($C1126,4,3) &amp; LEFT($C1126,3) &amp; RIGHT($C1126,4)), "")</f>
        <v/>
      </c>
      <c r="Q1126" s="37" t="str">
        <f t="array" ref="Q1126">IF($R1126&lt;&gt;"",IFERROR(INDEX(ISIN!$B:$B,MATCH($R1126,ISIN!$C:$C,0))),)</f>
        <v/>
      </c>
      <c r="R1126" s="38" t="str">
        <f t="array" ref="R1126">IF($E1126&lt;&gt;"",IFERROR(INDEX(ISIN!$C:$C,MATCH($E1126,ISIN!$A:$A,0)),IFERROR(INDEX($R1127:$R1200,MATCH($K1126,$K1127:$K1200,0)))),IF(AND($Y1126="change",$H1126="EUR"),IF($O1126=$O1127,$R1127,IF($O1126=$O1125,$R1125)),IFERROR(INDEX($R1127:$R1200,MATCH(SUBSTITUTE($I1126,"-","",1),$K1127:$K1200,0)))))</f>
        <v/>
      </c>
      <c r="S1126" s="37" t="str">
        <f t="shared" si="1"/>
        <v/>
      </c>
      <c r="T1126" s="39" t="str">
        <f t="shared" si="2"/>
        <v/>
      </c>
      <c r="U1126" s="40" t="str">
        <f t="shared" si="3"/>
        <v/>
      </c>
      <c r="V1126" s="34" t="str">
        <f t="shared" si="4"/>
        <v/>
      </c>
      <c r="W1126" s="41" t="str">
        <f>IFERROR(__xludf.DUMMYFUNCTION(" IF(Account!$F1126&lt;&gt;"""", SPLIT(Account!$F1126, "" ""), """")"),"")</f>
        <v/>
      </c>
      <c r="X1126" s="42"/>
      <c r="Y1126" s="42"/>
      <c r="Z1126" s="42"/>
      <c r="AA1126" s="42"/>
      <c r="AB1126" s="42"/>
      <c r="AC1126" s="42"/>
      <c r="AD1126" s="42"/>
      <c r="AE1126" s="42"/>
      <c r="AF1126" s="42"/>
      <c r="AG1126" s="42"/>
      <c r="AH1126" s="42"/>
      <c r="AI1126" s="42"/>
      <c r="AJ1126" s="42"/>
      <c r="AK1126" s="42"/>
    </row>
    <row r="1127">
      <c r="A1127" s="47"/>
      <c r="B1127" s="48"/>
      <c r="C1127" s="47"/>
      <c r="F1127" s="49"/>
      <c r="G1127" s="50"/>
      <c r="L1127" s="49"/>
      <c r="M1127" s="33" t="str">
        <f>IFERROR(__xludf.DUMMYFUNCTION("IFS(W1127=""Achat"",IFERROR(VALUE(X1127),VALUE(REGEXREPLACE(T(X1127),""[^0-9]"",""""))),W1127=""Vente"",-IFERROR(VALUE(X1127),VALUE(REGEXREPLACE(T(X1127),""[^0-9]"",""""))),Y1127=""Change"",0,Y1127&lt;&gt;""Change"","""")"),"")</f>
        <v/>
      </c>
      <c r="N1127" s="34" t="str">
        <f>IFERROR(__xludf.DUMMYFUNCTION("IF(Account!$F1127&lt;&gt;"""", VALUE(REGEXREPLACE($I1127, ""\,"", ""."")), """")"),"")</f>
        <v/>
      </c>
      <c r="O1127" s="35" t="str">
        <f>IF(Account!$F1127&lt;&gt;"", DATEVALUE(MID($A1127,4,3) &amp; LEFT($A1127,3) &amp; RIGHT($A1127,4)) + TIMEVALUE($B1127), "")</f>
        <v/>
      </c>
      <c r="P1127" s="36" t="str">
        <f>IF(Account!$F1127&lt;&gt;"", DATEVALUE(MID($C1127,4,3) &amp; LEFT($C1127,3) &amp; RIGHT($C1127,4)), "")</f>
        <v/>
      </c>
      <c r="Q1127" s="37" t="str">
        <f t="array" ref="Q1127">IF($R1127&lt;&gt;"",IFERROR(INDEX(ISIN!$B:$B,MATCH($R1127,ISIN!$C:$C,0))),)</f>
        <v/>
      </c>
      <c r="R1127" s="38" t="str">
        <f t="array" ref="R1127">IF($E1127&lt;&gt;"",IFERROR(INDEX(ISIN!$C:$C,MATCH($E1127,ISIN!$A:$A,0)),IFERROR(INDEX($R1128:$R1200,MATCH($K1127,$K1128:$K1200,0)))),IF(AND($Y1127="change",$H1127="EUR"),IF($O1127=$O1128,$R1128,IF($O1127=$O1126,$R1126)),IFERROR(INDEX($R1128:$R1200,MATCH(SUBSTITUTE($I1127,"-","",1),$K1128:$K1200,0)))))</f>
        <v/>
      </c>
      <c r="S1127" s="37" t="str">
        <f t="shared" si="1"/>
        <v/>
      </c>
      <c r="T1127" s="39" t="str">
        <f t="shared" si="2"/>
        <v/>
      </c>
      <c r="U1127" s="40" t="str">
        <f t="shared" si="3"/>
        <v/>
      </c>
      <c r="V1127" s="34" t="str">
        <f t="shared" si="4"/>
        <v/>
      </c>
      <c r="W1127" s="41" t="str">
        <f>IFERROR(__xludf.DUMMYFUNCTION(" IF(Account!$F1127&lt;&gt;"""", SPLIT(Account!$F1127, "" ""), """")"),"")</f>
        <v/>
      </c>
      <c r="X1127" s="42"/>
      <c r="Y1127" s="42"/>
      <c r="Z1127" s="42"/>
      <c r="AA1127" s="42"/>
      <c r="AB1127" s="42"/>
      <c r="AC1127" s="42"/>
      <c r="AD1127" s="42"/>
      <c r="AE1127" s="42"/>
      <c r="AF1127" s="42"/>
      <c r="AG1127" s="42"/>
      <c r="AH1127" s="42"/>
      <c r="AI1127" s="42"/>
      <c r="AJ1127" s="42"/>
      <c r="AK1127" s="42"/>
    </row>
    <row r="1128">
      <c r="A1128" s="47"/>
      <c r="B1128" s="48"/>
      <c r="C1128" s="47"/>
      <c r="F1128" s="49"/>
      <c r="G1128" s="45"/>
      <c r="L1128" s="49"/>
      <c r="M1128" s="33" t="str">
        <f>IFERROR(__xludf.DUMMYFUNCTION("IFS(W1128=""Achat"",IFERROR(VALUE(X1128),VALUE(REGEXREPLACE(T(X1128),""[^0-9]"",""""))),W1128=""Vente"",-IFERROR(VALUE(X1128),VALUE(REGEXREPLACE(T(X1128),""[^0-9]"",""""))),Y1128=""Change"",0,Y1128&lt;&gt;""Change"","""")"),"")</f>
        <v/>
      </c>
      <c r="N1128" s="34" t="str">
        <f>IFERROR(__xludf.DUMMYFUNCTION("IF(Account!$F1128&lt;&gt;"""", VALUE(REGEXREPLACE($I1128, ""\,"", ""."")), """")"),"")</f>
        <v/>
      </c>
      <c r="O1128" s="35" t="str">
        <f>IF(Account!$F1128&lt;&gt;"", DATEVALUE(MID($A1128,4,3) &amp; LEFT($A1128,3) &amp; RIGHT($A1128,4)) + TIMEVALUE($B1128), "")</f>
        <v/>
      </c>
      <c r="P1128" s="36" t="str">
        <f>IF(Account!$F1128&lt;&gt;"", DATEVALUE(MID($C1128,4,3) &amp; LEFT($C1128,3) &amp; RIGHT($C1128,4)), "")</f>
        <v/>
      </c>
      <c r="Q1128" s="37" t="str">
        <f t="array" ref="Q1128">IF($R1128&lt;&gt;"",IFERROR(INDEX(ISIN!$B:$B,MATCH($R1128,ISIN!$C:$C,0))),)</f>
        <v/>
      </c>
      <c r="R1128" s="38" t="str">
        <f t="array" ref="R1128">IF($E1128&lt;&gt;"",IFERROR(INDEX(ISIN!$C:$C,MATCH($E1128,ISIN!$A:$A,0)),IFERROR(INDEX($R1129:$R1200,MATCH($K1128,$K1129:$K1200,0)))),IF(AND($Y1128="change",$H1128="EUR"),IF($O1128=$O1129,$R1129,IF($O1128=$O1127,$R1127)),IFERROR(INDEX($R1129:$R1200,MATCH(SUBSTITUTE($I1128,"-","",1),$K1129:$K1200,0)))))</f>
        <v/>
      </c>
      <c r="S1128" s="37" t="str">
        <f t="shared" si="1"/>
        <v/>
      </c>
      <c r="T1128" s="39" t="str">
        <f t="shared" si="2"/>
        <v/>
      </c>
      <c r="U1128" s="40" t="str">
        <f t="shared" si="3"/>
        <v/>
      </c>
      <c r="V1128" s="34" t="str">
        <f t="shared" si="4"/>
        <v/>
      </c>
      <c r="W1128" s="41" t="str">
        <f>IFERROR(__xludf.DUMMYFUNCTION(" IF(Account!$F1128&lt;&gt;"""", SPLIT(Account!$F1128, "" ""), """")"),"")</f>
        <v/>
      </c>
      <c r="X1128" s="42"/>
      <c r="Y1128" s="42"/>
      <c r="Z1128" s="42"/>
      <c r="AA1128" s="42"/>
      <c r="AB1128" s="42"/>
      <c r="AC1128" s="42"/>
      <c r="AD1128" s="42"/>
      <c r="AE1128" s="42"/>
      <c r="AF1128" s="42"/>
      <c r="AG1128" s="42"/>
      <c r="AH1128" s="42"/>
      <c r="AI1128" s="42"/>
      <c r="AJ1128" s="42"/>
      <c r="AK1128" s="42"/>
    </row>
    <row r="1129">
      <c r="A1129" s="47"/>
      <c r="B1129" s="48"/>
      <c r="C1129" s="47"/>
      <c r="F1129" s="49"/>
      <c r="G1129" s="50"/>
      <c r="L1129" s="49"/>
      <c r="M1129" s="33" t="str">
        <f>IFERROR(__xludf.DUMMYFUNCTION("IFS(W1129=""Achat"",IFERROR(VALUE(X1129),VALUE(REGEXREPLACE(T(X1129),""[^0-9]"",""""))),W1129=""Vente"",-IFERROR(VALUE(X1129),VALUE(REGEXREPLACE(T(X1129),""[^0-9]"",""""))),Y1129=""Change"",0,Y1129&lt;&gt;""Change"","""")"),"")</f>
        <v/>
      </c>
      <c r="N1129" s="34" t="str">
        <f>IFERROR(__xludf.DUMMYFUNCTION("IF(Account!$F1129&lt;&gt;"""", VALUE(REGEXREPLACE($I1129, ""\,"", ""."")), """")"),"")</f>
        <v/>
      </c>
      <c r="O1129" s="35" t="str">
        <f>IF(Account!$F1129&lt;&gt;"", DATEVALUE(MID($A1129,4,3) &amp; LEFT($A1129,3) &amp; RIGHT($A1129,4)) + TIMEVALUE($B1129), "")</f>
        <v/>
      </c>
      <c r="P1129" s="36" t="str">
        <f>IF(Account!$F1129&lt;&gt;"", DATEVALUE(MID($C1129,4,3) &amp; LEFT($C1129,3) &amp; RIGHT($C1129,4)), "")</f>
        <v/>
      </c>
      <c r="Q1129" s="37" t="str">
        <f t="array" ref="Q1129">IF($R1129&lt;&gt;"",IFERROR(INDEX(ISIN!$B:$B,MATCH($R1129,ISIN!$C:$C,0))),)</f>
        <v/>
      </c>
      <c r="R1129" s="38" t="str">
        <f t="array" ref="R1129">IF($E1129&lt;&gt;"",IFERROR(INDEX(ISIN!$C:$C,MATCH($E1129,ISIN!$A:$A,0)),IFERROR(INDEX($R1130:$R1200,MATCH($K1129,$K1130:$K1200,0)))),IF(AND($Y1129="change",$H1129="EUR"),IF($O1129=$O1130,$R1130,IF($O1129=$O1128,$R1128)),IFERROR(INDEX($R1130:$R1200,MATCH(SUBSTITUTE($I1129,"-","",1),$K1130:$K1200,0)))))</f>
        <v/>
      </c>
      <c r="S1129" s="37" t="str">
        <f t="shared" si="1"/>
        <v/>
      </c>
      <c r="T1129" s="39" t="str">
        <f t="shared" si="2"/>
        <v/>
      </c>
      <c r="U1129" s="40" t="str">
        <f t="shared" si="3"/>
        <v/>
      </c>
      <c r="V1129" s="34" t="str">
        <f t="shared" si="4"/>
        <v/>
      </c>
      <c r="W1129" s="41" t="str">
        <f>IFERROR(__xludf.DUMMYFUNCTION(" IF(Account!$F1129&lt;&gt;"""", SPLIT(Account!$F1129, "" ""), """")"),"")</f>
        <v/>
      </c>
      <c r="X1129" s="42"/>
      <c r="Y1129" s="42"/>
      <c r="Z1129" s="42"/>
      <c r="AA1129" s="42"/>
      <c r="AB1129" s="42"/>
      <c r="AC1129" s="42"/>
      <c r="AD1129" s="42"/>
      <c r="AE1129" s="42"/>
      <c r="AF1129" s="42"/>
      <c r="AG1129" s="42"/>
      <c r="AH1129" s="42"/>
      <c r="AI1129" s="42"/>
      <c r="AJ1129" s="42"/>
      <c r="AK1129" s="42"/>
    </row>
    <row r="1130">
      <c r="A1130" s="47"/>
      <c r="B1130" s="48"/>
      <c r="C1130" s="47"/>
      <c r="F1130" s="49"/>
      <c r="G1130" s="45"/>
      <c r="L1130" s="49"/>
      <c r="M1130" s="33" t="str">
        <f>IFERROR(__xludf.DUMMYFUNCTION("IFS(W1130=""Achat"",IFERROR(VALUE(X1130),VALUE(REGEXREPLACE(T(X1130),""[^0-9]"",""""))),W1130=""Vente"",-IFERROR(VALUE(X1130),VALUE(REGEXREPLACE(T(X1130),""[^0-9]"",""""))),Y1130=""Change"",0,Y1130&lt;&gt;""Change"","""")"),"")</f>
        <v/>
      </c>
      <c r="N1130" s="34" t="str">
        <f>IFERROR(__xludf.DUMMYFUNCTION("IF(Account!$F1130&lt;&gt;"""", VALUE(REGEXREPLACE($I1130, ""\,"", ""."")), """")"),"")</f>
        <v/>
      </c>
      <c r="O1130" s="35" t="str">
        <f>IF(Account!$F1130&lt;&gt;"", DATEVALUE(MID($A1130,4,3) &amp; LEFT($A1130,3) &amp; RIGHT($A1130,4)) + TIMEVALUE($B1130), "")</f>
        <v/>
      </c>
      <c r="P1130" s="36" t="str">
        <f>IF(Account!$F1130&lt;&gt;"", DATEVALUE(MID($C1130,4,3) &amp; LEFT($C1130,3) &amp; RIGHT($C1130,4)), "")</f>
        <v/>
      </c>
      <c r="Q1130" s="37" t="str">
        <f t="array" ref="Q1130">IF($R1130&lt;&gt;"",IFERROR(INDEX(ISIN!$B:$B,MATCH($R1130,ISIN!$C:$C,0))),)</f>
        <v/>
      </c>
      <c r="R1130" s="38" t="str">
        <f t="array" ref="R1130">IF($E1130&lt;&gt;"",IFERROR(INDEX(ISIN!$C:$C,MATCH($E1130,ISIN!$A:$A,0)),IFERROR(INDEX($R1131:$R1200,MATCH($K1130,$K1131:$K1200,0)))),IF(AND($Y1130="change",$H1130="EUR"),IF($O1130=$O1131,$R1131,IF($O1130=$O1129,$R1129)),IFERROR(INDEX($R1131:$R1200,MATCH(SUBSTITUTE($I1130,"-","",1),$K1131:$K1200,0)))))</f>
        <v/>
      </c>
      <c r="S1130" s="37" t="str">
        <f t="shared" si="1"/>
        <v/>
      </c>
      <c r="T1130" s="39" t="str">
        <f t="shared" si="2"/>
        <v/>
      </c>
      <c r="U1130" s="40" t="str">
        <f t="shared" si="3"/>
        <v/>
      </c>
      <c r="V1130" s="34" t="str">
        <f t="shared" si="4"/>
        <v/>
      </c>
      <c r="W1130" s="41" t="str">
        <f>IFERROR(__xludf.DUMMYFUNCTION(" IF(Account!$F1130&lt;&gt;"""", SPLIT(Account!$F1130, "" ""), """")"),"")</f>
        <v/>
      </c>
      <c r="X1130" s="42"/>
      <c r="Y1130" s="42"/>
      <c r="Z1130" s="42"/>
      <c r="AA1130" s="42"/>
      <c r="AB1130" s="42"/>
      <c r="AC1130" s="42"/>
      <c r="AD1130" s="42"/>
      <c r="AE1130" s="42"/>
      <c r="AF1130" s="42"/>
      <c r="AG1130" s="42"/>
      <c r="AH1130" s="42"/>
      <c r="AI1130" s="42"/>
      <c r="AJ1130" s="42"/>
      <c r="AK1130" s="42"/>
    </row>
    <row r="1131">
      <c r="A1131" s="47"/>
      <c r="B1131" s="48"/>
      <c r="C1131" s="47"/>
      <c r="F1131" s="49"/>
      <c r="G1131" s="45"/>
      <c r="L1131" s="49"/>
      <c r="M1131" s="33" t="str">
        <f>IFERROR(__xludf.DUMMYFUNCTION("IFS(W1131=""Achat"",IFERROR(VALUE(X1131),VALUE(REGEXREPLACE(T(X1131),""[^0-9]"",""""))),W1131=""Vente"",-IFERROR(VALUE(X1131),VALUE(REGEXREPLACE(T(X1131),""[^0-9]"",""""))),Y1131=""Change"",0,Y1131&lt;&gt;""Change"","""")"),"")</f>
        <v/>
      </c>
      <c r="N1131" s="34" t="str">
        <f>IFERROR(__xludf.DUMMYFUNCTION("IF(Account!$F1131&lt;&gt;"""", VALUE(REGEXREPLACE($I1131, ""\,"", ""."")), """")"),"")</f>
        <v/>
      </c>
      <c r="O1131" s="35" t="str">
        <f>IF(Account!$F1131&lt;&gt;"", DATEVALUE(MID($A1131,4,3) &amp; LEFT($A1131,3) &amp; RIGHT($A1131,4)) + TIMEVALUE($B1131), "")</f>
        <v/>
      </c>
      <c r="P1131" s="36" t="str">
        <f>IF(Account!$F1131&lt;&gt;"", DATEVALUE(MID($C1131,4,3) &amp; LEFT($C1131,3) &amp; RIGHT($C1131,4)), "")</f>
        <v/>
      </c>
      <c r="Q1131" s="37" t="str">
        <f t="array" ref="Q1131">IF($R1131&lt;&gt;"",IFERROR(INDEX(ISIN!$B:$B,MATCH($R1131,ISIN!$C:$C,0))),)</f>
        <v/>
      </c>
      <c r="R1131" s="38" t="str">
        <f t="array" ref="R1131">IF($E1131&lt;&gt;"",IFERROR(INDEX(ISIN!$C:$C,MATCH($E1131,ISIN!$A:$A,0)),IFERROR(INDEX($R1132:$R1200,MATCH($K1131,$K1132:$K1200,0)))),IF(AND($Y1131="change",$H1131="EUR"),IF($O1131=$O1132,$R1132,IF($O1131=$O1130,$R1130)),IFERROR(INDEX($R1132:$R1200,MATCH(SUBSTITUTE($I1131,"-","",1),$K1132:$K1200,0)))))</f>
        <v/>
      </c>
      <c r="S1131" s="37" t="str">
        <f t="shared" si="1"/>
        <v/>
      </c>
      <c r="T1131" s="39" t="str">
        <f t="shared" si="2"/>
        <v/>
      </c>
      <c r="U1131" s="40" t="str">
        <f t="shared" si="3"/>
        <v/>
      </c>
      <c r="V1131" s="34" t="str">
        <f t="shared" si="4"/>
        <v/>
      </c>
      <c r="W1131" s="41" t="str">
        <f>IFERROR(__xludf.DUMMYFUNCTION(" IF(Account!$F1131&lt;&gt;"""", SPLIT(Account!$F1131, "" ""), """")"),"")</f>
        <v/>
      </c>
      <c r="X1131" s="42"/>
      <c r="Y1131" s="42"/>
      <c r="Z1131" s="42"/>
      <c r="AA1131" s="42"/>
      <c r="AB1131" s="42"/>
      <c r="AC1131" s="42"/>
      <c r="AD1131" s="42"/>
      <c r="AE1131" s="42"/>
      <c r="AF1131" s="42"/>
      <c r="AG1131" s="42"/>
      <c r="AH1131" s="42"/>
      <c r="AI1131" s="42"/>
      <c r="AJ1131" s="42"/>
      <c r="AK1131" s="42"/>
    </row>
    <row r="1132">
      <c r="A1132" s="47"/>
      <c r="B1132" s="48"/>
      <c r="C1132" s="47"/>
      <c r="F1132" s="49"/>
      <c r="G1132" s="45"/>
      <c r="L1132" s="49"/>
      <c r="M1132" s="33" t="str">
        <f>IFERROR(__xludf.DUMMYFUNCTION("IFS(W1132=""Achat"",IFERROR(VALUE(X1132),VALUE(REGEXREPLACE(T(X1132),""[^0-9]"",""""))),W1132=""Vente"",-IFERROR(VALUE(X1132),VALUE(REGEXREPLACE(T(X1132),""[^0-9]"",""""))),Y1132=""Change"",0,Y1132&lt;&gt;""Change"","""")"),"")</f>
        <v/>
      </c>
      <c r="N1132" s="34" t="str">
        <f>IFERROR(__xludf.DUMMYFUNCTION("IF(Account!$F1132&lt;&gt;"""", VALUE(REGEXREPLACE($I1132, ""\,"", ""."")), """")"),"")</f>
        <v/>
      </c>
      <c r="O1132" s="35" t="str">
        <f>IF(Account!$F1132&lt;&gt;"", DATEVALUE(MID($A1132,4,3) &amp; LEFT($A1132,3) &amp; RIGHT($A1132,4)) + TIMEVALUE($B1132), "")</f>
        <v/>
      </c>
      <c r="P1132" s="36" t="str">
        <f>IF(Account!$F1132&lt;&gt;"", DATEVALUE(MID($C1132,4,3) &amp; LEFT($C1132,3) &amp; RIGHT($C1132,4)), "")</f>
        <v/>
      </c>
      <c r="Q1132" s="37" t="str">
        <f t="array" ref="Q1132">IF($R1132&lt;&gt;"",IFERROR(INDEX(ISIN!$B:$B,MATCH($R1132,ISIN!$C:$C,0))),)</f>
        <v/>
      </c>
      <c r="R1132" s="38" t="str">
        <f t="array" ref="R1132">IF($E1132&lt;&gt;"",IFERROR(INDEX(ISIN!$C:$C,MATCH($E1132,ISIN!$A:$A,0)),IFERROR(INDEX($R1133:$R1200,MATCH($K1132,$K1133:$K1200,0)))),IF(AND($Y1132="change",$H1132="EUR"),IF($O1132=$O1133,$R1133,IF($O1132=$O1131,$R1131)),IFERROR(INDEX($R1133:$R1200,MATCH(SUBSTITUTE($I1132,"-","",1),$K1133:$K1200,0)))))</f>
        <v/>
      </c>
      <c r="S1132" s="37" t="str">
        <f t="shared" si="1"/>
        <v/>
      </c>
      <c r="T1132" s="39" t="str">
        <f t="shared" si="2"/>
        <v/>
      </c>
      <c r="U1132" s="40" t="str">
        <f t="shared" si="3"/>
        <v/>
      </c>
      <c r="V1132" s="34" t="str">
        <f t="shared" si="4"/>
        <v/>
      </c>
      <c r="W1132" s="41" t="str">
        <f>IFERROR(__xludf.DUMMYFUNCTION(" IF(Account!$F1132&lt;&gt;"""", SPLIT(Account!$F1132, "" ""), """")"),"")</f>
        <v/>
      </c>
      <c r="X1132" s="42"/>
      <c r="Y1132" s="42"/>
      <c r="Z1132" s="42"/>
      <c r="AA1132" s="42"/>
      <c r="AB1132" s="42"/>
      <c r="AC1132" s="42"/>
      <c r="AD1132" s="42"/>
      <c r="AE1132" s="42"/>
      <c r="AF1132" s="42"/>
      <c r="AG1132" s="42"/>
      <c r="AH1132" s="42"/>
      <c r="AI1132" s="42"/>
      <c r="AJ1132" s="42"/>
      <c r="AK1132" s="42"/>
    </row>
    <row r="1133">
      <c r="A1133" s="47"/>
      <c r="B1133" s="48"/>
      <c r="C1133" s="47"/>
      <c r="F1133" s="49"/>
      <c r="G1133" s="50"/>
      <c r="L1133" s="49"/>
      <c r="M1133" s="33" t="str">
        <f>IFERROR(__xludf.DUMMYFUNCTION("IFS(W1133=""Achat"",IFERROR(VALUE(X1133),VALUE(REGEXREPLACE(T(X1133),""[^0-9]"",""""))),W1133=""Vente"",-IFERROR(VALUE(X1133),VALUE(REGEXREPLACE(T(X1133),""[^0-9]"",""""))),Y1133=""Change"",0,Y1133&lt;&gt;""Change"","""")"),"")</f>
        <v/>
      </c>
      <c r="N1133" s="34" t="str">
        <f>IFERROR(__xludf.DUMMYFUNCTION("IF(Account!$F1133&lt;&gt;"""", VALUE(REGEXREPLACE($I1133, ""\,"", ""."")), """")"),"")</f>
        <v/>
      </c>
      <c r="O1133" s="35" t="str">
        <f>IF(Account!$F1133&lt;&gt;"", DATEVALUE(MID($A1133,4,3) &amp; LEFT($A1133,3) &amp; RIGHT($A1133,4)) + TIMEVALUE($B1133), "")</f>
        <v/>
      </c>
      <c r="P1133" s="36" t="str">
        <f>IF(Account!$F1133&lt;&gt;"", DATEVALUE(MID($C1133,4,3) &amp; LEFT($C1133,3) &amp; RIGHT($C1133,4)), "")</f>
        <v/>
      </c>
      <c r="Q1133" s="37" t="str">
        <f t="array" ref="Q1133">IF($R1133&lt;&gt;"",IFERROR(INDEX(ISIN!$B:$B,MATCH($R1133,ISIN!$C:$C,0))),)</f>
        <v/>
      </c>
      <c r="R1133" s="38" t="str">
        <f t="array" ref="R1133">IF($E1133&lt;&gt;"",IFERROR(INDEX(ISIN!$C:$C,MATCH($E1133,ISIN!$A:$A,0)),IFERROR(INDEX($R1134:$R1200,MATCH($K1133,$K1134:$K1200,0)))),IF(AND($Y1133="change",$H1133="EUR"),IF($O1133=$O1134,$R1134,IF($O1133=$O1132,$R1132)),IFERROR(INDEX($R1134:$R1200,MATCH(SUBSTITUTE($I1133,"-","",1),$K1134:$K1200,0)))))</f>
        <v/>
      </c>
      <c r="S1133" s="37" t="str">
        <f t="shared" si="1"/>
        <v/>
      </c>
      <c r="T1133" s="39" t="str">
        <f t="shared" si="2"/>
        <v/>
      </c>
      <c r="U1133" s="40" t="str">
        <f t="shared" si="3"/>
        <v/>
      </c>
      <c r="V1133" s="34" t="str">
        <f t="shared" si="4"/>
        <v/>
      </c>
      <c r="W1133" s="41" t="str">
        <f>IFERROR(__xludf.DUMMYFUNCTION(" IF(Account!$F1133&lt;&gt;"""", SPLIT(Account!$F1133, "" ""), """")"),"")</f>
        <v/>
      </c>
      <c r="X1133" s="42"/>
      <c r="Y1133" s="42"/>
      <c r="Z1133" s="42"/>
      <c r="AA1133" s="42"/>
      <c r="AB1133" s="42"/>
      <c r="AC1133" s="42"/>
      <c r="AD1133" s="42"/>
      <c r="AE1133" s="42"/>
      <c r="AF1133" s="42"/>
      <c r="AG1133" s="42"/>
      <c r="AH1133" s="42"/>
      <c r="AI1133" s="42"/>
      <c r="AJ1133" s="42"/>
      <c r="AK1133" s="42"/>
    </row>
    <row r="1134">
      <c r="A1134" s="47"/>
      <c r="B1134" s="48"/>
      <c r="C1134" s="47"/>
      <c r="F1134" s="49"/>
      <c r="G1134" s="45"/>
      <c r="L1134" s="49"/>
      <c r="M1134" s="33" t="str">
        <f>IFERROR(__xludf.DUMMYFUNCTION("IFS(W1134=""Achat"",IFERROR(VALUE(X1134),VALUE(REGEXREPLACE(T(X1134),""[^0-9]"",""""))),W1134=""Vente"",-IFERROR(VALUE(X1134),VALUE(REGEXREPLACE(T(X1134),""[^0-9]"",""""))),Y1134=""Change"",0,Y1134&lt;&gt;""Change"","""")"),"")</f>
        <v/>
      </c>
      <c r="N1134" s="34" t="str">
        <f>IFERROR(__xludf.DUMMYFUNCTION("IF(Account!$F1134&lt;&gt;"""", VALUE(REGEXREPLACE($I1134, ""\,"", ""."")), """")"),"")</f>
        <v/>
      </c>
      <c r="O1134" s="35" t="str">
        <f>IF(Account!$F1134&lt;&gt;"", DATEVALUE(MID($A1134,4,3) &amp; LEFT($A1134,3) &amp; RIGHT($A1134,4)) + TIMEVALUE($B1134), "")</f>
        <v/>
      </c>
      <c r="P1134" s="36" t="str">
        <f>IF(Account!$F1134&lt;&gt;"", DATEVALUE(MID($C1134,4,3) &amp; LEFT($C1134,3) &amp; RIGHT($C1134,4)), "")</f>
        <v/>
      </c>
      <c r="Q1134" s="37" t="str">
        <f t="array" ref="Q1134">IF($R1134&lt;&gt;"",IFERROR(INDEX(ISIN!$B:$B,MATCH($R1134,ISIN!$C:$C,0))),)</f>
        <v/>
      </c>
      <c r="R1134" s="38" t="str">
        <f t="array" ref="R1134">IF($E1134&lt;&gt;"",IFERROR(INDEX(ISIN!$C:$C,MATCH($E1134,ISIN!$A:$A,0)),IFERROR(INDEX($R1135:$R1200,MATCH($K1134,$K1135:$K1200,0)))),IF(AND($Y1134="change",$H1134="EUR"),IF($O1134=$O1135,$R1135,IF($O1134=$O1133,$R1133)),IFERROR(INDEX($R1135:$R1200,MATCH(SUBSTITUTE($I1134,"-","",1),$K1135:$K1200,0)))))</f>
        <v/>
      </c>
      <c r="S1134" s="37" t="str">
        <f t="shared" si="1"/>
        <v/>
      </c>
      <c r="T1134" s="39" t="str">
        <f t="shared" si="2"/>
        <v/>
      </c>
      <c r="U1134" s="40" t="str">
        <f t="shared" si="3"/>
        <v/>
      </c>
      <c r="V1134" s="34" t="str">
        <f t="shared" si="4"/>
        <v/>
      </c>
      <c r="W1134" s="41" t="str">
        <f>IFERROR(__xludf.DUMMYFUNCTION(" IF(Account!$F1134&lt;&gt;"""", SPLIT(Account!$F1134, "" ""), """")"),"")</f>
        <v/>
      </c>
      <c r="X1134" s="42"/>
      <c r="Y1134" s="42"/>
      <c r="Z1134" s="42"/>
      <c r="AA1134" s="42"/>
      <c r="AB1134" s="42"/>
      <c r="AC1134" s="42"/>
      <c r="AD1134" s="42"/>
      <c r="AE1134" s="42"/>
      <c r="AF1134" s="42"/>
      <c r="AG1134" s="42"/>
      <c r="AH1134" s="42"/>
      <c r="AI1134" s="42"/>
      <c r="AJ1134" s="42"/>
      <c r="AK1134" s="42"/>
    </row>
    <row r="1135">
      <c r="A1135" s="47"/>
      <c r="B1135" s="48"/>
      <c r="C1135" s="47"/>
      <c r="F1135" s="49"/>
      <c r="G1135" s="50"/>
      <c r="L1135" s="49"/>
      <c r="M1135" s="33" t="str">
        <f>IFERROR(__xludf.DUMMYFUNCTION("IFS(W1135=""Achat"",IFERROR(VALUE(X1135),VALUE(REGEXREPLACE(T(X1135),""[^0-9]"",""""))),W1135=""Vente"",-IFERROR(VALUE(X1135),VALUE(REGEXREPLACE(T(X1135),""[^0-9]"",""""))),Y1135=""Change"",0,Y1135&lt;&gt;""Change"","""")"),"")</f>
        <v/>
      </c>
      <c r="N1135" s="34" t="str">
        <f>IFERROR(__xludf.DUMMYFUNCTION("IF(Account!$F1135&lt;&gt;"""", VALUE(REGEXREPLACE($I1135, ""\,"", ""."")), """")"),"")</f>
        <v/>
      </c>
      <c r="O1135" s="35" t="str">
        <f>IF(Account!$F1135&lt;&gt;"", DATEVALUE(MID($A1135,4,3) &amp; LEFT($A1135,3) &amp; RIGHT($A1135,4)) + TIMEVALUE($B1135), "")</f>
        <v/>
      </c>
      <c r="P1135" s="36" t="str">
        <f>IF(Account!$F1135&lt;&gt;"", DATEVALUE(MID($C1135,4,3) &amp; LEFT($C1135,3) &amp; RIGHT($C1135,4)), "")</f>
        <v/>
      </c>
      <c r="Q1135" s="37" t="str">
        <f t="array" ref="Q1135">IF($R1135&lt;&gt;"",IFERROR(INDEX(ISIN!$B:$B,MATCH($R1135,ISIN!$C:$C,0))),)</f>
        <v/>
      </c>
      <c r="R1135" s="38" t="str">
        <f t="array" ref="R1135">IF($E1135&lt;&gt;"",IFERROR(INDEX(ISIN!$C:$C,MATCH($E1135,ISIN!$A:$A,0)),IFERROR(INDEX($R1136:$R1200,MATCH($K1135,$K1136:$K1200,0)))),IF(AND($Y1135="change",$H1135="EUR"),IF($O1135=$O1136,$R1136,IF($O1135=$O1134,$R1134)),IFERROR(INDEX($R1136:$R1200,MATCH(SUBSTITUTE($I1135,"-","",1),$K1136:$K1200,0)))))</f>
        <v/>
      </c>
      <c r="S1135" s="37" t="str">
        <f t="shared" si="1"/>
        <v/>
      </c>
      <c r="T1135" s="39" t="str">
        <f t="shared" si="2"/>
        <v/>
      </c>
      <c r="U1135" s="40" t="str">
        <f t="shared" si="3"/>
        <v/>
      </c>
      <c r="V1135" s="34" t="str">
        <f t="shared" si="4"/>
        <v/>
      </c>
      <c r="W1135" s="41" t="str">
        <f>IFERROR(__xludf.DUMMYFUNCTION(" IF(Account!$F1135&lt;&gt;"""", SPLIT(Account!$F1135, "" ""), """")"),"")</f>
        <v/>
      </c>
      <c r="X1135" s="42"/>
      <c r="Y1135" s="42"/>
      <c r="Z1135" s="42"/>
      <c r="AA1135" s="42"/>
      <c r="AB1135" s="42"/>
      <c r="AC1135" s="42"/>
      <c r="AD1135" s="42"/>
      <c r="AE1135" s="42"/>
      <c r="AF1135" s="42"/>
      <c r="AG1135" s="42"/>
      <c r="AH1135" s="42"/>
      <c r="AI1135" s="42"/>
      <c r="AJ1135" s="42"/>
      <c r="AK1135" s="42"/>
    </row>
    <row r="1136">
      <c r="A1136" s="47"/>
      <c r="B1136" s="48"/>
      <c r="C1136" s="47"/>
      <c r="F1136" s="49"/>
      <c r="G1136" s="45"/>
      <c r="L1136" s="49"/>
      <c r="M1136" s="33" t="str">
        <f>IFERROR(__xludf.DUMMYFUNCTION("IFS(W1136=""Achat"",IFERROR(VALUE(X1136),VALUE(REGEXREPLACE(T(X1136),""[^0-9]"",""""))),W1136=""Vente"",-IFERROR(VALUE(X1136),VALUE(REGEXREPLACE(T(X1136),""[^0-9]"",""""))),Y1136=""Change"",0,Y1136&lt;&gt;""Change"","""")"),"")</f>
        <v/>
      </c>
      <c r="N1136" s="34" t="str">
        <f>IFERROR(__xludf.DUMMYFUNCTION("IF(Account!$F1136&lt;&gt;"""", VALUE(REGEXREPLACE($I1136, ""\,"", ""."")), """")"),"")</f>
        <v/>
      </c>
      <c r="O1136" s="35" t="str">
        <f>IF(Account!$F1136&lt;&gt;"", DATEVALUE(MID($A1136,4,3) &amp; LEFT($A1136,3) &amp; RIGHT($A1136,4)) + TIMEVALUE($B1136), "")</f>
        <v/>
      </c>
      <c r="P1136" s="36" t="str">
        <f>IF(Account!$F1136&lt;&gt;"", DATEVALUE(MID($C1136,4,3) &amp; LEFT($C1136,3) &amp; RIGHT($C1136,4)), "")</f>
        <v/>
      </c>
      <c r="Q1136" s="37" t="str">
        <f t="array" ref="Q1136">IF($R1136&lt;&gt;"",IFERROR(INDEX(ISIN!$B:$B,MATCH($R1136,ISIN!$C:$C,0))),)</f>
        <v/>
      </c>
      <c r="R1136" s="38" t="str">
        <f t="array" ref="R1136">IF($E1136&lt;&gt;"",IFERROR(INDEX(ISIN!$C:$C,MATCH($E1136,ISIN!$A:$A,0)),IFERROR(INDEX($R1137:$R1200,MATCH($K1136,$K1137:$K1200,0)))),IF(AND($Y1136="change",$H1136="EUR"),IF($O1136=$O1137,$R1137,IF($O1136=$O1135,$R1135)),IFERROR(INDEX($R1137:$R1200,MATCH(SUBSTITUTE($I1136,"-","",1),$K1137:$K1200,0)))))</f>
        <v/>
      </c>
      <c r="S1136" s="37" t="str">
        <f t="shared" si="1"/>
        <v/>
      </c>
      <c r="T1136" s="39" t="str">
        <f t="shared" si="2"/>
        <v/>
      </c>
      <c r="U1136" s="40" t="str">
        <f t="shared" si="3"/>
        <v/>
      </c>
      <c r="V1136" s="34" t="str">
        <f t="shared" si="4"/>
        <v/>
      </c>
      <c r="W1136" s="41" t="str">
        <f>IFERROR(__xludf.DUMMYFUNCTION(" IF(Account!$F1136&lt;&gt;"""", SPLIT(Account!$F1136, "" ""), """")"),"")</f>
        <v/>
      </c>
      <c r="X1136" s="42"/>
      <c r="Y1136" s="42"/>
      <c r="Z1136" s="42"/>
      <c r="AA1136" s="42"/>
      <c r="AB1136" s="42"/>
      <c r="AC1136" s="42"/>
      <c r="AD1136" s="42"/>
      <c r="AE1136" s="42"/>
      <c r="AF1136" s="42"/>
      <c r="AG1136" s="42"/>
      <c r="AH1136" s="42"/>
      <c r="AI1136" s="42"/>
      <c r="AJ1136" s="42"/>
      <c r="AK1136" s="42"/>
    </row>
    <row r="1137">
      <c r="A1137" s="47"/>
      <c r="B1137" s="48"/>
      <c r="C1137" s="47"/>
      <c r="F1137" s="49"/>
      <c r="G1137" s="50"/>
      <c r="L1137" s="49"/>
      <c r="M1137" s="33" t="str">
        <f>IFERROR(__xludf.DUMMYFUNCTION("IFS(W1137=""Achat"",IFERROR(VALUE(X1137),VALUE(REGEXREPLACE(T(X1137),""[^0-9]"",""""))),W1137=""Vente"",-IFERROR(VALUE(X1137),VALUE(REGEXREPLACE(T(X1137),""[^0-9]"",""""))),Y1137=""Change"",0,Y1137&lt;&gt;""Change"","""")"),"")</f>
        <v/>
      </c>
      <c r="N1137" s="34" t="str">
        <f>IFERROR(__xludf.DUMMYFUNCTION("IF(Account!$F1137&lt;&gt;"""", VALUE(REGEXREPLACE($I1137, ""\,"", ""."")), """")"),"")</f>
        <v/>
      </c>
      <c r="O1137" s="35" t="str">
        <f>IF(Account!$F1137&lt;&gt;"", DATEVALUE(MID($A1137,4,3) &amp; LEFT($A1137,3) &amp; RIGHT($A1137,4)) + TIMEVALUE($B1137), "")</f>
        <v/>
      </c>
      <c r="P1137" s="36" t="str">
        <f>IF(Account!$F1137&lt;&gt;"", DATEVALUE(MID($C1137,4,3) &amp; LEFT($C1137,3) &amp; RIGHT($C1137,4)), "")</f>
        <v/>
      </c>
      <c r="Q1137" s="37" t="str">
        <f t="array" ref="Q1137">IF($R1137&lt;&gt;"",IFERROR(INDEX(ISIN!$B:$B,MATCH($R1137,ISIN!$C:$C,0))),)</f>
        <v/>
      </c>
      <c r="R1137" s="38" t="str">
        <f t="array" ref="R1137">IF($E1137&lt;&gt;"",IFERROR(INDEX(ISIN!$C:$C,MATCH($E1137,ISIN!$A:$A,0)),IFERROR(INDEX($R1138:$R1200,MATCH($K1137,$K1138:$K1200,0)))),IF(AND($Y1137="change",$H1137="EUR"),IF($O1137=$O1138,$R1138,IF($O1137=$O1136,$R1136)),IFERROR(INDEX($R1138:$R1200,MATCH(SUBSTITUTE($I1137,"-","",1),$K1138:$K1200,0)))))</f>
        <v/>
      </c>
      <c r="S1137" s="37" t="str">
        <f t="shared" si="1"/>
        <v/>
      </c>
      <c r="T1137" s="39" t="str">
        <f t="shared" si="2"/>
        <v/>
      </c>
      <c r="U1137" s="40" t="str">
        <f t="shared" si="3"/>
        <v/>
      </c>
      <c r="V1137" s="34" t="str">
        <f t="shared" si="4"/>
        <v/>
      </c>
      <c r="W1137" s="41" t="str">
        <f>IFERROR(__xludf.DUMMYFUNCTION(" IF(Account!$F1137&lt;&gt;"""", SPLIT(Account!$F1137, "" ""), """")"),"")</f>
        <v/>
      </c>
      <c r="X1137" s="42"/>
      <c r="Y1137" s="42"/>
      <c r="Z1137" s="42"/>
      <c r="AA1137" s="42"/>
      <c r="AB1137" s="42"/>
      <c r="AC1137" s="42"/>
      <c r="AD1137" s="42"/>
      <c r="AE1137" s="42"/>
      <c r="AF1137" s="42"/>
      <c r="AG1137" s="42"/>
      <c r="AH1137" s="42"/>
      <c r="AI1137" s="42"/>
      <c r="AJ1137" s="42"/>
      <c r="AK1137" s="42"/>
    </row>
    <row r="1138">
      <c r="A1138" s="47"/>
      <c r="B1138" s="48"/>
      <c r="C1138" s="47"/>
      <c r="F1138" s="49"/>
      <c r="G1138" s="45"/>
      <c r="L1138" s="49"/>
      <c r="M1138" s="33" t="str">
        <f>IFERROR(__xludf.DUMMYFUNCTION("IFS(W1138=""Achat"",IFERROR(VALUE(X1138),VALUE(REGEXREPLACE(T(X1138),""[^0-9]"",""""))),W1138=""Vente"",-IFERROR(VALUE(X1138),VALUE(REGEXREPLACE(T(X1138),""[^0-9]"",""""))),Y1138=""Change"",0,Y1138&lt;&gt;""Change"","""")"),"")</f>
        <v/>
      </c>
      <c r="N1138" s="34" t="str">
        <f>IFERROR(__xludf.DUMMYFUNCTION("IF(Account!$F1138&lt;&gt;"""", VALUE(REGEXREPLACE($I1138, ""\,"", ""."")), """")"),"")</f>
        <v/>
      </c>
      <c r="O1138" s="35" t="str">
        <f>IF(Account!$F1138&lt;&gt;"", DATEVALUE(MID($A1138,4,3) &amp; LEFT($A1138,3) &amp; RIGHT($A1138,4)) + TIMEVALUE($B1138), "")</f>
        <v/>
      </c>
      <c r="P1138" s="36" t="str">
        <f>IF(Account!$F1138&lt;&gt;"", DATEVALUE(MID($C1138,4,3) &amp; LEFT($C1138,3) &amp; RIGHT($C1138,4)), "")</f>
        <v/>
      </c>
      <c r="Q1138" s="37" t="str">
        <f t="array" ref="Q1138">IF($R1138&lt;&gt;"",IFERROR(INDEX(ISIN!$B:$B,MATCH($R1138,ISIN!$C:$C,0))),)</f>
        <v/>
      </c>
      <c r="R1138" s="38" t="str">
        <f t="array" ref="R1138">IF($E1138&lt;&gt;"",IFERROR(INDEX(ISIN!$C:$C,MATCH($E1138,ISIN!$A:$A,0)),IFERROR(INDEX($R1139:$R1200,MATCH($K1138,$K1139:$K1200,0)))),IF(AND($Y1138="change",$H1138="EUR"),IF($O1138=$O1139,$R1139,IF($O1138=$O1137,$R1137)),IFERROR(INDEX($R1139:$R1200,MATCH(SUBSTITUTE($I1138,"-","",1),$K1139:$K1200,0)))))</f>
        <v/>
      </c>
      <c r="S1138" s="37" t="str">
        <f t="shared" si="1"/>
        <v/>
      </c>
      <c r="T1138" s="39" t="str">
        <f t="shared" si="2"/>
        <v/>
      </c>
      <c r="U1138" s="40" t="str">
        <f t="shared" si="3"/>
        <v/>
      </c>
      <c r="V1138" s="34" t="str">
        <f t="shared" si="4"/>
        <v/>
      </c>
      <c r="W1138" s="41" t="str">
        <f>IFERROR(__xludf.DUMMYFUNCTION(" IF(Account!$F1138&lt;&gt;"""", SPLIT(Account!$F1138, "" ""), """")"),"")</f>
        <v/>
      </c>
      <c r="X1138" s="42"/>
      <c r="Y1138" s="42"/>
      <c r="Z1138" s="42"/>
      <c r="AA1138" s="42"/>
      <c r="AB1138" s="42"/>
      <c r="AC1138" s="42"/>
      <c r="AD1138" s="42"/>
      <c r="AE1138" s="42"/>
      <c r="AF1138" s="42"/>
      <c r="AG1138" s="42"/>
      <c r="AH1138" s="42"/>
      <c r="AI1138" s="42"/>
      <c r="AJ1138" s="42"/>
      <c r="AK1138" s="42"/>
    </row>
    <row r="1139">
      <c r="A1139" s="47"/>
      <c r="B1139" s="48"/>
      <c r="C1139" s="47"/>
      <c r="F1139" s="49"/>
      <c r="G1139" s="50"/>
      <c r="L1139" s="49"/>
      <c r="M1139" s="33" t="str">
        <f>IFERROR(__xludf.DUMMYFUNCTION("IFS(W1139=""Achat"",IFERROR(VALUE(X1139),VALUE(REGEXREPLACE(T(X1139),""[^0-9]"",""""))),W1139=""Vente"",-IFERROR(VALUE(X1139),VALUE(REGEXREPLACE(T(X1139),""[^0-9]"",""""))),Y1139=""Change"",0,Y1139&lt;&gt;""Change"","""")"),"")</f>
        <v/>
      </c>
      <c r="N1139" s="34" t="str">
        <f>IFERROR(__xludf.DUMMYFUNCTION("IF(Account!$F1139&lt;&gt;"""", VALUE(REGEXREPLACE($I1139, ""\,"", ""."")), """")"),"")</f>
        <v/>
      </c>
      <c r="O1139" s="35" t="str">
        <f>IF(Account!$F1139&lt;&gt;"", DATEVALUE(MID($A1139,4,3) &amp; LEFT($A1139,3) &amp; RIGHT($A1139,4)) + TIMEVALUE($B1139), "")</f>
        <v/>
      </c>
      <c r="P1139" s="36" t="str">
        <f>IF(Account!$F1139&lt;&gt;"", DATEVALUE(MID($C1139,4,3) &amp; LEFT($C1139,3) &amp; RIGHT($C1139,4)), "")</f>
        <v/>
      </c>
      <c r="Q1139" s="37" t="str">
        <f t="array" ref="Q1139">IF($R1139&lt;&gt;"",IFERROR(INDEX(ISIN!$B:$B,MATCH($R1139,ISIN!$C:$C,0))),)</f>
        <v/>
      </c>
      <c r="R1139" s="38" t="str">
        <f t="array" ref="R1139">IF($E1139&lt;&gt;"",IFERROR(INDEX(ISIN!$C:$C,MATCH($E1139,ISIN!$A:$A,0)),IFERROR(INDEX($R1140:$R1200,MATCH($K1139,$K1140:$K1200,0)))),IF(AND($Y1139="change",$H1139="EUR"),IF($O1139=$O1140,$R1140,IF($O1139=$O1138,$R1138)),IFERROR(INDEX($R1140:$R1200,MATCH(SUBSTITUTE($I1139,"-","",1),$K1140:$K1200,0)))))</f>
        <v/>
      </c>
      <c r="S1139" s="37" t="str">
        <f t="shared" si="1"/>
        <v/>
      </c>
      <c r="T1139" s="39" t="str">
        <f t="shared" si="2"/>
        <v/>
      </c>
      <c r="U1139" s="40" t="str">
        <f t="shared" si="3"/>
        <v/>
      </c>
      <c r="V1139" s="34" t="str">
        <f t="shared" si="4"/>
        <v/>
      </c>
      <c r="W1139" s="41" t="str">
        <f>IFERROR(__xludf.DUMMYFUNCTION(" IF(Account!$F1139&lt;&gt;"""", SPLIT(Account!$F1139, "" ""), """")"),"")</f>
        <v/>
      </c>
      <c r="X1139" s="42"/>
      <c r="Y1139" s="42"/>
      <c r="Z1139" s="42"/>
      <c r="AA1139" s="42"/>
      <c r="AB1139" s="42"/>
      <c r="AC1139" s="42"/>
      <c r="AD1139" s="42"/>
      <c r="AE1139" s="42"/>
      <c r="AF1139" s="42"/>
      <c r="AG1139" s="42"/>
      <c r="AH1139" s="42"/>
      <c r="AI1139" s="42"/>
      <c r="AJ1139" s="42"/>
      <c r="AK1139" s="42"/>
    </row>
    <row r="1140">
      <c r="A1140" s="47"/>
      <c r="B1140" s="48"/>
      <c r="C1140" s="47"/>
      <c r="F1140" s="49"/>
      <c r="G1140" s="45"/>
      <c r="L1140" s="49"/>
      <c r="M1140" s="33" t="str">
        <f>IFERROR(__xludf.DUMMYFUNCTION("IFS(W1140=""Achat"",IFERROR(VALUE(X1140),VALUE(REGEXREPLACE(T(X1140),""[^0-9]"",""""))),W1140=""Vente"",-IFERROR(VALUE(X1140),VALUE(REGEXREPLACE(T(X1140),""[^0-9]"",""""))),Y1140=""Change"",0,Y1140&lt;&gt;""Change"","""")"),"")</f>
        <v/>
      </c>
      <c r="N1140" s="34" t="str">
        <f>IFERROR(__xludf.DUMMYFUNCTION("IF(Account!$F1140&lt;&gt;"""", VALUE(REGEXREPLACE($I1140, ""\,"", ""."")), """")"),"")</f>
        <v/>
      </c>
      <c r="O1140" s="35" t="str">
        <f>IF(Account!$F1140&lt;&gt;"", DATEVALUE(MID($A1140,4,3) &amp; LEFT($A1140,3) &amp; RIGHT($A1140,4)) + TIMEVALUE($B1140), "")</f>
        <v/>
      </c>
      <c r="P1140" s="36" t="str">
        <f>IF(Account!$F1140&lt;&gt;"", DATEVALUE(MID($C1140,4,3) &amp; LEFT($C1140,3) &amp; RIGHT($C1140,4)), "")</f>
        <v/>
      </c>
      <c r="Q1140" s="37" t="str">
        <f t="array" ref="Q1140">IF($R1140&lt;&gt;"",IFERROR(INDEX(ISIN!$B:$B,MATCH($R1140,ISIN!$C:$C,0))),)</f>
        <v/>
      </c>
      <c r="R1140" s="38" t="str">
        <f t="array" ref="R1140">IF($E1140&lt;&gt;"",IFERROR(INDEX(ISIN!$C:$C,MATCH($E1140,ISIN!$A:$A,0)),IFERROR(INDEX($R1141:$R1200,MATCH($K1140,$K1141:$K1200,0)))),IF(AND($Y1140="change",$H1140="EUR"),IF($O1140=$O1141,$R1141,IF($O1140=$O1139,$R1139)),IFERROR(INDEX($R1141:$R1200,MATCH(SUBSTITUTE($I1140,"-","",1),$K1141:$K1200,0)))))</f>
        <v/>
      </c>
      <c r="S1140" s="37" t="str">
        <f t="shared" si="1"/>
        <v/>
      </c>
      <c r="T1140" s="39" t="str">
        <f t="shared" si="2"/>
        <v/>
      </c>
      <c r="U1140" s="40" t="str">
        <f t="shared" si="3"/>
        <v/>
      </c>
      <c r="V1140" s="34" t="str">
        <f t="shared" si="4"/>
        <v/>
      </c>
      <c r="W1140" s="41" t="str">
        <f>IFERROR(__xludf.DUMMYFUNCTION(" IF(Account!$F1140&lt;&gt;"""", SPLIT(Account!$F1140, "" ""), """")"),"")</f>
        <v/>
      </c>
      <c r="X1140" s="42"/>
      <c r="Y1140" s="42"/>
      <c r="Z1140" s="42"/>
      <c r="AA1140" s="42"/>
      <c r="AB1140" s="42"/>
      <c r="AC1140" s="42"/>
      <c r="AD1140" s="42"/>
      <c r="AE1140" s="42"/>
      <c r="AF1140" s="42"/>
      <c r="AG1140" s="42"/>
      <c r="AH1140" s="42"/>
      <c r="AI1140" s="42"/>
      <c r="AJ1140" s="42"/>
      <c r="AK1140" s="42"/>
    </row>
    <row r="1141">
      <c r="A1141" s="47"/>
      <c r="B1141" s="48"/>
      <c r="C1141" s="47"/>
      <c r="F1141" s="49"/>
      <c r="G1141" s="45"/>
      <c r="L1141" s="49"/>
      <c r="M1141" s="33" t="str">
        <f>IFERROR(__xludf.DUMMYFUNCTION("IFS(W1141=""Achat"",IFERROR(VALUE(X1141),VALUE(REGEXREPLACE(T(X1141),""[^0-9]"",""""))),W1141=""Vente"",-IFERROR(VALUE(X1141),VALUE(REGEXREPLACE(T(X1141),""[^0-9]"",""""))),Y1141=""Change"",0,Y1141&lt;&gt;""Change"","""")"),"")</f>
        <v/>
      </c>
      <c r="N1141" s="34" t="str">
        <f>IFERROR(__xludf.DUMMYFUNCTION("IF(Account!$F1141&lt;&gt;"""", VALUE(REGEXREPLACE($I1141, ""\,"", ""."")), """")"),"")</f>
        <v/>
      </c>
      <c r="O1141" s="35" t="str">
        <f>IF(Account!$F1141&lt;&gt;"", DATEVALUE(MID($A1141,4,3) &amp; LEFT($A1141,3) &amp; RIGHT($A1141,4)) + TIMEVALUE($B1141), "")</f>
        <v/>
      </c>
      <c r="P1141" s="36" t="str">
        <f>IF(Account!$F1141&lt;&gt;"", DATEVALUE(MID($C1141,4,3) &amp; LEFT($C1141,3) &amp; RIGHT($C1141,4)), "")</f>
        <v/>
      </c>
      <c r="Q1141" s="37" t="str">
        <f t="array" ref="Q1141">IF($R1141&lt;&gt;"",IFERROR(INDEX(ISIN!$B:$B,MATCH($R1141,ISIN!$C:$C,0))),)</f>
        <v/>
      </c>
      <c r="R1141" s="38" t="str">
        <f t="array" ref="R1141">IF($E1141&lt;&gt;"",IFERROR(INDEX(ISIN!$C:$C,MATCH($E1141,ISIN!$A:$A,0)),IFERROR(INDEX($R1142:$R1200,MATCH($K1141,$K1142:$K1200,0)))),IF(AND($Y1141="change",$H1141="EUR"),IF($O1141=$O1142,$R1142,IF($O1141=$O1140,$R1140)),IFERROR(INDEX($R1142:$R1200,MATCH(SUBSTITUTE($I1141,"-","",1),$K1142:$K1200,0)))))</f>
        <v/>
      </c>
      <c r="S1141" s="37" t="str">
        <f t="shared" si="1"/>
        <v/>
      </c>
      <c r="T1141" s="39" t="str">
        <f t="shared" si="2"/>
        <v/>
      </c>
      <c r="U1141" s="40" t="str">
        <f t="shared" si="3"/>
        <v/>
      </c>
      <c r="V1141" s="34" t="str">
        <f t="shared" si="4"/>
        <v/>
      </c>
      <c r="W1141" s="41" t="str">
        <f>IFERROR(__xludf.DUMMYFUNCTION(" IF(Account!$F1141&lt;&gt;"""", SPLIT(Account!$F1141, "" ""), """")"),"")</f>
        <v/>
      </c>
      <c r="X1141" s="42"/>
      <c r="Y1141" s="42"/>
      <c r="Z1141" s="42"/>
      <c r="AA1141" s="42"/>
      <c r="AB1141" s="42"/>
      <c r="AC1141" s="42"/>
      <c r="AD1141" s="42"/>
      <c r="AE1141" s="42"/>
      <c r="AF1141" s="42"/>
      <c r="AG1141" s="42"/>
      <c r="AH1141" s="42"/>
      <c r="AI1141" s="42"/>
      <c r="AJ1141" s="42"/>
      <c r="AK1141" s="42"/>
    </row>
    <row r="1142">
      <c r="A1142" s="47"/>
      <c r="B1142" s="48"/>
      <c r="C1142" s="47"/>
      <c r="F1142" s="49"/>
      <c r="G1142" s="45"/>
      <c r="L1142" s="49"/>
      <c r="M1142" s="33" t="str">
        <f>IFERROR(__xludf.DUMMYFUNCTION("IFS(W1142=""Achat"",IFERROR(VALUE(X1142),VALUE(REGEXREPLACE(T(X1142),""[^0-9]"",""""))),W1142=""Vente"",-IFERROR(VALUE(X1142),VALUE(REGEXREPLACE(T(X1142),""[^0-9]"",""""))),Y1142=""Change"",0,Y1142&lt;&gt;""Change"","""")"),"")</f>
        <v/>
      </c>
      <c r="N1142" s="34" t="str">
        <f>IFERROR(__xludf.DUMMYFUNCTION("IF(Account!$F1142&lt;&gt;"""", VALUE(REGEXREPLACE($I1142, ""\,"", ""."")), """")"),"")</f>
        <v/>
      </c>
      <c r="O1142" s="35" t="str">
        <f>IF(Account!$F1142&lt;&gt;"", DATEVALUE(MID($A1142,4,3) &amp; LEFT($A1142,3) &amp; RIGHT($A1142,4)) + TIMEVALUE($B1142), "")</f>
        <v/>
      </c>
      <c r="P1142" s="36" t="str">
        <f>IF(Account!$F1142&lt;&gt;"", DATEVALUE(MID($C1142,4,3) &amp; LEFT($C1142,3) &amp; RIGHT($C1142,4)), "")</f>
        <v/>
      </c>
      <c r="Q1142" s="37" t="str">
        <f t="array" ref="Q1142">IF($R1142&lt;&gt;"",IFERROR(INDEX(ISIN!$B:$B,MATCH($R1142,ISIN!$C:$C,0))),)</f>
        <v/>
      </c>
      <c r="R1142" s="38" t="str">
        <f t="array" ref="R1142">IF($E1142&lt;&gt;"",IFERROR(INDEX(ISIN!$C:$C,MATCH($E1142,ISIN!$A:$A,0)),IFERROR(INDEX($R1143:$R1200,MATCH($K1142,$K1143:$K1200,0)))),IF(AND($Y1142="change",$H1142="EUR"),IF($O1142=$O1143,$R1143,IF($O1142=$O1141,$R1141)),IFERROR(INDEX($R1143:$R1200,MATCH(SUBSTITUTE($I1142,"-","",1),$K1143:$K1200,0)))))</f>
        <v/>
      </c>
      <c r="S1142" s="37" t="str">
        <f t="shared" si="1"/>
        <v/>
      </c>
      <c r="T1142" s="39" t="str">
        <f t="shared" si="2"/>
        <v/>
      </c>
      <c r="U1142" s="40" t="str">
        <f t="shared" si="3"/>
        <v/>
      </c>
      <c r="V1142" s="34" t="str">
        <f t="shared" si="4"/>
        <v/>
      </c>
      <c r="W1142" s="41" t="str">
        <f>IFERROR(__xludf.DUMMYFUNCTION(" IF(Account!$F1142&lt;&gt;"""", SPLIT(Account!$F1142, "" ""), """")"),"")</f>
        <v/>
      </c>
      <c r="X1142" s="42"/>
      <c r="Y1142" s="42"/>
      <c r="Z1142" s="42"/>
      <c r="AA1142" s="42"/>
      <c r="AB1142" s="42"/>
      <c r="AC1142" s="42"/>
      <c r="AD1142" s="42"/>
      <c r="AE1142" s="42"/>
      <c r="AF1142" s="42"/>
      <c r="AG1142" s="42"/>
      <c r="AH1142" s="42"/>
      <c r="AI1142" s="42"/>
      <c r="AJ1142" s="42"/>
      <c r="AK1142" s="42"/>
    </row>
    <row r="1143">
      <c r="A1143" s="47"/>
      <c r="B1143" s="48"/>
      <c r="C1143" s="47"/>
      <c r="F1143" s="49"/>
      <c r="G1143" s="45"/>
      <c r="L1143" s="49"/>
      <c r="M1143" s="33" t="str">
        <f>IFERROR(__xludf.DUMMYFUNCTION("IFS(W1143=""Achat"",IFERROR(VALUE(X1143),VALUE(REGEXREPLACE(T(X1143),""[^0-9]"",""""))),W1143=""Vente"",-IFERROR(VALUE(X1143),VALUE(REGEXREPLACE(T(X1143),""[^0-9]"",""""))),Y1143=""Change"",0,Y1143&lt;&gt;""Change"","""")"),"")</f>
        <v/>
      </c>
      <c r="N1143" s="34" t="str">
        <f>IFERROR(__xludf.DUMMYFUNCTION("IF(Account!$F1143&lt;&gt;"""", VALUE(REGEXREPLACE($I1143, ""\,"", ""."")), """")"),"")</f>
        <v/>
      </c>
      <c r="O1143" s="35" t="str">
        <f>IF(Account!$F1143&lt;&gt;"", DATEVALUE(MID($A1143,4,3) &amp; LEFT($A1143,3) &amp; RIGHT($A1143,4)) + TIMEVALUE($B1143), "")</f>
        <v/>
      </c>
      <c r="P1143" s="36" t="str">
        <f>IF(Account!$F1143&lt;&gt;"", DATEVALUE(MID($C1143,4,3) &amp; LEFT($C1143,3) &amp; RIGHT($C1143,4)), "")</f>
        <v/>
      </c>
      <c r="Q1143" s="37" t="str">
        <f t="array" ref="Q1143">IF($R1143&lt;&gt;"",IFERROR(INDEX(ISIN!$B:$B,MATCH($R1143,ISIN!$C:$C,0))),)</f>
        <v/>
      </c>
      <c r="R1143" s="38" t="str">
        <f t="array" ref="R1143">IF($E1143&lt;&gt;"",IFERROR(INDEX(ISIN!$C:$C,MATCH($E1143,ISIN!$A:$A,0)),IFERROR(INDEX($R1144:$R1200,MATCH($K1143,$K1144:$K1200,0)))),IF(AND($Y1143="change",$H1143="EUR"),IF($O1143=$O1144,$R1144,IF($O1143=$O1142,$R1142)),IFERROR(INDEX($R1144:$R1200,MATCH(SUBSTITUTE($I1143,"-","",1),$K1144:$K1200,0)))))</f>
        <v/>
      </c>
      <c r="S1143" s="37" t="str">
        <f t="shared" si="1"/>
        <v/>
      </c>
      <c r="T1143" s="39" t="str">
        <f t="shared" si="2"/>
        <v/>
      </c>
      <c r="U1143" s="40" t="str">
        <f t="shared" si="3"/>
        <v/>
      </c>
      <c r="V1143" s="34" t="str">
        <f t="shared" si="4"/>
        <v/>
      </c>
      <c r="W1143" s="41" t="str">
        <f>IFERROR(__xludf.DUMMYFUNCTION(" IF(Account!$F1143&lt;&gt;"""", SPLIT(Account!$F1143, "" ""), """")"),"")</f>
        <v/>
      </c>
      <c r="X1143" s="42"/>
      <c r="Y1143" s="42"/>
      <c r="Z1143" s="42"/>
      <c r="AA1143" s="42"/>
      <c r="AB1143" s="42"/>
      <c r="AC1143" s="42"/>
      <c r="AD1143" s="42"/>
      <c r="AE1143" s="42"/>
      <c r="AF1143" s="42"/>
      <c r="AG1143" s="42"/>
      <c r="AH1143" s="42"/>
      <c r="AI1143" s="42"/>
      <c r="AJ1143" s="42"/>
      <c r="AK1143" s="42"/>
    </row>
    <row r="1144">
      <c r="A1144" s="47"/>
      <c r="B1144" s="48"/>
      <c r="C1144" s="47"/>
      <c r="F1144" s="49"/>
      <c r="G1144" s="45"/>
      <c r="L1144" s="49"/>
      <c r="M1144" s="33" t="str">
        <f>IFERROR(__xludf.DUMMYFUNCTION("IFS(W1144=""Achat"",IFERROR(VALUE(X1144),VALUE(REGEXREPLACE(T(X1144),""[^0-9]"",""""))),W1144=""Vente"",-IFERROR(VALUE(X1144),VALUE(REGEXREPLACE(T(X1144),""[^0-9]"",""""))),Y1144=""Change"",0,Y1144&lt;&gt;""Change"","""")"),"")</f>
        <v/>
      </c>
      <c r="N1144" s="34" t="str">
        <f>IFERROR(__xludf.DUMMYFUNCTION("IF(Account!$F1144&lt;&gt;"""", VALUE(REGEXREPLACE($I1144, ""\,"", ""."")), """")"),"")</f>
        <v/>
      </c>
      <c r="O1144" s="35" t="str">
        <f>IF(Account!$F1144&lt;&gt;"", DATEVALUE(MID($A1144,4,3) &amp; LEFT($A1144,3) &amp; RIGHT($A1144,4)) + TIMEVALUE($B1144), "")</f>
        <v/>
      </c>
      <c r="P1144" s="36" t="str">
        <f>IF(Account!$F1144&lt;&gt;"", DATEVALUE(MID($C1144,4,3) &amp; LEFT($C1144,3) &amp; RIGHT($C1144,4)), "")</f>
        <v/>
      </c>
      <c r="Q1144" s="37" t="str">
        <f t="array" ref="Q1144">IF($R1144&lt;&gt;"",IFERROR(INDEX(ISIN!$B:$B,MATCH($R1144,ISIN!$C:$C,0))),)</f>
        <v/>
      </c>
      <c r="R1144" s="38" t="str">
        <f t="array" ref="R1144">IF($E1144&lt;&gt;"",IFERROR(INDEX(ISIN!$C:$C,MATCH($E1144,ISIN!$A:$A,0)),IFERROR(INDEX($R1145:$R1200,MATCH($K1144,$K1145:$K1200,0)))),IF(AND($Y1144="change",$H1144="EUR"),IF($O1144=$O1145,$R1145,IF($O1144=$O1143,$R1143)),IFERROR(INDEX($R1145:$R1200,MATCH(SUBSTITUTE($I1144,"-","",1),$K1145:$K1200,0)))))</f>
        <v/>
      </c>
      <c r="S1144" s="37" t="str">
        <f t="shared" si="1"/>
        <v/>
      </c>
      <c r="T1144" s="39" t="str">
        <f t="shared" si="2"/>
        <v/>
      </c>
      <c r="U1144" s="40" t="str">
        <f t="shared" si="3"/>
        <v/>
      </c>
      <c r="V1144" s="34" t="str">
        <f t="shared" si="4"/>
        <v/>
      </c>
      <c r="W1144" s="41" t="str">
        <f>IFERROR(__xludf.DUMMYFUNCTION(" IF(Account!$F1144&lt;&gt;"""", SPLIT(Account!$F1144, "" ""), """")"),"")</f>
        <v/>
      </c>
      <c r="X1144" s="42"/>
      <c r="Y1144" s="42"/>
      <c r="Z1144" s="42"/>
      <c r="AA1144" s="42"/>
      <c r="AB1144" s="42"/>
      <c r="AC1144" s="42"/>
      <c r="AD1144" s="42"/>
      <c r="AE1144" s="42"/>
      <c r="AF1144" s="42"/>
      <c r="AG1144" s="42"/>
      <c r="AH1144" s="42"/>
      <c r="AI1144" s="42"/>
      <c r="AJ1144" s="42"/>
      <c r="AK1144" s="42"/>
    </row>
    <row r="1145">
      <c r="A1145" s="47"/>
      <c r="B1145" s="48"/>
      <c r="C1145" s="47"/>
      <c r="F1145" s="49"/>
      <c r="G1145" s="50"/>
      <c r="L1145" s="49"/>
      <c r="M1145" s="33" t="str">
        <f>IFERROR(__xludf.DUMMYFUNCTION("IFS(W1145=""Achat"",IFERROR(VALUE(X1145),VALUE(REGEXREPLACE(T(X1145),""[^0-9]"",""""))),W1145=""Vente"",-IFERROR(VALUE(X1145),VALUE(REGEXREPLACE(T(X1145),""[^0-9]"",""""))),Y1145=""Change"",0,Y1145&lt;&gt;""Change"","""")"),"")</f>
        <v/>
      </c>
      <c r="N1145" s="34" t="str">
        <f>IFERROR(__xludf.DUMMYFUNCTION("IF(Account!$F1145&lt;&gt;"""", VALUE(REGEXREPLACE($I1145, ""\,"", ""."")), """")"),"")</f>
        <v/>
      </c>
      <c r="O1145" s="35" t="str">
        <f>IF(Account!$F1145&lt;&gt;"", DATEVALUE(MID($A1145,4,3) &amp; LEFT($A1145,3) &amp; RIGHT($A1145,4)) + TIMEVALUE($B1145), "")</f>
        <v/>
      </c>
      <c r="P1145" s="36" t="str">
        <f>IF(Account!$F1145&lt;&gt;"", DATEVALUE(MID($C1145,4,3) &amp; LEFT($C1145,3) &amp; RIGHT($C1145,4)), "")</f>
        <v/>
      </c>
      <c r="Q1145" s="37" t="str">
        <f t="array" ref="Q1145">IF($R1145&lt;&gt;"",IFERROR(INDEX(ISIN!$B:$B,MATCH($R1145,ISIN!$C:$C,0))),)</f>
        <v/>
      </c>
      <c r="R1145" s="38" t="str">
        <f t="array" ref="R1145">IF($E1145&lt;&gt;"",IFERROR(INDEX(ISIN!$C:$C,MATCH($E1145,ISIN!$A:$A,0)),IFERROR(INDEX($R1146:$R1200,MATCH($K1145,$K1146:$K1200,0)))),IF(AND($Y1145="change",$H1145="EUR"),IF($O1145=$O1146,$R1146,IF($O1145=$O1144,$R1144)),IFERROR(INDEX($R1146:$R1200,MATCH(SUBSTITUTE($I1145,"-","",1),$K1146:$K1200,0)))))</f>
        <v/>
      </c>
      <c r="S1145" s="37" t="str">
        <f t="shared" si="1"/>
        <v/>
      </c>
      <c r="T1145" s="39" t="str">
        <f t="shared" si="2"/>
        <v/>
      </c>
      <c r="U1145" s="40" t="str">
        <f t="shared" si="3"/>
        <v/>
      </c>
      <c r="V1145" s="34" t="str">
        <f t="shared" si="4"/>
        <v/>
      </c>
      <c r="W1145" s="41" t="str">
        <f>IFERROR(__xludf.DUMMYFUNCTION(" IF(Account!$F1145&lt;&gt;"""", SPLIT(Account!$F1145, "" ""), """")"),"")</f>
        <v/>
      </c>
      <c r="X1145" s="42"/>
      <c r="Y1145" s="42"/>
      <c r="Z1145" s="42"/>
      <c r="AA1145" s="42"/>
      <c r="AB1145" s="42"/>
      <c r="AC1145" s="42"/>
      <c r="AD1145" s="42"/>
      <c r="AE1145" s="42"/>
      <c r="AF1145" s="42"/>
      <c r="AG1145" s="42"/>
      <c r="AH1145" s="42"/>
      <c r="AI1145" s="42"/>
      <c r="AJ1145" s="42"/>
      <c r="AK1145" s="42"/>
    </row>
    <row r="1146">
      <c r="A1146" s="47"/>
      <c r="B1146" s="48"/>
      <c r="C1146" s="47"/>
      <c r="F1146" s="49"/>
      <c r="G1146" s="45"/>
      <c r="L1146" s="49"/>
      <c r="M1146" s="33" t="str">
        <f>IFERROR(__xludf.DUMMYFUNCTION("IFS(W1146=""Achat"",IFERROR(VALUE(X1146),VALUE(REGEXREPLACE(T(X1146),""[^0-9]"",""""))),W1146=""Vente"",-IFERROR(VALUE(X1146),VALUE(REGEXREPLACE(T(X1146),""[^0-9]"",""""))),Y1146=""Change"",0,Y1146&lt;&gt;""Change"","""")"),"")</f>
        <v/>
      </c>
      <c r="N1146" s="34" t="str">
        <f>IFERROR(__xludf.DUMMYFUNCTION("IF(Account!$F1146&lt;&gt;"""", VALUE(REGEXREPLACE($I1146, ""\,"", ""."")), """")"),"")</f>
        <v/>
      </c>
      <c r="O1146" s="35" t="str">
        <f>IF(Account!$F1146&lt;&gt;"", DATEVALUE(MID($A1146,4,3) &amp; LEFT($A1146,3) &amp; RIGHT($A1146,4)) + TIMEVALUE($B1146), "")</f>
        <v/>
      </c>
      <c r="P1146" s="36" t="str">
        <f>IF(Account!$F1146&lt;&gt;"", DATEVALUE(MID($C1146,4,3) &amp; LEFT($C1146,3) &amp; RIGHT($C1146,4)), "")</f>
        <v/>
      </c>
      <c r="Q1146" s="37" t="str">
        <f t="array" ref="Q1146">IF($R1146&lt;&gt;"",IFERROR(INDEX(ISIN!$B:$B,MATCH($R1146,ISIN!$C:$C,0))),)</f>
        <v/>
      </c>
      <c r="R1146" s="38" t="str">
        <f t="array" ref="R1146">IF($E1146&lt;&gt;"",IFERROR(INDEX(ISIN!$C:$C,MATCH($E1146,ISIN!$A:$A,0)),IFERROR(INDEX($R1147:$R1200,MATCH($K1146,$K1147:$K1200,0)))),IF(AND($Y1146="change",$H1146="EUR"),IF($O1146=$O1147,$R1147,IF($O1146=$O1145,$R1145)),IFERROR(INDEX($R1147:$R1200,MATCH(SUBSTITUTE($I1146,"-","",1),$K1147:$K1200,0)))))</f>
        <v/>
      </c>
      <c r="S1146" s="37" t="str">
        <f t="shared" si="1"/>
        <v/>
      </c>
      <c r="T1146" s="39" t="str">
        <f t="shared" si="2"/>
        <v/>
      </c>
      <c r="U1146" s="40" t="str">
        <f t="shared" si="3"/>
        <v/>
      </c>
      <c r="V1146" s="34" t="str">
        <f t="shared" si="4"/>
        <v/>
      </c>
      <c r="W1146" s="41" t="str">
        <f>IFERROR(__xludf.DUMMYFUNCTION(" IF(Account!$F1146&lt;&gt;"""", SPLIT(Account!$F1146, "" ""), """")"),"")</f>
        <v/>
      </c>
      <c r="X1146" s="42"/>
      <c r="Y1146" s="42"/>
      <c r="Z1146" s="42"/>
      <c r="AA1146" s="42"/>
      <c r="AB1146" s="42"/>
      <c r="AC1146" s="42"/>
      <c r="AD1146" s="42"/>
      <c r="AE1146" s="42"/>
      <c r="AF1146" s="42"/>
      <c r="AG1146" s="42"/>
      <c r="AH1146" s="42"/>
      <c r="AI1146" s="42"/>
      <c r="AJ1146" s="42"/>
      <c r="AK1146" s="42"/>
    </row>
    <row r="1147">
      <c r="A1147" s="47"/>
      <c r="B1147" s="48"/>
      <c r="C1147" s="47"/>
      <c r="F1147" s="49"/>
      <c r="G1147" s="45"/>
      <c r="L1147" s="49"/>
      <c r="M1147" s="33" t="str">
        <f>IFERROR(__xludf.DUMMYFUNCTION("IFS(W1147=""Achat"",IFERROR(VALUE(X1147),VALUE(REGEXREPLACE(T(X1147),""[^0-9]"",""""))),W1147=""Vente"",-IFERROR(VALUE(X1147),VALUE(REGEXREPLACE(T(X1147),""[^0-9]"",""""))),Y1147=""Change"",0,Y1147&lt;&gt;""Change"","""")"),"")</f>
        <v/>
      </c>
      <c r="N1147" s="34" t="str">
        <f>IFERROR(__xludf.DUMMYFUNCTION("IF(Account!$F1147&lt;&gt;"""", VALUE(REGEXREPLACE($I1147, ""\,"", ""."")), """")"),"")</f>
        <v/>
      </c>
      <c r="O1147" s="35" t="str">
        <f>IF(Account!$F1147&lt;&gt;"", DATEVALUE(MID($A1147,4,3) &amp; LEFT($A1147,3) &amp; RIGHT($A1147,4)) + TIMEVALUE($B1147), "")</f>
        <v/>
      </c>
      <c r="P1147" s="36" t="str">
        <f>IF(Account!$F1147&lt;&gt;"", DATEVALUE(MID($C1147,4,3) &amp; LEFT($C1147,3) &amp; RIGHT($C1147,4)), "")</f>
        <v/>
      </c>
      <c r="Q1147" s="37" t="str">
        <f t="array" ref="Q1147">IF($R1147&lt;&gt;"",IFERROR(INDEX(ISIN!$B:$B,MATCH($R1147,ISIN!$C:$C,0))),)</f>
        <v/>
      </c>
      <c r="R1147" s="38" t="str">
        <f t="array" ref="R1147">IF($E1147&lt;&gt;"",IFERROR(INDEX(ISIN!$C:$C,MATCH($E1147,ISIN!$A:$A,0)),IFERROR(INDEX($R1148:$R1200,MATCH($K1147,$K1148:$K1200,0)))),IF(AND($Y1147="change",$H1147="EUR"),IF($O1147=$O1148,$R1148,IF($O1147=$O1146,$R1146)),IFERROR(INDEX($R1148:$R1200,MATCH(SUBSTITUTE($I1147,"-","",1),$K1148:$K1200,0)))))</f>
        <v/>
      </c>
      <c r="S1147" s="37" t="str">
        <f t="shared" si="1"/>
        <v/>
      </c>
      <c r="T1147" s="39" t="str">
        <f t="shared" si="2"/>
        <v/>
      </c>
      <c r="U1147" s="40" t="str">
        <f t="shared" si="3"/>
        <v/>
      </c>
      <c r="V1147" s="34" t="str">
        <f t="shared" si="4"/>
        <v/>
      </c>
      <c r="W1147" s="41" t="str">
        <f>IFERROR(__xludf.DUMMYFUNCTION(" IF(Account!$F1147&lt;&gt;"""", SPLIT(Account!$F1147, "" ""), """")"),"")</f>
        <v/>
      </c>
      <c r="X1147" s="42"/>
      <c r="Y1147" s="42"/>
      <c r="Z1147" s="42"/>
      <c r="AA1147" s="42"/>
      <c r="AB1147" s="42"/>
      <c r="AC1147" s="42"/>
      <c r="AD1147" s="42"/>
      <c r="AE1147" s="42"/>
      <c r="AF1147" s="42"/>
      <c r="AG1147" s="42"/>
      <c r="AH1147" s="42"/>
      <c r="AI1147" s="42"/>
      <c r="AJ1147" s="42"/>
      <c r="AK1147" s="42"/>
    </row>
    <row r="1148">
      <c r="A1148" s="47"/>
      <c r="B1148" s="48"/>
      <c r="C1148" s="47"/>
      <c r="F1148" s="49"/>
      <c r="G1148" s="50"/>
      <c r="L1148" s="49"/>
      <c r="M1148" s="33" t="str">
        <f>IFERROR(__xludf.DUMMYFUNCTION("IFS(W1148=""Achat"",IFERROR(VALUE(X1148),VALUE(REGEXREPLACE(T(X1148),""[^0-9]"",""""))),W1148=""Vente"",-IFERROR(VALUE(X1148),VALUE(REGEXREPLACE(T(X1148),""[^0-9]"",""""))),Y1148=""Change"",0,Y1148&lt;&gt;""Change"","""")"),"")</f>
        <v/>
      </c>
      <c r="N1148" s="34" t="str">
        <f>IFERROR(__xludf.DUMMYFUNCTION("IF(Account!$F1148&lt;&gt;"""", VALUE(REGEXREPLACE($I1148, ""\,"", ""."")), """")"),"")</f>
        <v/>
      </c>
      <c r="O1148" s="35" t="str">
        <f>IF(Account!$F1148&lt;&gt;"", DATEVALUE(MID($A1148,4,3) &amp; LEFT($A1148,3) &amp; RIGHT($A1148,4)) + TIMEVALUE($B1148), "")</f>
        <v/>
      </c>
      <c r="P1148" s="36" t="str">
        <f>IF(Account!$F1148&lt;&gt;"", DATEVALUE(MID($C1148,4,3) &amp; LEFT($C1148,3) &amp; RIGHT($C1148,4)), "")</f>
        <v/>
      </c>
      <c r="Q1148" s="37" t="str">
        <f t="array" ref="Q1148">IF($R1148&lt;&gt;"",IFERROR(INDEX(ISIN!$B:$B,MATCH($R1148,ISIN!$C:$C,0))),)</f>
        <v/>
      </c>
      <c r="R1148" s="38" t="str">
        <f t="array" ref="R1148">IF($E1148&lt;&gt;"",IFERROR(INDEX(ISIN!$C:$C,MATCH($E1148,ISIN!$A:$A,0)),IFERROR(INDEX($R1149:$R1200,MATCH($K1148,$K1149:$K1200,0)))),IF(AND($Y1148="change",$H1148="EUR"),IF($O1148=$O1149,$R1149,IF($O1148=$O1147,$R1147)),IFERROR(INDEX($R1149:$R1200,MATCH(SUBSTITUTE($I1148,"-","",1),$K1149:$K1200,0)))))</f>
        <v/>
      </c>
      <c r="S1148" s="37" t="str">
        <f t="shared" si="1"/>
        <v/>
      </c>
      <c r="T1148" s="39" t="str">
        <f t="shared" si="2"/>
        <v/>
      </c>
      <c r="U1148" s="40" t="str">
        <f t="shared" si="3"/>
        <v/>
      </c>
      <c r="V1148" s="34" t="str">
        <f t="shared" si="4"/>
        <v/>
      </c>
      <c r="W1148" s="41" t="str">
        <f>IFERROR(__xludf.DUMMYFUNCTION(" IF(Account!$F1148&lt;&gt;"""", SPLIT(Account!$F1148, "" ""), """")"),"")</f>
        <v/>
      </c>
      <c r="X1148" s="42"/>
      <c r="Y1148" s="42"/>
      <c r="Z1148" s="42"/>
      <c r="AA1148" s="42"/>
      <c r="AB1148" s="42"/>
      <c r="AC1148" s="42"/>
      <c r="AD1148" s="42"/>
      <c r="AE1148" s="42"/>
      <c r="AF1148" s="42"/>
      <c r="AG1148" s="42"/>
      <c r="AH1148" s="42"/>
      <c r="AI1148" s="42"/>
      <c r="AJ1148" s="42"/>
      <c r="AK1148" s="42"/>
    </row>
    <row r="1149">
      <c r="A1149" s="47"/>
      <c r="B1149" s="48"/>
      <c r="C1149" s="47"/>
      <c r="F1149" s="49"/>
      <c r="G1149" s="45"/>
      <c r="L1149" s="49"/>
      <c r="M1149" s="33" t="str">
        <f>IFERROR(__xludf.DUMMYFUNCTION("IFS(W1149=""Achat"",IFERROR(VALUE(X1149),VALUE(REGEXREPLACE(T(X1149),""[^0-9]"",""""))),W1149=""Vente"",-IFERROR(VALUE(X1149),VALUE(REGEXREPLACE(T(X1149),""[^0-9]"",""""))),Y1149=""Change"",0,Y1149&lt;&gt;""Change"","""")"),"")</f>
        <v/>
      </c>
      <c r="N1149" s="34" t="str">
        <f>IFERROR(__xludf.DUMMYFUNCTION("IF(Account!$F1149&lt;&gt;"""", VALUE(REGEXREPLACE($I1149, ""\,"", ""."")), """")"),"")</f>
        <v/>
      </c>
      <c r="O1149" s="35" t="str">
        <f>IF(Account!$F1149&lt;&gt;"", DATEVALUE(MID($A1149,4,3) &amp; LEFT($A1149,3) &amp; RIGHT($A1149,4)) + TIMEVALUE($B1149), "")</f>
        <v/>
      </c>
      <c r="P1149" s="36" t="str">
        <f>IF(Account!$F1149&lt;&gt;"", DATEVALUE(MID($C1149,4,3) &amp; LEFT($C1149,3) &amp; RIGHT($C1149,4)), "")</f>
        <v/>
      </c>
      <c r="Q1149" s="37" t="str">
        <f t="array" ref="Q1149">IF($R1149&lt;&gt;"",IFERROR(INDEX(ISIN!$B:$B,MATCH($R1149,ISIN!$C:$C,0))),)</f>
        <v/>
      </c>
      <c r="R1149" s="38" t="str">
        <f t="array" ref="R1149">IF($E1149&lt;&gt;"",IFERROR(INDEX(ISIN!$C:$C,MATCH($E1149,ISIN!$A:$A,0)),IFERROR(INDEX($R1150:$R1200,MATCH($K1149,$K1150:$K1200,0)))),IF(AND($Y1149="change",$H1149="EUR"),IF($O1149=$O1150,$R1150,IF($O1149=$O1148,$R1148)),IFERROR(INDEX($R1150:$R1200,MATCH(SUBSTITUTE($I1149,"-","",1),$K1150:$K1200,0)))))</f>
        <v/>
      </c>
      <c r="S1149" s="37" t="str">
        <f t="shared" si="1"/>
        <v/>
      </c>
      <c r="T1149" s="39" t="str">
        <f t="shared" si="2"/>
        <v/>
      </c>
      <c r="U1149" s="40" t="str">
        <f t="shared" si="3"/>
        <v/>
      </c>
      <c r="V1149" s="34" t="str">
        <f t="shared" si="4"/>
        <v/>
      </c>
      <c r="W1149" s="41" t="str">
        <f>IFERROR(__xludf.DUMMYFUNCTION(" IF(Account!$F1149&lt;&gt;"""", SPLIT(Account!$F1149, "" ""), """")"),"")</f>
        <v/>
      </c>
      <c r="X1149" s="42"/>
      <c r="Y1149" s="42"/>
      <c r="Z1149" s="42"/>
      <c r="AA1149" s="42"/>
      <c r="AB1149" s="42"/>
      <c r="AC1149" s="42"/>
      <c r="AD1149" s="42"/>
      <c r="AE1149" s="42"/>
      <c r="AF1149" s="42"/>
      <c r="AG1149" s="42"/>
      <c r="AH1149" s="42"/>
      <c r="AI1149" s="42"/>
      <c r="AJ1149" s="42"/>
      <c r="AK1149" s="42"/>
    </row>
    <row r="1150">
      <c r="A1150" s="45"/>
      <c r="B1150" s="45"/>
      <c r="C1150" s="45"/>
      <c r="D1150" s="45"/>
      <c r="E1150" s="45"/>
      <c r="F1150" s="46"/>
      <c r="G1150" s="45"/>
      <c r="H1150" s="45"/>
      <c r="I1150" s="45"/>
      <c r="J1150" s="45"/>
      <c r="K1150" s="45"/>
      <c r="L1150" s="49"/>
      <c r="M1150" s="33" t="str">
        <f>IFERROR(__xludf.DUMMYFUNCTION("IFS(W1150=""Achat"",IFERROR(VALUE(X1150),VALUE(REGEXREPLACE(T(X1150),""[^0-9]"",""""))),W1150=""Vente"",-IFERROR(VALUE(X1150),VALUE(REGEXREPLACE(T(X1150),""[^0-9]"",""""))),Y1150=""Change"",0,Y1150&lt;&gt;""Change"","""")"),"")</f>
        <v/>
      </c>
      <c r="N1150" s="34" t="str">
        <f>IFERROR(__xludf.DUMMYFUNCTION("IF(Account!$F1150&lt;&gt;"""", VALUE(REGEXREPLACE($I1150, ""\,"", ""."")), """")"),"")</f>
        <v/>
      </c>
      <c r="O1150" s="35" t="str">
        <f>IF(Account!$F1150&lt;&gt;"", DATEVALUE(MID($A1150,4,3) &amp; LEFT($A1150,3) &amp; RIGHT($A1150,4)) + TIMEVALUE($B1150), "")</f>
        <v/>
      </c>
      <c r="P1150" s="36" t="str">
        <f>IF(Account!$F1150&lt;&gt;"", DATEVALUE(MID($C1150,4,3) &amp; LEFT($C1150,3) &amp; RIGHT($C1150,4)), "")</f>
        <v/>
      </c>
      <c r="Q1150" s="37" t="str">
        <f t="array" ref="Q1150">IF($R1150&lt;&gt;"",IFERROR(INDEX(ISIN!$B:$B,MATCH($R1150,ISIN!$C:$C,0))),)</f>
        <v/>
      </c>
      <c r="R1150" s="38" t="str">
        <f t="array" ref="R1150">IF($E1150&lt;&gt;"",IFERROR(INDEX(ISIN!$C:$C,MATCH($E1150,ISIN!$A:$A,0)),IFERROR(INDEX($R1151:$R1200,MATCH($K1150,$K1151:$K1200,0)))),IF(AND($Y1150="change",$H1150="EUR"),IF($O1150=$O1151,$R1151,IF($O1150=$O1149,$R1149)),IFERROR(INDEX($R1151:$R1200,MATCH(SUBSTITUTE($I1150,"-","",1),$K1151:$K1200,0)))))</f>
        <v/>
      </c>
      <c r="S1150" s="37" t="str">
        <f t="shared" si="1"/>
        <v/>
      </c>
      <c r="T1150" s="39" t="str">
        <f t="shared" si="2"/>
        <v/>
      </c>
      <c r="U1150" s="40" t="str">
        <f t="shared" si="3"/>
        <v/>
      </c>
      <c r="V1150" s="34" t="str">
        <f t="shared" si="4"/>
        <v/>
      </c>
      <c r="W1150" s="41" t="str">
        <f>IFERROR(__xludf.DUMMYFUNCTION(" IF(Account!$F1150&lt;&gt;"""", SPLIT(Account!$F1150, "" ""), """")"),"")</f>
        <v/>
      </c>
      <c r="X1150" s="42"/>
      <c r="Y1150" s="42"/>
      <c r="Z1150" s="42"/>
      <c r="AA1150" s="42"/>
      <c r="AB1150" s="42"/>
      <c r="AC1150" s="42"/>
      <c r="AD1150" s="42"/>
      <c r="AE1150" s="42"/>
      <c r="AF1150" s="42"/>
      <c r="AG1150" s="42"/>
      <c r="AH1150" s="42"/>
      <c r="AI1150" s="42"/>
      <c r="AJ1150" s="42"/>
      <c r="AK1150" s="42"/>
    </row>
    <row r="1151">
      <c r="A1151" s="47"/>
      <c r="B1151" s="48"/>
      <c r="C1151" s="47"/>
      <c r="F1151" s="49"/>
      <c r="G1151" s="45"/>
      <c r="L1151" s="49"/>
      <c r="M1151" s="33" t="str">
        <f>IFERROR(__xludf.DUMMYFUNCTION("IFS(W1151=""Achat"",IFERROR(VALUE(X1151),VALUE(REGEXREPLACE(T(X1151),""[^0-9]"",""""))),W1151=""Vente"",-IFERROR(VALUE(X1151),VALUE(REGEXREPLACE(T(X1151),""[^0-9]"",""""))),Y1151=""Change"",0,Y1151&lt;&gt;""Change"","""")"),"")</f>
        <v/>
      </c>
      <c r="N1151" s="34" t="str">
        <f>IFERROR(__xludf.DUMMYFUNCTION("IF(Account!$F1151&lt;&gt;"""", VALUE(REGEXREPLACE($I1151, ""\,"", ""."")), """")"),"")</f>
        <v/>
      </c>
      <c r="O1151" s="35" t="str">
        <f>IF(Account!$F1151&lt;&gt;"", DATEVALUE(MID($A1151,4,3) &amp; LEFT($A1151,3) &amp; RIGHT($A1151,4)) + TIMEVALUE($B1151), "")</f>
        <v/>
      </c>
      <c r="P1151" s="36" t="str">
        <f>IF(Account!$F1151&lt;&gt;"", DATEVALUE(MID($C1151,4,3) &amp; LEFT($C1151,3) &amp; RIGHT($C1151,4)), "")</f>
        <v/>
      </c>
      <c r="Q1151" s="37" t="str">
        <f t="array" ref="Q1151">IF($R1151&lt;&gt;"",IFERROR(INDEX(ISIN!$B:$B,MATCH($R1151,ISIN!$C:$C,0))),)</f>
        <v/>
      </c>
      <c r="R1151" s="38" t="str">
        <f t="array" ref="R1151">IF($E1151&lt;&gt;"",IFERROR(INDEX(ISIN!$C:$C,MATCH($E1151,ISIN!$A:$A,0)),IFERROR(INDEX($R1152:$R1200,MATCH($K1151,$K1152:$K1200,0)))),IF(AND($Y1151="change",$H1151="EUR"),IF($O1151=$O1152,$R1152,IF($O1151=$O1150,$R1150)),IFERROR(INDEX($R1152:$R1200,MATCH(SUBSTITUTE($I1151,"-","",1),$K1152:$K1200,0)))))</f>
        <v/>
      </c>
      <c r="S1151" s="37" t="str">
        <f t="shared" si="1"/>
        <v/>
      </c>
      <c r="T1151" s="39" t="str">
        <f t="shared" si="2"/>
        <v/>
      </c>
      <c r="U1151" s="40" t="str">
        <f t="shared" si="3"/>
        <v/>
      </c>
      <c r="V1151" s="34" t="str">
        <f t="shared" si="4"/>
        <v/>
      </c>
      <c r="W1151" s="41" t="str">
        <f>IFERROR(__xludf.DUMMYFUNCTION(" IF(Account!$F1151&lt;&gt;"""", SPLIT(Account!$F1151, "" ""), """")"),"")</f>
        <v/>
      </c>
      <c r="X1151" s="42"/>
      <c r="Y1151" s="42"/>
      <c r="Z1151" s="42"/>
      <c r="AA1151" s="42"/>
      <c r="AB1151" s="42"/>
      <c r="AC1151" s="42"/>
      <c r="AD1151" s="42"/>
      <c r="AE1151" s="42"/>
      <c r="AF1151" s="42"/>
      <c r="AG1151" s="42"/>
      <c r="AH1151" s="42"/>
      <c r="AI1151" s="42"/>
      <c r="AJ1151" s="42"/>
      <c r="AK1151" s="42"/>
    </row>
    <row r="1152">
      <c r="A1152" s="47"/>
      <c r="B1152" s="48"/>
      <c r="C1152" s="47"/>
      <c r="F1152" s="49"/>
      <c r="G1152" s="50"/>
      <c r="L1152" s="49"/>
      <c r="M1152" s="33" t="str">
        <f>IFERROR(__xludf.DUMMYFUNCTION("IFS(W1152=""Achat"",IFERROR(VALUE(X1152),VALUE(REGEXREPLACE(T(X1152),""[^0-9]"",""""))),W1152=""Vente"",-IFERROR(VALUE(X1152),VALUE(REGEXREPLACE(T(X1152),""[^0-9]"",""""))),Y1152=""Change"",0,Y1152&lt;&gt;""Change"","""")"),"")</f>
        <v/>
      </c>
      <c r="N1152" s="34" t="str">
        <f>IFERROR(__xludf.DUMMYFUNCTION("IF(Account!$F1152&lt;&gt;"""", VALUE(REGEXREPLACE($I1152, ""\,"", ""."")), """")"),"")</f>
        <v/>
      </c>
      <c r="O1152" s="35" t="str">
        <f>IF(Account!$F1152&lt;&gt;"", DATEVALUE(MID($A1152,4,3) &amp; LEFT($A1152,3) &amp; RIGHT($A1152,4)) + TIMEVALUE($B1152), "")</f>
        <v/>
      </c>
      <c r="P1152" s="36" t="str">
        <f>IF(Account!$F1152&lt;&gt;"", DATEVALUE(MID($C1152,4,3) &amp; LEFT($C1152,3) &amp; RIGHT($C1152,4)), "")</f>
        <v/>
      </c>
      <c r="Q1152" s="37" t="str">
        <f t="array" ref="Q1152">IF($R1152&lt;&gt;"",IFERROR(INDEX(ISIN!$B:$B,MATCH($R1152,ISIN!$C:$C,0))),)</f>
        <v/>
      </c>
      <c r="R1152" s="38" t="str">
        <f t="array" ref="R1152">IF($E1152&lt;&gt;"",IFERROR(INDEX(ISIN!$C:$C,MATCH($E1152,ISIN!$A:$A,0)),IFERROR(INDEX($R1153:$R1200,MATCH($K1152,$K1153:$K1200,0)))),IF(AND($Y1152="change",$H1152="EUR"),IF($O1152=$O1153,$R1153,IF($O1152=$O1151,$R1151)),IFERROR(INDEX($R1153:$R1200,MATCH(SUBSTITUTE($I1152,"-","",1),$K1153:$K1200,0)))))</f>
        <v/>
      </c>
      <c r="S1152" s="37" t="str">
        <f t="shared" si="1"/>
        <v/>
      </c>
      <c r="T1152" s="39" t="str">
        <f t="shared" si="2"/>
        <v/>
      </c>
      <c r="U1152" s="40" t="str">
        <f t="shared" si="3"/>
        <v/>
      </c>
      <c r="V1152" s="34" t="str">
        <f t="shared" si="4"/>
        <v/>
      </c>
      <c r="W1152" s="41" t="str">
        <f>IFERROR(__xludf.DUMMYFUNCTION(" IF(Account!$F1152&lt;&gt;"""", SPLIT(Account!$F1152, "" ""), """")"),"")</f>
        <v/>
      </c>
      <c r="X1152" s="42"/>
      <c r="Y1152" s="42"/>
      <c r="Z1152" s="42"/>
      <c r="AA1152" s="42"/>
      <c r="AB1152" s="42"/>
      <c r="AC1152" s="42"/>
      <c r="AD1152" s="42"/>
      <c r="AE1152" s="42"/>
      <c r="AF1152" s="42"/>
      <c r="AG1152" s="42"/>
      <c r="AH1152" s="42"/>
      <c r="AI1152" s="42"/>
      <c r="AJ1152" s="42"/>
      <c r="AK1152" s="42"/>
    </row>
    <row r="1153">
      <c r="A1153" s="47"/>
      <c r="B1153" s="48"/>
      <c r="C1153" s="47"/>
      <c r="F1153" s="49"/>
      <c r="G1153" s="45"/>
      <c r="L1153" s="49"/>
      <c r="M1153" s="33" t="str">
        <f>IFERROR(__xludf.DUMMYFUNCTION("IFS(W1153=""Achat"",IFERROR(VALUE(X1153),VALUE(REGEXREPLACE(T(X1153),""[^0-9]"",""""))),W1153=""Vente"",-IFERROR(VALUE(X1153),VALUE(REGEXREPLACE(T(X1153),""[^0-9]"",""""))),Y1153=""Change"",0,Y1153&lt;&gt;""Change"","""")"),"")</f>
        <v/>
      </c>
      <c r="N1153" s="34" t="str">
        <f>IFERROR(__xludf.DUMMYFUNCTION("IF(Account!$F1153&lt;&gt;"""", VALUE(REGEXREPLACE($I1153, ""\,"", ""."")), """")"),"")</f>
        <v/>
      </c>
      <c r="O1153" s="35" t="str">
        <f>IF(Account!$F1153&lt;&gt;"", DATEVALUE(MID($A1153,4,3) &amp; LEFT($A1153,3) &amp; RIGHT($A1153,4)) + TIMEVALUE($B1153), "")</f>
        <v/>
      </c>
      <c r="P1153" s="36" t="str">
        <f>IF(Account!$F1153&lt;&gt;"", DATEVALUE(MID($C1153,4,3) &amp; LEFT($C1153,3) &amp; RIGHT($C1153,4)), "")</f>
        <v/>
      </c>
      <c r="Q1153" s="37" t="str">
        <f t="array" ref="Q1153">IF($R1153&lt;&gt;"",IFERROR(INDEX(ISIN!$B:$B,MATCH($R1153,ISIN!$C:$C,0))),)</f>
        <v/>
      </c>
      <c r="R1153" s="38" t="str">
        <f t="array" ref="R1153">IF($E1153&lt;&gt;"",IFERROR(INDEX(ISIN!$C:$C,MATCH($E1153,ISIN!$A:$A,0)),IFERROR(INDEX($R1154:$R1200,MATCH($K1153,$K1154:$K1200,0)))),IF(AND($Y1153="change",$H1153="EUR"),IF($O1153=$O1154,$R1154,IF($O1153=$O1152,$R1152)),IFERROR(INDEX($R1154:$R1200,MATCH(SUBSTITUTE($I1153,"-","",1),$K1154:$K1200,0)))))</f>
        <v/>
      </c>
      <c r="S1153" s="37" t="str">
        <f t="shared" si="1"/>
        <v/>
      </c>
      <c r="T1153" s="39" t="str">
        <f t="shared" si="2"/>
        <v/>
      </c>
      <c r="U1153" s="40" t="str">
        <f t="shared" si="3"/>
        <v/>
      </c>
      <c r="V1153" s="34" t="str">
        <f t="shared" si="4"/>
        <v/>
      </c>
      <c r="W1153" s="41" t="str">
        <f>IFERROR(__xludf.DUMMYFUNCTION(" IF(Account!$F1153&lt;&gt;"""", SPLIT(Account!$F1153, "" ""), """")"),"")</f>
        <v/>
      </c>
      <c r="X1153" s="42"/>
      <c r="Y1153" s="42"/>
      <c r="Z1153" s="42"/>
      <c r="AA1153" s="42"/>
      <c r="AB1153" s="42"/>
      <c r="AC1153" s="42"/>
      <c r="AD1153" s="42"/>
      <c r="AE1153" s="42"/>
      <c r="AF1153" s="42"/>
      <c r="AG1153" s="42"/>
      <c r="AH1153" s="42"/>
      <c r="AI1153" s="42"/>
      <c r="AJ1153" s="42"/>
      <c r="AK1153" s="42"/>
    </row>
    <row r="1154">
      <c r="A1154" s="47"/>
      <c r="B1154" s="48"/>
      <c r="C1154" s="47"/>
      <c r="F1154" s="49"/>
      <c r="G1154" s="45"/>
      <c r="L1154" s="49"/>
      <c r="M1154" s="33" t="str">
        <f>IFERROR(__xludf.DUMMYFUNCTION("IFS(W1154=""Achat"",IFERROR(VALUE(X1154),VALUE(REGEXREPLACE(T(X1154),""[^0-9]"",""""))),W1154=""Vente"",-IFERROR(VALUE(X1154),VALUE(REGEXREPLACE(T(X1154),""[^0-9]"",""""))),Y1154=""Change"",0,Y1154&lt;&gt;""Change"","""")"),"")</f>
        <v/>
      </c>
      <c r="N1154" s="34" t="str">
        <f>IFERROR(__xludf.DUMMYFUNCTION("IF(Account!$F1154&lt;&gt;"""", VALUE(REGEXREPLACE($I1154, ""\,"", ""."")), """")"),"")</f>
        <v/>
      </c>
      <c r="O1154" s="35" t="str">
        <f>IF(Account!$F1154&lt;&gt;"", DATEVALUE(MID($A1154,4,3) &amp; LEFT($A1154,3) &amp; RIGHT($A1154,4)) + TIMEVALUE($B1154), "")</f>
        <v/>
      </c>
      <c r="P1154" s="36" t="str">
        <f>IF(Account!$F1154&lt;&gt;"", DATEVALUE(MID($C1154,4,3) &amp; LEFT($C1154,3) &amp; RIGHT($C1154,4)), "")</f>
        <v/>
      </c>
      <c r="Q1154" s="37" t="str">
        <f t="array" ref="Q1154">IF($R1154&lt;&gt;"",IFERROR(INDEX(ISIN!$B:$B,MATCH($R1154,ISIN!$C:$C,0))),)</f>
        <v/>
      </c>
      <c r="R1154" s="38" t="str">
        <f t="array" ref="R1154">IF($E1154&lt;&gt;"",IFERROR(INDEX(ISIN!$C:$C,MATCH($E1154,ISIN!$A:$A,0)),IFERROR(INDEX($R1155:$R1200,MATCH($K1154,$K1155:$K1200,0)))),IF(AND($Y1154="change",$H1154="EUR"),IF($O1154=$O1155,$R1155,IF($O1154=$O1153,$R1153)),IFERROR(INDEX($R1155:$R1200,MATCH(SUBSTITUTE($I1154,"-","",1),$K1155:$K1200,0)))))</f>
        <v/>
      </c>
      <c r="S1154" s="37" t="str">
        <f t="shared" si="1"/>
        <v/>
      </c>
      <c r="T1154" s="39" t="str">
        <f t="shared" si="2"/>
        <v/>
      </c>
      <c r="U1154" s="40" t="str">
        <f t="shared" si="3"/>
        <v/>
      </c>
      <c r="V1154" s="34" t="str">
        <f t="shared" si="4"/>
        <v/>
      </c>
      <c r="W1154" s="41" t="str">
        <f>IFERROR(__xludf.DUMMYFUNCTION(" IF(Account!$F1154&lt;&gt;"""", SPLIT(Account!$F1154, "" ""), """")"),"")</f>
        <v/>
      </c>
      <c r="X1154" s="42"/>
      <c r="Y1154" s="42"/>
      <c r="Z1154" s="42"/>
      <c r="AA1154" s="42"/>
      <c r="AB1154" s="42"/>
      <c r="AC1154" s="42"/>
      <c r="AD1154" s="42"/>
      <c r="AE1154" s="42"/>
      <c r="AF1154" s="42"/>
      <c r="AG1154" s="42"/>
      <c r="AH1154" s="42"/>
      <c r="AI1154" s="42"/>
      <c r="AJ1154" s="42"/>
      <c r="AK1154" s="42"/>
    </row>
    <row r="1155">
      <c r="A1155" s="47"/>
      <c r="B1155" s="48"/>
      <c r="C1155" s="47"/>
      <c r="F1155" s="49"/>
      <c r="G1155" s="50"/>
      <c r="L1155" s="49"/>
      <c r="M1155" s="33" t="str">
        <f>IFERROR(__xludf.DUMMYFUNCTION("IFS(W1155=""Achat"",IFERROR(VALUE(X1155),VALUE(REGEXREPLACE(T(X1155),""[^0-9]"",""""))),W1155=""Vente"",-IFERROR(VALUE(X1155),VALUE(REGEXREPLACE(T(X1155),""[^0-9]"",""""))),Y1155=""Change"",0,Y1155&lt;&gt;""Change"","""")"),"")</f>
        <v/>
      </c>
      <c r="N1155" s="34" t="str">
        <f>IFERROR(__xludf.DUMMYFUNCTION("IF(Account!$F1155&lt;&gt;"""", VALUE(REGEXREPLACE($I1155, ""\,"", ""."")), """")"),"")</f>
        <v/>
      </c>
      <c r="O1155" s="35" t="str">
        <f>IF(Account!$F1155&lt;&gt;"", DATEVALUE(MID($A1155,4,3) &amp; LEFT($A1155,3) &amp; RIGHT($A1155,4)) + TIMEVALUE($B1155), "")</f>
        <v/>
      </c>
      <c r="P1155" s="36" t="str">
        <f>IF(Account!$F1155&lt;&gt;"", DATEVALUE(MID($C1155,4,3) &amp; LEFT($C1155,3) &amp; RIGHT($C1155,4)), "")</f>
        <v/>
      </c>
      <c r="Q1155" s="37" t="str">
        <f t="array" ref="Q1155">IF($R1155&lt;&gt;"",IFERROR(INDEX(ISIN!$B:$B,MATCH($R1155,ISIN!$C:$C,0))),)</f>
        <v/>
      </c>
      <c r="R1155" s="38" t="str">
        <f t="array" ref="R1155">IF($E1155&lt;&gt;"",IFERROR(INDEX(ISIN!$C:$C,MATCH($E1155,ISIN!$A:$A,0)),IFERROR(INDEX($R1156:$R1200,MATCH($K1155,$K1156:$K1200,0)))),IF(AND($Y1155="change",$H1155="EUR"),IF($O1155=$O1156,$R1156,IF($O1155=$O1154,$R1154)),IFERROR(INDEX($R1156:$R1200,MATCH(SUBSTITUTE($I1155,"-","",1),$K1156:$K1200,0)))))</f>
        <v/>
      </c>
      <c r="S1155" s="37" t="str">
        <f t="shared" si="1"/>
        <v/>
      </c>
      <c r="T1155" s="39" t="str">
        <f t="shared" si="2"/>
        <v/>
      </c>
      <c r="U1155" s="40" t="str">
        <f t="shared" si="3"/>
        <v/>
      </c>
      <c r="V1155" s="34" t="str">
        <f t="shared" si="4"/>
        <v/>
      </c>
      <c r="W1155" s="41" t="str">
        <f>IFERROR(__xludf.DUMMYFUNCTION(" IF(Account!$F1155&lt;&gt;"""", SPLIT(Account!$F1155, "" ""), """")"),"")</f>
        <v/>
      </c>
      <c r="X1155" s="42"/>
      <c r="Y1155" s="42"/>
      <c r="Z1155" s="42"/>
      <c r="AA1155" s="42"/>
      <c r="AB1155" s="42"/>
      <c r="AC1155" s="42"/>
      <c r="AD1155" s="42"/>
      <c r="AE1155" s="42"/>
      <c r="AF1155" s="42"/>
      <c r="AG1155" s="42"/>
      <c r="AH1155" s="42"/>
      <c r="AI1155" s="42"/>
      <c r="AJ1155" s="42"/>
      <c r="AK1155" s="42"/>
    </row>
    <row r="1156">
      <c r="A1156" s="47"/>
      <c r="B1156" s="48"/>
      <c r="C1156" s="47"/>
      <c r="F1156" s="49"/>
      <c r="G1156" s="45"/>
      <c r="L1156" s="49"/>
      <c r="M1156" s="33" t="str">
        <f>IFERROR(__xludf.DUMMYFUNCTION("IFS(W1156=""Achat"",IFERROR(VALUE(X1156),VALUE(REGEXREPLACE(T(X1156),""[^0-9]"",""""))),W1156=""Vente"",-IFERROR(VALUE(X1156),VALUE(REGEXREPLACE(T(X1156),""[^0-9]"",""""))),Y1156=""Change"",0,Y1156&lt;&gt;""Change"","""")"),"")</f>
        <v/>
      </c>
      <c r="N1156" s="34" t="str">
        <f>IFERROR(__xludf.DUMMYFUNCTION("IF(Account!$F1156&lt;&gt;"""", VALUE(REGEXREPLACE($I1156, ""\,"", ""."")), """")"),"")</f>
        <v/>
      </c>
      <c r="O1156" s="35" t="str">
        <f>IF(Account!$F1156&lt;&gt;"", DATEVALUE(MID($A1156,4,3) &amp; LEFT($A1156,3) &amp; RIGHT($A1156,4)) + TIMEVALUE($B1156), "")</f>
        <v/>
      </c>
      <c r="P1156" s="36" t="str">
        <f>IF(Account!$F1156&lt;&gt;"", DATEVALUE(MID($C1156,4,3) &amp; LEFT($C1156,3) &amp; RIGHT($C1156,4)), "")</f>
        <v/>
      </c>
      <c r="Q1156" s="37" t="str">
        <f t="array" ref="Q1156">IF($R1156&lt;&gt;"",IFERROR(INDEX(ISIN!$B:$B,MATCH($R1156,ISIN!$C:$C,0))),)</f>
        <v/>
      </c>
      <c r="R1156" s="38" t="str">
        <f t="array" ref="R1156">IF($E1156&lt;&gt;"",IFERROR(INDEX(ISIN!$C:$C,MATCH($E1156,ISIN!$A:$A,0)),IFERROR(INDEX($R1157:$R1200,MATCH($K1156,$K1157:$K1200,0)))),IF(AND($Y1156="change",$H1156="EUR"),IF($O1156=$O1157,$R1157,IF($O1156=$O1155,$R1155)),IFERROR(INDEX($R1157:$R1200,MATCH(SUBSTITUTE($I1156,"-","",1),$K1157:$K1200,0)))))</f>
        <v/>
      </c>
      <c r="S1156" s="37" t="str">
        <f t="shared" si="1"/>
        <v/>
      </c>
      <c r="T1156" s="39" t="str">
        <f t="shared" si="2"/>
        <v/>
      </c>
      <c r="U1156" s="40" t="str">
        <f t="shared" si="3"/>
        <v/>
      </c>
      <c r="V1156" s="34" t="str">
        <f t="shared" si="4"/>
        <v/>
      </c>
      <c r="W1156" s="41" t="str">
        <f>IFERROR(__xludf.DUMMYFUNCTION(" IF(Account!$F1156&lt;&gt;"""", SPLIT(Account!$F1156, "" ""), """")"),"")</f>
        <v/>
      </c>
      <c r="X1156" s="42"/>
      <c r="Y1156" s="42"/>
      <c r="Z1156" s="42"/>
      <c r="AA1156" s="42"/>
      <c r="AB1156" s="42"/>
      <c r="AC1156" s="42"/>
      <c r="AD1156" s="42"/>
      <c r="AE1156" s="42"/>
      <c r="AF1156" s="42"/>
      <c r="AG1156" s="42"/>
      <c r="AH1156" s="42"/>
      <c r="AI1156" s="42"/>
      <c r="AJ1156" s="42"/>
      <c r="AK1156" s="42"/>
    </row>
    <row r="1157">
      <c r="A1157" s="47"/>
      <c r="B1157" s="48"/>
      <c r="C1157" s="47"/>
      <c r="F1157" s="49"/>
      <c r="G1157" s="45"/>
      <c r="L1157" s="49"/>
      <c r="M1157" s="33" t="str">
        <f>IFERROR(__xludf.DUMMYFUNCTION("IFS(W1157=""Achat"",IFERROR(VALUE(X1157),VALUE(REGEXREPLACE(T(X1157),""[^0-9]"",""""))),W1157=""Vente"",-IFERROR(VALUE(X1157),VALUE(REGEXREPLACE(T(X1157),""[^0-9]"",""""))),Y1157=""Change"",0,Y1157&lt;&gt;""Change"","""")"),"")</f>
        <v/>
      </c>
      <c r="N1157" s="34" t="str">
        <f>IFERROR(__xludf.DUMMYFUNCTION("IF(Account!$F1157&lt;&gt;"""", VALUE(REGEXREPLACE($I1157, ""\,"", ""."")), """")"),"")</f>
        <v/>
      </c>
      <c r="O1157" s="35" t="str">
        <f>IF(Account!$F1157&lt;&gt;"", DATEVALUE(MID($A1157,4,3) &amp; LEFT($A1157,3) &amp; RIGHT($A1157,4)) + TIMEVALUE($B1157), "")</f>
        <v/>
      </c>
      <c r="P1157" s="36" t="str">
        <f>IF(Account!$F1157&lt;&gt;"", DATEVALUE(MID($C1157,4,3) &amp; LEFT($C1157,3) &amp; RIGHT($C1157,4)), "")</f>
        <v/>
      </c>
      <c r="Q1157" s="37" t="str">
        <f t="array" ref="Q1157">IF($R1157&lt;&gt;"",IFERROR(INDEX(ISIN!$B:$B,MATCH($R1157,ISIN!$C:$C,0))),)</f>
        <v/>
      </c>
      <c r="R1157" s="38" t="str">
        <f t="array" ref="R1157">IF($E1157&lt;&gt;"",IFERROR(INDEX(ISIN!$C:$C,MATCH($E1157,ISIN!$A:$A,0)),IFERROR(INDEX($R1158:$R1200,MATCH($K1157,$K1158:$K1200,0)))),IF(AND($Y1157="change",$H1157="EUR"),IF($O1157=$O1158,$R1158,IF($O1157=$O1156,$R1156)),IFERROR(INDEX($R1158:$R1200,MATCH(SUBSTITUTE($I1157,"-","",1),$K1158:$K1200,0)))))</f>
        <v/>
      </c>
      <c r="S1157" s="37" t="str">
        <f t="shared" si="1"/>
        <v/>
      </c>
      <c r="T1157" s="39" t="str">
        <f t="shared" si="2"/>
        <v/>
      </c>
      <c r="U1157" s="40" t="str">
        <f t="shared" si="3"/>
        <v/>
      </c>
      <c r="V1157" s="34" t="str">
        <f t="shared" si="4"/>
        <v/>
      </c>
      <c r="W1157" s="41" t="str">
        <f>IFERROR(__xludf.DUMMYFUNCTION(" IF(Account!$F1157&lt;&gt;"""", SPLIT(Account!$F1157, "" ""), """")"),"")</f>
        <v/>
      </c>
      <c r="X1157" s="42"/>
      <c r="Y1157" s="42"/>
      <c r="Z1157" s="42"/>
      <c r="AA1157" s="42"/>
      <c r="AB1157" s="42"/>
      <c r="AC1157" s="42"/>
      <c r="AD1157" s="42"/>
      <c r="AE1157" s="42"/>
      <c r="AF1157" s="42"/>
      <c r="AG1157" s="42"/>
      <c r="AH1157" s="42"/>
      <c r="AI1157" s="42"/>
      <c r="AJ1157" s="42"/>
      <c r="AK1157" s="42"/>
    </row>
    <row r="1158">
      <c r="A1158" s="47"/>
      <c r="B1158" s="48"/>
      <c r="C1158" s="47"/>
      <c r="F1158" s="49"/>
      <c r="G1158" s="45"/>
      <c r="H1158" s="45"/>
      <c r="I1158" s="45"/>
      <c r="L1158" s="46"/>
      <c r="M1158" s="33" t="str">
        <f>IFERROR(__xludf.DUMMYFUNCTION("IFS(W1158=""Achat"",IFERROR(VALUE(X1158),VALUE(REGEXREPLACE(T(X1158),""[^0-9]"",""""))),W1158=""Vente"",-IFERROR(VALUE(X1158),VALUE(REGEXREPLACE(T(X1158),""[^0-9]"",""""))),Y1158=""Change"",0,Y1158&lt;&gt;""Change"","""")"),"")</f>
        <v/>
      </c>
      <c r="N1158" s="34" t="str">
        <f>IFERROR(__xludf.DUMMYFUNCTION("IF(Account!$F1158&lt;&gt;"""", VALUE(REGEXREPLACE($I1158, ""\,"", ""."")), """")"),"")</f>
        <v/>
      </c>
      <c r="O1158" s="35" t="str">
        <f>IF(Account!$F1158&lt;&gt;"", DATEVALUE(MID($A1158,4,3) &amp; LEFT($A1158,3) &amp; RIGHT($A1158,4)) + TIMEVALUE($B1158), "")</f>
        <v/>
      </c>
      <c r="P1158" s="36" t="str">
        <f>IF(Account!$F1158&lt;&gt;"", DATEVALUE(MID($C1158,4,3) &amp; LEFT($C1158,3) &amp; RIGHT($C1158,4)), "")</f>
        <v/>
      </c>
      <c r="Q1158" s="37" t="str">
        <f t="array" ref="Q1158">IF($R1158&lt;&gt;"",IFERROR(INDEX(ISIN!$B:$B,MATCH($R1158,ISIN!$C:$C,0))),)</f>
        <v/>
      </c>
      <c r="R1158" s="38" t="str">
        <f t="array" ref="R1158">IF($E1158&lt;&gt;"",IFERROR(INDEX(ISIN!$C:$C,MATCH($E1158,ISIN!$A:$A,0)),IFERROR(INDEX($R1159:$R1200,MATCH($K1158,$K1159:$K1200,0)))),IF(AND($Y1158="change",$H1158="EUR"),IF($O1158=$O1159,$R1159,IF($O1158=$O1157,$R1157)),IFERROR(INDEX($R1159:$R1200,MATCH(SUBSTITUTE($I1158,"-","",1),$K1159:$K1200,0)))))</f>
        <v/>
      </c>
      <c r="S1158" s="37" t="str">
        <f t="shared" si="1"/>
        <v/>
      </c>
      <c r="T1158" s="39" t="str">
        <f t="shared" si="2"/>
        <v/>
      </c>
      <c r="U1158" s="40" t="str">
        <f t="shared" si="3"/>
        <v/>
      </c>
      <c r="V1158" s="34" t="str">
        <f t="shared" si="4"/>
        <v/>
      </c>
      <c r="W1158" s="41" t="str">
        <f>IFERROR(__xludf.DUMMYFUNCTION(" IF(Account!$F1158&lt;&gt;"""", SPLIT(Account!$F1158, "" ""), """")"),"")</f>
        <v/>
      </c>
      <c r="X1158" s="42"/>
      <c r="Y1158" s="42"/>
      <c r="Z1158" s="42"/>
      <c r="AA1158" s="42"/>
      <c r="AB1158" s="42"/>
      <c r="AC1158" s="42"/>
      <c r="AD1158" s="42"/>
      <c r="AE1158" s="42"/>
      <c r="AF1158" s="42"/>
      <c r="AG1158" s="42"/>
      <c r="AH1158" s="42"/>
      <c r="AI1158" s="42"/>
      <c r="AJ1158" s="42"/>
      <c r="AK1158" s="42"/>
    </row>
    <row r="1159">
      <c r="A1159" s="47"/>
      <c r="B1159" s="48"/>
      <c r="C1159" s="47"/>
      <c r="F1159" s="49"/>
      <c r="G1159" s="45"/>
      <c r="L1159" s="49"/>
      <c r="M1159" s="33" t="str">
        <f>IFERROR(__xludf.DUMMYFUNCTION("IFS(W1159=""Achat"",IFERROR(VALUE(X1159),VALUE(REGEXREPLACE(T(X1159),""[^0-9]"",""""))),W1159=""Vente"",-IFERROR(VALUE(X1159),VALUE(REGEXREPLACE(T(X1159),""[^0-9]"",""""))),Y1159=""Change"",0,Y1159&lt;&gt;""Change"","""")"),"")</f>
        <v/>
      </c>
      <c r="N1159" s="34" t="str">
        <f>IFERROR(__xludf.DUMMYFUNCTION("IF(Account!$F1159&lt;&gt;"""", VALUE(REGEXREPLACE($I1159, ""\,"", ""."")), """")"),"")</f>
        <v/>
      </c>
      <c r="O1159" s="35" t="str">
        <f>IF(Account!$F1159&lt;&gt;"", DATEVALUE(MID($A1159,4,3) &amp; LEFT($A1159,3) &amp; RIGHT($A1159,4)) + TIMEVALUE($B1159), "")</f>
        <v/>
      </c>
      <c r="P1159" s="36" t="str">
        <f>IF(Account!$F1159&lt;&gt;"", DATEVALUE(MID($C1159,4,3) &amp; LEFT($C1159,3) &amp; RIGHT($C1159,4)), "")</f>
        <v/>
      </c>
      <c r="Q1159" s="37" t="str">
        <f t="array" ref="Q1159">IF($R1159&lt;&gt;"",IFERROR(INDEX(ISIN!$B:$B,MATCH($R1159,ISIN!$C:$C,0))),)</f>
        <v/>
      </c>
      <c r="R1159" s="38" t="str">
        <f t="array" ref="R1159">IF($E1159&lt;&gt;"",IFERROR(INDEX(ISIN!$C:$C,MATCH($E1159,ISIN!$A:$A,0)),IFERROR(INDEX($R1160:$R1200,MATCH($K1159,$K1160:$K1200,0)))),IF(AND($Y1159="change",$H1159="EUR"),IF($O1159=$O1160,$R1160,IF($O1159=$O1158,$R1158)),IFERROR(INDEX($R1160:$R1200,MATCH(SUBSTITUTE($I1159,"-","",1),$K1160:$K1200,0)))))</f>
        <v/>
      </c>
      <c r="S1159" s="37" t="str">
        <f t="shared" si="1"/>
        <v/>
      </c>
      <c r="T1159" s="39" t="str">
        <f t="shared" si="2"/>
        <v/>
      </c>
      <c r="U1159" s="40" t="str">
        <f t="shared" si="3"/>
        <v/>
      </c>
      <c r="V1159" s="34" t="str">
        <f t="shared" si="4"/>
        <v/>
      </c>
      <c r="W1159" s="41" t="str">
        <f>IFERROR(__xludf.DUMMYFUNCTION(" IF(Account!$F1159&lt;&gt;"""", SPLIT(Account!$F1159, "" ""), """")"),"")</f>
        <v/>
      </c>
      <c r="X1159" s="42"/>
      <c r="Y1159" s="42"/>
      <c r="Z1159" s="42"/>
      <c r="AA1159" s="42"/>
      <c r="AB1159" s="42"/>
      <c r="AC1159" s="42"/>
      <c r="AD1159" s="42"/>
      <c r="AE1159" s="42"/>
      <c r="AF1159" s="42"/>
      <c r="AG1159" s="42"/>
      <c r="AH1159" s="42"/>
      <c r="AI1159" s="42"/>
      <c r="AJ1159" s="42"/>
      <c r="AK1159" s="42"/>
    </row>
    <row r="1160">
      <c r="A1160" s="47"/>
      <c r="B1160" s="48"/>
      <c r="F1160" s="49"/>
      <c r="G1160" s="45"/>
      <c r="H1160" s="45"/>
      <c r="I1160" s="45"/>
      <c r="L1160" s="46"/>
      <c r="M1160" s="33" t="str">
        <f>IFERROR(__xludf.DUMMYFUNCTION("IFS(W1160=""Achat"",IFERROR(VALUE(X1160),VALUE(REGEXREPLACE(T(X1160),""[^0-9]"",""""))),W1160=""Vente"",-IFERROR(VALUE(X1160),VALUE(REGEXREPLACE(T(X1160),""[^0-9]"",""""))),Y1160=""Change"",0,Y1160&lt;&gt;""Change"","""")"),"")</f>
        <v/>
      </c>
      <c r="N1160" s="34" t="str">
        <f>IFERROR(__xludf.DUMMYFUNCTION("IF(Account!$F1160&lt;&gt;"""", VALUE(REGEXREPLACE($I1160, ""\,"", ""."")), """")"),"")</f>
        <v/>
      </c>
      <c r="O1160" s="35" t="str">
        <f>IF(Account!$F1160&lt;&gt;"", DATEVALUE(MID($A1160,4,3) &amp; LEFT($A1160,3) &amp; RIGHT($A1160,4)) + TIMEVALUE($B1160), "")</f>
        <v/>
      </c>
      <c r="P1160" s="36" t="str">
        <f>IF(Account!$F1160&lt;&gt;"", DATEVALUE(MID($C1160,4,3) &amp; LEFT($C1160,3) &amp; RIGHT($C1160,4)), "")</f>
        <v/>
      </c>
      <c r="Q1160" s="37" t="str">
        <f t="array" ref="Q1160">IF($R1160&lt;&gt;"",IFERROR(INDEX(ISIN!$B:$B,MATCH($R1160,ISIN!$C:$C,0))),)</f>
        <v/>
      </c>
      <c r="R1160" s="38" t="str">
        <f t="array" ref="R1160">IF($E1160&lt;&gt;"",IFERROR(INDEX(ISIN!$C:$C,MATCH($E1160,ISIN!$A:$A,0)),IFERROR(INDEX($R1161:$R1200,MATCH($K1160,$K1161:$K1200,0)))),IF(AND($Y1160="change",$H1160="EUR"),IF($O1160=$O1161,$R1161,IF($O1160=$O1159,$R1159)),IFERROR(INDEX($R1161:$R1200,MATCH(SUBSTITUTE($I1160,"-","",1),$K1161:$K1200,0)))))</f>
        <v/>
      </c>
      <c r="S1160" s="37" t="str">
        <f t="shared" si="1"/>
        <v/>
      </c>
      <c r="T1160" s="39" t="str">
        <f t="shared" si="2"/>
        <v/>
      </c>
      <c r="U1160" s="40" t="str">
        <f t="shared" si="3"/>
        <v/>
      </c>
      <c r="V1160" s="34" t="str">
        <f t="shared" si="4"/>
        <v/>
      </c>
      <c r="W1160" s="41" t="str">
        <f>IFERROR(__xludf.DUMMYFUNCTION(" IF(Account!$F1160&lt;&gt;"""", SPLIT(Account!$F1160, "" ""), """")"),"")</f>
        <v/>
      </c>
      <c r="X1160" s="42"/>
      <c r="Y1160" s="42"/>
      <c r="Z1160" s="42"/>
      <c r="AA1160" s="42"/>
      <c r="AB1160" s="42"/>
      <c r="AC1160" s="42"/>
      <c r="AD1160" s="42"/>
      <c r="AE1160" s="42"/>
      <c r="AF1160" s="42"/>
      <c r="AG1160" s="42"/>
      <c r="AH1160" s="42"/>
      <c r="AI1160" s="42"/>
      <c r="AJ1160" s="42"/>
      <c r="AK1160" s="42"/>
    </row>
    <row r="1161">
      <c r="A1161" s="47"/>
      <c r="B1161" s="48"/>
      <c r="C1161" s="47"/>
      <c r="F1161" s="49"/>
      <c r="G1161" s="45"/>
      <c r="L1161" s="49"/>
      <c r="M1161" s="33" t="str">
        <f>IFERROR(__xludf.DUMMYFUNCTION("IFS(W1161=""Achat"",IFERROR(VALUE(X1161),VALUE(REGEXREPLACE(T(X1161),""[^0-9]"",""""))),W1161=""Vente"",-IFERROR(VALUE(X1161),VALUE(REGEXREPLACE(T(X1161),""[^0-9]"",""""))),Y1161=""Change"",0,Y1161&lt;&gt;""Change"","""")"),"")</f>
        <v/>
      </c>
      <c r="N1161" s="34" t="str">
        <f>IFERROR(__xludf.DUMMYFUNCTION("IF(Account!$F1161&lt;&gt;"""", VALUE(REGEXREPLACE($I1161, ""\,"", ""."")), """")"),"")</f>
        <v/>
      </c>
      <c r="O1161" s="35" t="str">
        <f>IF(Account!$F1161&lt;&gt;"", DATEVALUE(MID($A1161,4,3) &amp; LEFT($A1161,3) &amp; RIGHT($A1161,4)) + TIMEVALUE($B1161), "")</f>
        <v/>
      </c>
      <c r="P1161" s="36" t="str">
        <f>IF(Account!$F1161&lt;&gt;"", DATEVALUE(MID($C1161,4,3) &amp; LEFT($C1161,3) &amp; RIGHT($C1161,4)), "")</f>
        <v/>
      </c>
      <c r="Q1161" s="37" t="str">
        <f t="array" ref="Q1161">IF($R1161&lt;&gt;"",IFERROR(INDEX(ISIN!$B:$B,MATCH($R1161,ISIN!$C:$C,0))),)</f>
        <v/>
      </c>
      <c r="R1161" s="38" t="str">
        <f t="array" ref="R1161">IF($E1161&lt;&gt;"",IFERROR(INDEX(ISIN!$C:$C,MATCH($E1161,ISIN!$A:$A,0)),IFERROR(INDEX($R1162:$R1200,MATCH($K1161,$K1162:$K1200,0)))),IF(AND($Y1161="change",$H1161="EUR"),IF($O1161=$O1162,$R1162,IF($O1161=$O1160,$R1160)),IFERROR(INDEX($R1162:$R1200,MATCH(SUBSTITUTE($I1161,"-","",1),$K1162:$K1200,0)))))</f>
        <v/>
      </c>
      <c r="S1161" s="37" t="str">
        <f t="shared" si="1"/>
        <v/>
      </c>
      <c r="T1161" s="39" t="str">
        <f t="shared" si="2"/>
        <v/>
      </c>
      <c r="U1161" s="40" t="str">
        <f t="shared" si="3"/>
        <v/>
      </c>
      <c r="V1161" s="34" t="str">
        <f t="shared" si="4"/>
        <v/>
      </c>
      <c r="W1161" s="41" t="str">
        <f>IFERROR(__xludf.DUMMYFUNCTION(" IF(Account!$F1161&lt;&gt;"""", SPLIT(Account!$F1161, "" ""), """")"),"")</f>
        <v/>
      </c>
      <c r="X1161" s="42"/>
      <c r="Y1161" s="42"/>
      <c r="Z1161" s="42"/>
      <c r="AA1161" s="42"/>
      <c r="AB1161" s="42"/>
      <c r="AC1161" s="42"/>
      <c r="AD1161" s="42"/>
      <c r="AE1161" s="42"/>
      <c r="AF1161" s="42"/>
      <c r="AG1161" s="42"/>
      <c r="AH1161" s="42"/>
      <c r="AI1161" s="42"/>
      <c r="AJ1161" s="42"/>
      <c r="AK1161" s="42"/>
    </row>
    <row r="1162">
      <c r="A1162" s="47"/>
      <c r="B1162" s="48"/>
      <c r="C1162" s="47"/>
      <c r="F1162" s="49"/>
      <c r="G1162" s="50"/>
      <c r="L1162" s="49"/>
      <c r="M1162" s="33" t="str">
        <f>IFERROR(__xludf.DUMMYFUNCTION("IFS(W1162=""Achat"",IFERROR(VALUE(X1162),VALUE(REGEXREPLACE(T(X1162),""[^0-9]"",""""))),W1162=""Vente"",-IFERROR(VALUE(X1162),VALUE(REGEXREPLACE(T(X1162),""[^0-9]"",""""))),Y1162=""Change"",0,Y1162&lt;&gt;""Change"","""")"),"")</f>
        <v/>
      </c>
      <c r="N1162" s="34" t="str">
        <f>IFERROR(__xludf.DUMMYFUNCTION("IF(Account!$F1162&lt;&gt;"""", VALUE(REGEXREPLACE($I1162, ""\,"", ""."")), """")"),"")</f>
        <v/>
      </c>
      <c r="O1162" s="35" t="str">
        <f>IF(Account!$F1162&lt;&gt;"", DATEVALUE(MID($A1162,4,3) &amp; LEFT($A1162,3) &amp; RIGHT($A1162,4)) + TIMEVALUE($B1162), "")</f>
        <v/>
      </c>
      <c r="P1162" s="36" t="str">
        <f>IF(Account!$F1162&lt;&gt;"", DATEVALUE(MID($C1162,4,3) &amp; LEFT($C1162,3) &amp; RIGHT($C1162,4)), "")</f>
        <v/>
      </c>
      <c r="Q1162" s="37" t="str">
        <f t="array" ref="Q1162">IF($R1162&lt;&gt;"",IFERROR(INDEX(ISIN!$B:$B,MATCH($R1162,ISIN!$C:$C,0))),)</f>
        <v/>
      </c>
      <c r="R1162" s="38" t="str">
        <f t="array" ref="R1162">IF($E1162&lt;&gt;"",IFERROR(INDEX(ISIN!$C:$C,MATCH($E1162,ISIN!$A:$A,0)),IFERROR(INDEX($R1163:$R1200,MATCH($K1162,$K1163:$K1200,0)))),IF(AND($Y1162="change",$H1162="EUR"),IF($O1162=$O1163,$R1163,IF($O1162=$O1161,$R1161)),IFERROR(INDEX($R1163:$R1200,MATCH(SUBSTITUTE($I1162,"-","",1),$K1163:$K1200,0)))))</f>
        <v/>
      </c>
      <c r="S1162" s="37" t="str">
        <f t="shared" si="1"/>
        <v/>
      </c>
      <c r="T1162" s="39" t="str">
        <f t="shared" si="2"/>
        <v/>
      </c>
      <c r="U1162" s="40" t="str">
        <f t="shared" si="3"/>
        <v/>
      </c>
      <c r="V1162" s="34" t="str">
        <f t="shared" si="4"/>
        <v/>
      </c>
      <c r="W1162" s="41" t="str">
        <f>IFERROR(__xludf.DUMMYFUNCTION(" IF(Account!$F1162&lt;&gt;"""", SPLIT(Account!$F1162, "" ""), """")"),"")</f>
        <v/>
      </c>
      <c r="X1162" s="42"/>
      <c r="Y1162" s="42"/>
      <c r="Z1162" s="42"/>
      <c r="AA1162" s="42"/>
      <c r="AB1162" s="42"/>
      <c r="AC1162" s="42"/>
      <c r="AD1162" s="42"/>
      <c r="AE1162" s="42"/>
      <c r="AF1162" s="42"/>
      <c r="AG1162" s="42"/>
      <c r="AH1162" s="42"/>
      <c r="AI1162" s="42"/>
      <c r="AJ1162" s="42"/>
      <c r="AK1162" s="42"/>
    </row>
    <row r="1163">
      <c r="A1163" s="47"/>
      <c r="B1163" s="48"/>
      <c r="C1163" s="47"/>
      <c r="F1163" s="49"/>
      <c r="G1163" s="45"/>
      <c r="L1163" s="49"/>
      <c r="M1163" s="33" t="str">
        <f>IFERROR(__xludf.DUMMYFUNCTION("IFS(W1163=""Achat"",IFERROR(VALUE(X1163),VALUE(REGEXREPLACE(T(X1163),""[^0-9]"",""""))),W1163=""Vente"",-IFERROR(VALUE(X1163),VALUE(REGEXREPLACE(T(X1163),""[^0-9]"",""""))),Y1163=""Change"",0,Y1163&lt;&gt;""Change"","""")"),"")</f>
        <v/>
      </c>
      <c r="N1163" s="34" t="str">
        <f>IFERROR(__xludf.DUMMYFUNCTION("IF(Account!$F1163&lt;&gt;"""", VALUE(REGEXREPLACE($I1163, ""\,"", ""."")), """")"),"")</f>
        <v/>
      </c>
      <c r="O1163" s="35" t="str">
        <f>IF(Account!$F1163&lt;&gt;"", DATEVALUE(MID($A1163,4,3) &amp; LEFT($A1163,3) &amp; RIGHT($A1163,4)) + TIMEVALUE($B1163), "")</f>
        <v/>
      </c>
      <c r="P1163" s="36" t="str">
        <f>IF(Account!$F1163&lt;&gt;"", DATEVALUE(MID($C1163,4,3) &amp; LEFT($C1163,3) &amp; RIGHT($C1163,4)), "")</f>
        <v/>
      </c>
      <c r="Q1163" s="37" t="str">
        <f t="array" ref="Q1163">IF($R1163&lt;&gt;"",IFERROR(INDEX(ISIN!$B:$B,MATCH($R1163,ISIN!$C:$C,0))),)</f>
        <v/>
      </c>
      <c r="R1163" s="38" t="str">
        <f t="array" ref="R1163">IF($E1163&lt;&gt;"",IFERROR(INDEX(ISIN!$C:$C,MATCH($E1163,ISIN!$A:$A,0)),IFERROR(INDEX($R1164:$R1200,MATCH($K1163,$K1164:$K1200,0)))),IF(AND($Y1163="change",$H1163="EUR"),IF($O1163=$O1164,$R1164,IF($O1163=$O1162,$R1162)),IFERROR(INDEX($R1164:$R1200,MATCH(SUBSTITUTE($I1163,"-","",1),$K1164:$K1200,0)))))</f>
        <v/>
      </c>
      <c r="S1163" s="37" t="str">
        <f t="shared" si="1"/>
        <v/>
      </c>
      <c r="T1163" s="39" t="str">
        <f t="shared" si="2"/>
        <v/>
      </c>
      <c r="U1163" s="40" t="str">
        <f t="shared" si="3"/>
        <v/>
      </c>
      <c r="V1163" s="34" t="str">
        <f t="shared" si="4"/>
        <v/>
      </c>
      <c r="W1163" s="41" t="str">
        <f>IFERROR(__xludf.DUMMYFUNCTION(" IF(Account!$F1163&lt;&gt;"""", SPLIT(Account!$F1163, "" ""), """")"),"")</f>
        <v/>
      </c>
      <c r="X1163" s="42"/>
      <c r="Y1163" s="42"/>
      <c r="Z1163" s="42"/>
      <c r="AA1163" s="42"/>
      <c r="AB1163" s="42"/>
      <c r="AC1163" s="42"/>
      <c r="AD1163" s="42"/>
      <c r="AE1163" s="42"/>
      <c r="AF1163" s="42"/>
      <c r="AG1163" s="42"/>
      <c r="AH1163" s="42"/>
      <c r="AI1163" s="42"/>
      <c r="AJ1163" s="42"/>
      <c r="AK1163" s="42"/>
    </row>
    <row r="1164">
      <c r="A1164" s="47"/>
      <c r="B1164" s="48"/>
      <c r="C1164" s="47"/>
      <c r="F1164" s="49"/>
      <c r="G1164" s="50"/>
      <c r="L1164" s="49"/>
      <c r="M1164" s="33" t="str">
        <f>IFERROR(__xludf.DUMMYFUNCTION("IFS(W1164=""Achat"",IFERROR(VALUE(X1164),VALUE(REGEXREPLACE(T(X1164),""[^0-9]"",""""))),W1164=""Vente"",-IFERROR(VALUE(X1164),VALUE(REGEXREPLACE(T(X1164),""[^0-9]"",""""))),Y1164=""Change"",0,Y1164&lt;&gt;""Change"","""")"),"")</f>
        <v/>
      </c>
      <c r="N1164" s="34" t="str">
        <f>IFERROR(__xludf.DUMMYFUNCTION("IF(Account!$F1164&lt;&gt;"""", VALUE(REGEXREPLACE($I1164, ""\,"", ""."")), """")"),"")</f>
        <v/>
      </c>
      <c r="O1164" s="35" t="str">
        <f>IF(Account!$F1164&lt;&gt;"", DATEVALUE(MID($A1164,4,3) &amp; LEFT($A1164,3) &amp; RIGHT($A1164,4)) + TIMEVALUE($B1164), "")</f>
        <v/>
      </c>
      <c r="P1164" s="36" t="str">
        <f>IF(Account!$F1164&lt;&gt;"", DATEVALUE(MID($C1164,4,3) &amp; LEFT($C1164,3) &amp; RIGHT($C1164,4)), "")</f>
        <v/>
      </c>
      <c r="Q1164" s="37" t="str">
        <f t="array" ref="Q1164">IF($R1164&lt;&gt;"",IFERROR(INDEX(ISIN!$B:$B,MATCH($R1164,ISIN!$C:$C,0))),)</f>
        <v/>
      </c>
      <c r="R1164" s="38" t="str">
        <f t="array" ref="R1164">IF($E1164&lt;&gt;"",IFERROR(INDEX(ISIN!$C:$C,MATCH($E1164,ISIN!$A:$A,0)),IFERROR(INDEX($R1165:$R1200,MATCH($K1164,$K1165:$K1200,0)))),IF(AND($Y1164="change",$H1164="EUR"),IF($O1164=$O1165,$R1165,IF($O1164=$O1163,$R1163)),IFERROR(INDEX($R1165:$R1200,MATCH(SUBSTITUTE($I1164,"-","",1),$K1165:$K1200,0)))))</f>
        <v/>
      </c>
      <c r="S1164" s="37" t="str">
        <f t="shared" si="1"/>
        <v/>
      </c>
      <c r="T1164" s="39" t="str">
        <f t="shared" si="2"/>
        <v/>
      </c>
      <c r="U1164" s="40" t="str">
        <f t="shared" si="3"/>
        <v/>
      </c>
      <c r="V1164" s="34" t="str">
        <f t="shared" si="4"/>
        <v/>
      </c>
      <c r="W1164" s="41" t="str">
        <f>IFERROR(__xludf.DUMMYFUNCTION(" IF(Account!$F1164&lt;&gt;"""", SPLIT(Account!$F1164, "" ""), """")"),"")</f>
        <v/>
      </c>
      <c r="X1164" s="42"/>
      <c r="Y1164" s="42"/>
      <c r="Z1164" s="42"/>
      <c r="AA1164" s="42"/>
      <c r="AB1164" s="42"/>
      <c r="AC1164" s="42"/>
      <c r="AD1164" s="42"/>
      <c r="AE1164" s="42"/>
      <c r="AF1164" s="42"/>
      <c r="AG1164" s="42"/>
      <c r="AH1164" s="42"/>
      <c r="AI1164" s="42"/>
      <c r="AJ1164" s="42"/>
      <c r="AK1164" s="42"/>
    </row>
    <row r="1165">
      <c r="A1165" s="47"/>
      <c r="B1165" s="48"/>
      <c r="C1165" s="47"/>
      <c r="F1165" s="49"/>
      <c r="G1165" s="45"/>
      <c r="L1165" s="49"/>
      <c r="M1165" s="33" t="str">
        <f>IFERROR(__xludf.DUMMYFUNCTION("IFS(W1165=""Achat"",IFERROR(VALUE(X1165),VALUE(REGEXREPLACE(T(X1165),""[^0-9]"",""""))),W1165=""Vente"",-IFERROR(VALUE(X1165),VALUE(REGEXREPLACE(T(X1165),""[^0-9]"",""""))),Y1165=""Change"",0,Y1165&lt;&gt;""Change"","""")"),"")</f>
        <v/>
      </c>
      <c r="N1165" s="34" t="str">
        <f>IFERROR(__xludf.DUMMYFUNCTION("IF(Account!$F1165&lt;&gt;"""", VALUE(REGEXREPLACE($I1165, ""\,"", ""."")), """")"),"")</f>
        <v/>
      </c>
      <c r="O1165" s="35" t="str">
        <f>IF(Account!$F1165&lt;&gt;"", DATEVALUE(MID($A1165,4,3) &amp; LEFT($A1165,3) &amp; RIGHT($A1165,4)) + TIMEVALUE($B1165), "")</f>
        <v/>
      </c>
      <c r="P1165" s="36" t="str">
        <f>IF(Account!$F1165&lt;&gt;"", DATEVALUE(MID($C1165,4,3) &amp; LEFT($C1165,3) &amp; RIGHT($C1165,4)), "")</f>
        <v/>
      </c>
      <c r="Q1165" s="37" t="str">
        <f t="array" ref="Q1165">IF($R1165&lt;&gt;"",IFERROR(INDEX(ISIN!$B:$B,MATCH($R1165,ISIN!$C:$C,0))),)</f>
        <v/>
      </c>
      <c r="R1165" s="38" t="str">
        <f t="array" ref="R1165">IF($E1165&lt;&gt;"",IFERROR(INDEX(ISIN!$C:$C,MATCH($E1165,ISIN!$A:$A,0)),IFERROR(INDEX($R1166:$R1200,MATCH($K1165,$K1166:$K1200,0)))),IF(AND($Y1165="change",$H1165="EUR"),IF($O1165=$O1166,$R1166,IF($O1165=$O1164,$R1164)),IFERROR(INDEX($R1166:$R1200,MATCH(SUBSTITUTE($I1165,"-","",1),$K1166:$K1200,0)))))</f>
        <v/>
      </c>
      <c r="S1165" s="37" t="str">
        <f t="shared" si="1"/>
        <v/>
      </c>
      <c r="T1165" s="39" t="str">
        <f t="shared" si="2"/>
        <v/>
      </c>
      <c r="U1165" s="40" t="str">
        <f t="shared" si="3"/>
        <v/>
      </c>
      <c r="V1165" s="34" t="str">
        <f t="shared" si="4"/>
        <v/>
      </c>
      <c r="W1165" s="41" t="str">
        <f>IFERROR(__xludf.DUMMYFUNCTION(" IF(Account!$F1165&lt;&gt;"""", SPLIT(Account!$F1165, "" ""), """")"),"")</f>
        <v/>
      </c>
      <c r="X1165" s="42"/>
      <c r="Y1165" s="42"/>
      <c r="Z1165" s="42"/>
      <c r="AA1165" s="42"/>
      <c r="AB1165" s="42"/>
      <c r="AC1165" s="42"/>
      <c r="AD1165" s="42"/>
      <c r="AE1165" s="42"/>
      <c r="AF1165" s="42"/>
      <c r="AG1165" s="42"/>
      <c r="AH1165" s="42"/>
      <c r="AI1165" s="42"/>
      <c r="AJ1165" s="42"/>
      <c r="AK1165" s="42"/>
    </row>
    <row r="1166">
      <c r="A1166" s="47"/>
      <c r="B1166" s="48"/>
      <c r="C1166" s="47"/>
      <c r="F1166" s="49"/>
      <c r="G1166" s="50"/>
      <c r="L1166" s="49"/>
      <c r="M1166" s="33" t="str">
        <f>IFERROR(__xludf.DUMMYFUNCTION("IFS(W1166=""Achat"",IFERROR(VALUE(X1166),VALUE(REGEXREPLACE(T(X1166),""[^0-9]"",""""))),W1166=""Vente"",-IFERROR(VALUE(X1166),VALUE(REGEXREPLACE(T(X1166),""[^0-9]"",""""))),Y1166=""Change"",0,Y1166&lt;&gt;""Change"","""")"),"")</f>
        <v/>
      </c>
      <c r="N1166" s="34" t="str">
        <f>IFERROR(__xludf.DUMMYFUNCTION("IF(Account!$F1166&lt;&gt;"""", VALUE(REGEXREPLACE($I1166, ""\,"", ""."")), """")"),"")</f>
        <v/>
      </c>
      <c r="O1166" s="35" t="str">
        <f>IF(Account!$F1166&lt;&gt;"", DATEVALUE(MID($A1166,4,3) &amp; LEFT($A1166,3) &amp; RIGHT($A1166,4)) + TIMEVALUE($B1166), "")</f>
        <v/>
      </c>
      <c r="P1166" s="36" t="str">
        <f>IF(Account!$F1166&lt;&gt;"", DATEVALUE(MID($C1166,4,3) &amp; LEFT($C1166,3) &amp; RIGHT($C1166,4)), "")</f>
        <v/>
      </c>
      <c r="Q1166" s="37" t="str">
        <f t="array" ref="Q1166">IF($R1166&lt;&gt;"",IFERROR(INDEX(ISIN!$B:$B,MATCH($R1166,ISIN!$C:$C,0))),)</f>
        <v/>
      </c>
      <c r="R1166" s="38" t="str">
        <f t="array" ref="R1166">IF($E1166&lt;&gt;"",IFERROR(INDEX(ISIN!$C:$C,MATCH($E1166,ISIN!$A:$A,0)),IFERROR(INDEX($R1167:$R1200,MATCH($K1166,$K1167:$K1200,0)))),IF(AND($Y1166="change",$H1166="EUR"),IF($O1166=$O1167,$R1167,IF($O1166=$O1165,$R1165)),IFERROR(INDEX($R1167:$R1200,MATCH(SUBSTITUTE($I1166,"-","",1),$K1167:$K1200,0)))))</f>
        <v/>
      </c>
      <c r="S1166" s="37" t="str">
        <f t="shared" si="1"/>
        <v/>
      </c>
      <c r="T1166" s="39" t="str">
        <f t="shared" si="2"/>
        <v/>
      </c>
      <c r="U1166" s="40" t="str">
        <f t="shared" si="3"/>
        <v/>
      </c>
      <c r="V1166" s="34" t="str">
        <f t="shared" si="4"/>
        <v/>
      </c>
      <c r="W1166" s="41" t="str">
        <f>IFERROR(__xludf.DUMMYFUNCTION(" IF(Account!$F1166&lt;&gt;"""", SPLIT(Account!$F1166, "" ""), """")"),"")</f>
        <v/>
      </c>
      <c r="X1166" s="42"/>
      <c r="Y1166" s="42"/>
      <c r="Z1166" s="42"/>
      <c r="AA1166" s="42"/>
      <c r="AB1166" s="42"/>
      <c r="AC1166" s="42"/>
      <c r="AD1166" s="42"/>
      <c r="AE1166" s="42"/>
      <c r="AF1166" s="42"/>
      <c r="AG1166" s="42"/>
      <c r="AH1166" s="42"/>
      <c r="AI1166" s="42"/>
      <c r="AJ1166" s="42"/>
      <c r="AK1166" s="42"/>
    </row>
    <row r="1167">
      <c r="A1167" s="47"/>
      <c r="B1167" s="48"/>
      <c r="C1167" s="47"/>
      <c r="F1167" s="49"/>
      <c r="G1167" s="45"/>
      <c r="L1167" s="49"/>
      <c r="M1167" s="33" t="str">
        <f>IFERROR(__xludf.DUMMYFUNCTION("IFS(W1167=""Achat"",IFERROR(VALUE(X1167),VALUE(REGEXREPLACE(T(X1167),""[^0-9]"",""""))),W1167=""Vente"",-IFERROR(VALUE(X1167),VALUE(REGEXREPLACE(T(X1167),""[^0-9]"",""""))),Y1167=""Change"",0,Y1167&lt;&gt;""Change"","""")"),"")</f>
        <v/>
      </c>
      <c r="N1167" s="34" t="str">
        <f>IFERROR(__xludf.DUMMYFUNCTION("IF(Account!$F1167&lt;&gt;"""", VALUE(REGEXREPLACE($I1167, ""\,"", ""."")), """")"),"")</f>
        <v/>
      </c>
      <c r="O1167" s="35" t="str">
        <f>IF(Account!$F1167&lt;&gt;"", DATEVALUE(MID($A1167,4,3) &amp; LEFT($A1167,3) &amp; RIGHT($A1167,4)) + TIMEVALUE($B1167), "")</f>
        <v/>
      </c>
      <c r="P1167" s="36" t="str">
        <f>IF(Account!$F1167&lt;&gt;"", DATEVALUE(MID($C1167,4,3) &amp; LEFT($C1167,3) &amp; RIGHT($C1167,4)), "")</f>
        <v/>
      </c>
      <c r="Q1167" s="37" t="str">
        <f t="array" ref="Q1167">IF($R1167&lt;&gt;"",IFERROR(INDEX(ISIN!$B:$B,MATCH($R1167,ISIN!$C:$C,0))),)</f>
        <v/>
      </c>
      <c r="R1167" s="38" t="str">
        <f t="array" ref="R1167">IF($E1167&lt;&gt;"",IFERROR(INDEX(ISIN!$C:$C,MATCH($E1167,ISIN!$A:$A,0)),IFERROR(INDEX($R1168:$R1200,MATCH($K1167,$K1168:$K1200,0)))),IF(AND($Y1167="change",$H1167="EUR"),IF($O1167=$O1168,$R1168,IF($O1167=$O1166,$R1166)),IFERROR(INDEX($R1168:$R1200,MATCH(SUBSTITUTE($I1167,"-","",1),$K1168:$K1200,0)))))</f>
        <v/>
      </c>
      <c r="S1167" s="37" t="str">
        <f t="shared" si="1"/>
        <v/>
      </c>
      <c r="T1167" s="39" t="str">
        <f t="shared" si="2"/>
        <v/>
      </c>
      <c r="U1167" s="40" t="str">
        <f t="shared" si="3"/>
        <v/>
      </c>
      <c r="V1167" s="34" t="str">
        <f t="shared" si="4"/>
        <v/>
      </c>
      <c r="W1167" s="41" t="str">
        <f>IFERROR(__xludf.DUMMYFUNCTION(" IF(Account!$F1167&lt;&gt;"""", SPLIT(Account!$F1167, "" ""), """")"),"")</f>
        <v/>
      </c>
      <c r="X1167" s="42"/>
      <c r="Y1167" s="42"/>
      <c r="Z1167" s="42"/>
      <c r="AA1167" s="42"/>
      <c r="AB1167" s="42"/>
      <c r="AC1167" s="42"/>
      <c r="AD1167" s="42"/>
      <c r="AE1167" s="42"/>
      <c r="AF1167" s="42"/>
      <c r="AG1167" s="42"/>
      <c r="AH1167" s="42"/>
      <c r="AI1167" s="42"/>
      <c r="AJ1167" s="42"/>
      <c r="AK1167" s="42"/>
    </row>
    <row r="1168">
      <c r="A1168" s="47"/>
      <c r="B1168" s="48"/>
      <c r="C1168" s="47"/>
      <c r="F1168" s="49"/>
      <c r="G1168" s="50"/>
      <c r="L1168" s="49"/>
      <c r="M1168" s="33" t="str">
        <f>IFERROR(__xludf.DUMMYFUNCTION("IFS(W1168=""Achat"",IFERROR(VALUE(X1168),VALUE(REGEXREPLACE(T(X1168),""[^0-9]"",""""))),W1168=""Vente"",-IFERROR(VALUE(X1168),VALUE(REGEXREPLACE(T(X1168),""[^0-9]"",""""))),Y1168=""Change"",0,Y1168&lt;&gt;""Change"","""")"),"")</f>
        <v/>
      </c>
      <c r="N1168" s="34" t="str">
        <f>IFERROR(__xludf.DUMMYFUNCTION("IF(Account!$F1168&lt;&gt;"""", VALUE(REGEXREPLACE($I1168, ""\,"", ""."")), """")"),"")</f>
        <v/>
      </c>
      <c r="O1168" s="35" t="str">
        <f>IF(Account!$F1168&lt;&gt;"", DATEVALUE(MID($A1168,4,3) &amp; LEFT($A1168,3) &amp; RIGHT($A1168,4)) + TIMEVALUE($B1168), "")</f>
        <v/>
      </c>
      <c r="P1168" s="36" t="str">
        <f>IF(Account!$F1168&lt;&gt;"", DATEVALUE(MID($C1168,4,3) &amp; LEFT($C1168,3) &amp; RIGHT($C1168,4)), "")</f>
        <v/>
      </c>
      <c r="Q1168" s="37" t="str">
        <f t="array" ref="Q1168">IF($R1168&lt;&gt;"",IFERROR(INDEX(ISIN!$B:$B,MATCH($R1168,ISIN!$C:$C,0))),)</f>
        <v/>
      </c>
      <c r="R1168" s="38" t="str">
        <f t="array" ref="R1168">IF($E1168&lt;&gt;"",IFERROR(INDEX(ISIN!$C:$C,MATCH($E1168,ISIN!$A:$A,0)),IFERROR(INDEX($R1169:$R1200,MATCH($K1168,$K1169:$K1200,0)))),IF(AND($Y1168="change",$H1168="EUR"),IF($O1168=$O1169,$R1169,IF($O1168=$O1167,$R1167)),IFERROR(INDEX($R1169:$R1200,MATCH(SUBSTITUTE($I1168,"-","",1),$K1169:$K1200,0)))))</f>
        <v/>
      </c>
      <c r="S1168" s="37" t="str">
        <f t="shared" si="1"/>
        <v/>
      </c>
      <c r="T1168" s="39" t="str">
        <f t="shared" si="2"/>
        <v/>
      </c>
      <c r="U1168" s="40" t="str">
        <f t="shared" si="3"/>
        <v/>
      </c>
      <c r="V1168" s="34" t="str">
        <f t="shared" si="4"/>
        <v/>
      </c>
      <c r="W1168" s="41" t="str">
        <f>IFERROR(__xludf.DUMMYFUNCTION(" IF(Account!$F1168&lt;&gt;"""", SPLIT(Account!$F1168, "" ""), """")"),"")</f>
        <v/>
      </c>
      <c r="X1168" s="42"/>
      <c r="Y1168" s="42"/>
      <c r="Z1168" s="42"/>
      <c r="AA1168" s="42"/>
      <c r="AB1168" s="42"/>
      <c r="AC1168" s="42"/>
      <c r="AD1168" s="42"/>
      <c r="AE1168" s="42"/>
      <c r="AF1168" s="42"/>
      <c r="AG1168" s="42"/>
      <c r="AH1168" s="42"/>
      <c r="AI1168" s="42"/>
      <c r="AJ1168" s="42"/>
      <c r="AK1168" s="42"/>
    </row>
    <row r="1169">
      <c r="A1169" s="47"/>
      <c r="B1169" s="48"/>
      <c r="C1169" s="47"/>
      <c r="F1169" s="49"/>
      <c r="G1169" s="45"/>
      <c r="L1169" s="49"/>
      <c r="M1169" s="33" t="str">
        <f>IFERROR(__xludf.DUMMYFUNCTION("IFS(W1169=""Achat"",IFERROR(VALUE(X1169),VALUE(REGEXREPLACE(T(X1169),""[^0-9]"",""""))),W1169=""Vente"",-IFERROR(VALUE(X1169),VALUE(REGEXREPLACE(T(X1169),""[^0-9]"",""""))),Y1169=""Change"",0,Y1169&lt;&gt;""Change"","""")"),"")</f>
        <v/>
      </c>
      <c r="N1169" s="34" t="str">
        <f>IFERROR(__xludf.DUMMYFUNCTION("IF(Account!$F1169&lt;&gt;"""", VALUE(REGEXREPLACE($I1169, ""\,"", ""."")), """")"),"")</f>
        <v/>
      </c>
      <c r="O1169" s="35" t="str">
        <f>IF(Account!$F1169&lt;&gt;"", DATEVALUE(MID($A1169,4,3) &amp; LEFT($A1169,3) &amp; RIGHT($A1169,4)) + TIMEVALUE($B1169), "")</f>
        <v/>
      </c>
      <c r="P1169" s="36" t="str">
        <f>IF(Account!$F1169&lt;&gt;"", DATEVALUE(MID($C1169,4,3) &amp; LEFT($C1169,3) &amp; RIGHT($C1169,4)), "")</f>
        <v/>
      </c>
      <c r="Q1169" s="37" t="str">
        <f t="array" ref="Q1169">IF($R1169&lt;&gt;"",IFERROR(INDEX(ISIN!$B:$B,MATCH($R1169,ISIN!$C:$C,0))),)</f>
        <v/>
      </c>
      <c r="R1169" s="38" t="str">
        <f t="array" ref="R1169">IF($E1169&lt;&gt;"",IFERROR(INDEX(ISIN!$C:$C,MATCH($E1169,ISIN!$A:$A,0)),IFERROR(INDEX($R1170:$R1200,MATCH($K1169,$K1170:$K1200,0)))),IF(AND($Y1169="change",$H1169="EUR"),IF($O1169=$O1170,$R1170,IF($O1169=$O1168,$R1168)),IFERROR(INDEX($R1170:$R1200,MATCH(SUBSTITUTE($I1169,"-","",1),$K1170:$K1200,0)))))</f>
        <v/>
      </c>
      <c r="S1169" s="37" t="str">
        <f t="shared" si="1"/>
        <v/>
      </c>
      <c r="T1169" s="39" t="str">
        <f t="shared" si="2"/>
        <v/>
      </c>
      <c r="U1169" s="40" t="str">
        <f t="shared" si="3"/>
        <v/>
      </c>
      <c r="V1169" s="34" t="str">
        <f t="shared" si="4"/>
        <v/>
      </c>
      <c r="W1169" s="41" t="str">
        <f>IFERROR(__xludf.DUMMYFUNCTION(" IF(Account!$F1169&lt;&gt;"""", SPLIT(Account!$F1169, "" ""), """")"),"")</f>
        <v/>
      </c>
      <c r="X1169" s="42"/>
      <c r="Y1169" s="42"/>
      <c r="Z1169" s="42"/>
      <c r="AA1169" s="42"/>
      <c r="AB1169" s="42"/>
      <c r="AC1169" s="42"/>
      <c r="AD1169" s="42"/>
      <c r="AE1169" s="42"/>
      <c r="AF1169" s="42"/>
      <c r="AG1169" s="42"/>
      <c r="AH1169" s="42"/>
      <c r="AI1169" s="42"/>
      <c r="AJ1169" s="42"/>
      <c r="AK1169" s="42"/>
    </row>
    <row r="1170">
      <c r="A1170" s="47"/>
      <c r="B1170" s="48"/>
      <c r="C1170" s="47"/>
      <c r="F1170" s="49"/>
      <c r="G1170" s="45"/>
      <c r="L1170" s="49"/>
      <c r="M1170" s="33" t="str">
        <f>IFERROR(__xludf.DUMMYFUNCTION("IFS(W1170=""Achat"",IFERROR(VALUE(X1170),VALUE(REGEXREPLACE(T(X1170),""[^0-9]"",""""))),W1170=""Vente"",-IFERROR(VALUE(X1170),VALUE(REGEXREPLACE(T(X1170),""[^0-9]"",""""))),Y1170=""Change"",0,Y1170&lt;&gt;""Change"","""")"),"")</f>
        <v/>
      </c>
      <c r="N1170" s="34" t="str">
        <f>IFERROR(__xludf.DUMMYFUNCTION("IF(Account!$F1170&lt;&gt;"""", VALUE(REGEXREPLACE($I1170, ""\,"", ""."")), """")"),"")</f>
        <v/>
      </c>
      <c r="O1170" s="35" t="str">
        <f>IF(Account!$F1170&lt;&gt;"", DATEVALUE(MID($A1170,4,3) &amp; LEFT($A1170,3) &amp; RIGHT($A1170,4)) + TIMEVALUE($B1170), "")</f>
        <v/>
      </c>
      <c r="P1170" s="36" t="str">
        <f>IF(Account!$F1170&lt;&gt;"", DATEVALUE(MID($C1170,4,3) &amp; LEFT($C1170,3) &amp; RIGHT($C1170,4)), "")</f>
        <v/>
      </c>
      <c r="Q1170" s="37" t="str">
        <f t="array" ref="Q1170">IF($R1170&lt;&gt;"",IFERROR(INDEX(ISIN!$B:$B,MATCH($R1170,ISIN!$C:$C,0))),)</f>
        <v/>
      </c>
      <c r="R1170" s="38" t="str">
        <f t="array" ref="R1170">IF($E1170&lt;&gt;"",IFERROR(INDEX(ISIN!$C:$C,MATCH($E1170,ISIN!$A:$A,0)),IFERROR(INDEX($R1171:$R1200,MATCH($K1170,$K1171:$K1200,0)))),IF(AND($Y1170="change",$H1170="EUR"),IF($O1170=$O1171,$R1171,IF($O1170=$O1169,$R1169)),IFERROR(INDEX($R1171:$R1200,MATCH(SUBSTITUTE($I1170,"-","",1),$K1171:$K1200,0)))))</f>
        <v/>
      </c>
      <c r="S1170" s="37" t="str">
        <f t="shared" si="1"/>
        <v/>
      </c>
      <c r="T1170" s="39" t="str">
        <f t="shared" si="2"/>
        <v/>
      </c>
      <c r="U1170" s="40" t="str">
        <f t="shared" si="3"/>
        <v/>
      </c>
      <c r="V1170" s="34" t="str">
        <f t="shared" si="4"/>
        <v/>
      </c>
      <c r="W1170" s="41" t="str">
        <f>IFERROR(__xludf.DUMMYFUNCTION(" IF(Account!$F1170&lt;&gt;"""", SPLIT(Account!$F1170, "" ""), """")"),"")</f>
        <v/>
      </c>
      <c r="X1170" s="42"/>
      <c r="Y1170" s="42"/>
      <c r="Z1170" s="42"/>
      <c r="AA1170" s="42"/>
      <c r="AB1170" s="42"/>
      <c r="AC1170" s="42"/>
      <c r="AD1170" s="42"/>
      <c r="AE1170" s="42"/>
      <c r="AF1170" s="42"/>
      <c r="AG1170" s="42"/>
      <c r="AH1170" s="42"/>
      <c r="AI1170" s="42"/>
      <c r="AJ1170" s="42"/>
      <c r="AK1170" s="42"/>
    </row>
    <row r="1171">
      <c r="A1171" s="47"/>
      <c r="B1171" s="48"/>
      <c r="C1171" s="47"/>
      <c r="F1171" s="49"/>
      <c r="G1171" s="45"/>
      <c r="L1171" s="49"/>
      <c r="M1171" s="33" t="str">
        <f>IFERROR(__xludf.DUMMYFUNCTION("IFS(W1171=""Achat"",IFERROR(VALUE(X1171),VALUE(REGEXREPLACE(T(X1171),""[^0-9]"",""""))),W1171=""Vente"",-IFERROR(VALUE(X1171),VALUE(REGEXREPLACE(T(X1171),""[^0-9]"",""""))),Y1171=""Change"",0,Y1171&lt;&gt;""Change"","""")"),"")</f>
        <v/>
      </c>
      <c r="N1171" s="34" t="str">
        <f>IFERROR(__xludf.DUMMYFUNCTION("IF(Account!$F1171&lt;&gt;"""", VALUE(REGEXREPLACE($I1171, ""\,"", ""."")), """")"),"")</f>
        <v/>
      </c>
      <c r="O1171" s="35" t="str">
        <f>IF(Account!$F1171&lt;&gt;"", DATEVALUE(MID($A1171,4,3) &amp; LEFT($A1171,3) &amp; RIGHT($A1171,4)) + TIMEVALUE($B1171), "")</f>
        <v/>
      </c>
      <c r="P1171" s="36" t="str">
        <f>IF(Account!$F1171&lt;&gt;"", DATEVALUE(MID($C1171,4,3) &amp; LEFT($C1171,3) &amp; RIGHT($C1171,4)), "")</f>
        <v/>
      </c>
      <c r="Q1171" s="37" t="str">
        <f t="array" ref="Q1171">IF($R1171&lt;&gt;"",IFERROR(INDEX(ISIN!$B:$B,MATCH($R1171,ISIN!$C:$C,0))),)</f>
        <v/>
      </c>
      <c r="R1171" s="38" t="str">
        <f t="array" ref="R1171">IF($E1171&lt;&gt;"",IFERROR(INDEX(ISIN!$C:$C,MATCH($E1171,ISIN!$A:$A,0)),IFERROR(INDEX($R1172:$R1200,MATCH($K1171,$K1172:$K1200,0)))),IF(AND($Y1171="change",$H1171="EUR"),IF($O1171=$O1172,$R1172,IF($O1171=$O1170,$R1170)),IFERROR(INDEX($R1172:$R1200,MATCH(SUBSTITUTE($I1171,"-","",1),$K1172:$K1200,0)))))</f>
        <v/>
      </c>
      <c r="S1171" s="37" t="str">
        <f t="shared" si="1"/>
        <v/>
      </c>
      <c r="T1171" s="39" t="str">
        <f t="shared" si="2"/>
        <v/>
      </c>
      <c r="U1171" s="40" t="str">
        <f t="shared" si="3"/>
        <v/>
      </c>
      <c r="V1171" s="34" t="str">
        <f t="shared" si="4"/>
        <v/>
      </c>
      <c r="W1171" s="41" t="str">
        <f>IFERROR(__xludf.DUMMYFUNCTION(" IF(Account!$F1171&lt;&gt;"""", SPLIT(Account!$F1171, "" ""), """")"),"")</f>
        <v/>
      </c>
      <c r="X1171" s="42"/>
      <c r="Y1171" s="42"/>
      <c r="Z1171" s="42"/>
      <c r="AA1171" s="42"/>
      <c r="AB1171" s="42"/>
      <c r="AC1171" s="42"/>
      <c r="AD1171" s="42"/>
      <c r="AE1171" s="42"/>
      <c r="AF1171" s="42"/>
      <c r="AG1171" s="42"/>
      <c r="AH1171" s="42"/>
      <c r="AI1171" s="42"/>
      <c r="AJ1171" s="42"/>
      <c r="AK1171" s="42"/>
    </row>
    <row r="1172">
      <c r="A1172" s="47"/>
      <c r="B1172" s="48"/>
      <c r="C1172" s="47"/>
      <c r="F1172" s="49"/>
      <c r="G1172" s="45"/>
      <c r="L1172" s="49"/>
      <c r="M1172" s="33" t="str">
        <f>IFERROR(__xludf.DUMMYFUNCTION("IFS(W1172=""Achat"",IFERROR(VALUE(X1172),VALUE(REGEXREPLACE(T(X1172),""[^0-9]"",""""))),W1172=""Vente"",-IFERROR(VALUE(X1172),VALUE(REGEXREPLACE(T(X1172),""[^0-9]"",""""))),Y1172=""Change"",0,Y1172&lt;&gt;""Change"","""")"),"")</f>
        <v/>
      </c>
      <c r="N1172" s="34" t="str">
        <f>IFERROR(__xludf.DUMMYFUNCTION("IF(Account!$F1172&lt;&gt;"""", VALUE(REGEXREPLACE($I1172, ""\,"", ""."")), """")"),"")</f>
        <v/>
      </c>
      <c r="O1172" s="35" t="str">
        <f>IF(Account!$F1172&lt;&gt;"", DATEVALUE(MID($A1172,4,3) &amp; LEFT($A1172,3) &amp; RIGHT($A1172,4)) + TIMEVALUE($B1172), "")</f>
        <v/>
      </c>
      <c r="P1172" s="36" t="str">
        <f>IF(Account!$F1172&lt;&gt;"", DATEVALUE(MID($C1172,4,3) &amp; LEFT($C1172,3) &amp; RIGHT($C1172,4)), "")</f>
        <v/>
      </c>
      <c r="Q1172" s="37" t="str">
        <f t="array" ref="Q1172">IF($R1172&lt;&gt;"",IFERROR(INDEX(ISIN!$B:$B,MATCH($R1172,ISIN!$C:$C,0))),)</f>
        <v/>
      </c>
      <c r="R1172" s="38" t="str">
        <f t="array" ref="R1172">IF($E1172&lt;&gt;"",IFERROR(INDEX(ISIN!$C:$C,MATCH($E1172,ISIN!$A:$A,0)),IFERROR(INDEX($R1173:$R1200,MATCH($K1172,$K1173:$K1200,0)))),IF(AND($Y1172="change",$H1172="EUR"),IF($O1172=$O1173,$R1173,IF($O1172=$O1171,$R1171)),IFERROR(INDEX($R1173:$R1200,MATCH(SUBSTITUTE($I1172,"-","",1),$K1173:$K1200,0)))))</f>
        <v/>
      </c>
      <c r="S1172" s="37" t="str">
        <f t="shared" si="1"/>
        <v/>
      </c>
      <c r="T1172" s="39" t="str">
        <f t="shared" si="2"/>
        <v/>
      </c>
      <c r="U1172" s="40" t="str">
        <f t="shared" si="3"/>
        <v/>
      </c>
      <c r="V1172" s="34" t="str">
        <f t="shared" si="4"/>
        <v/>
      </c>
      <c r="W1172" s="41" t="str">
        <f>IFERROR(__xludf.DUMMYFUNCTION(" IF(Account!$F1172&lt;&gt;"""", SPLIT(Account!$F1172, "" ""), """")"),"")</f>
        <v/>
      </c>
      <c r="X1172" s="42"/>
      <c r="Y1172" s="42"/>
      <c r="Z1172" s="42"/>
      <c r="AA1172" s="42"/>
      <c r="AB1172" s="42"/>
      <c r="AC1172" s="42"/>
      <c r="AD1172" s="42"/>
      <c r="AE1172" s="42"/>
      <c r="AF1172" s="42"/>
      <c r="AG1172" s="42"/>
      <c r="AH1172" s="42"/>
      <c r="AI1172" s="42"/>
      <c r="AJ1172" s="42"/>
      <c r="AK1172" s="42"/>
    </row>
    <row r="1173">
      <c r="A1173" s="47"/>
      <c r="B1173" s="48"/>
      <c r="C1173" s="47"/>
      <c r="F1173" s="49"/>
      <c r="G1173" s="45"/>
      <c r="L1173" s="49"/>
      <c r="M1173" s="33" t="str">
        <f>IFERROR(__xludf.DUMMYFUNCTION("IFS(W1173=""Achat"",IFERROR(VALUE(X1173),VALUE(REGEXREPLACE(T(X1173),""[^0-9]"",""""))),W1173=""Vente"",-IFERROR(VALUE(X1173),VALUE(REGEXREPLACE(T(X1173),""[^0-9]"",""""))),Y1173=""Change"",0,Y1173&lt;&gt;""Change"","""")"),"")</f>
        <v/>
      </c>
      <c r="N1173" s="34" t="str">
        <f>IFERROR(__xludf.DUMMYFUNCTION("IF(Account!$F1173&lt;&gt;"""", VALUE(REGEXREPLACE($I1173, ""\,"", ""."")), """")"),"")</f>
        <v/>
      </c>
      <c r="O1173" s="35" t="str">
        <f>IF(Account!$F1173&lt;&gt;"", DATEVALUE(MID($A1173,4,3) &amp; LEFT($A1173,3) &amp; RIGHT($A1173,4)) + TIMEVALUE($B1173), "")</f>
        <v/>
      </c>
      <c r="P1173" s="36" t="str">
        <f>IF(Account!$F1173&lt;&gt;"", DATEVALUE(MID($C1173,4,3) &amp; LEFT($C1173,3) &amp; RIGHT($C1173,4)), "")</f>
        <v/>
      </c>
      <c r="Q1173" s="37" t="str">
        <f t="array" ref="Q1173">IF($R1173&lt;&gt;"",IFERROR(INDEX(ISIN!$B:$B,MATCH($R1173,ISIN!$C:$C,0))),)</f>
        <v/>
      </c>
      <c r="R1173" s="38" t="str">
        <f t="array" ref="R1173">IF($E1173&lt;&gt;"",IFERROR(INDEX(ISIN!$C:$C,MATCH($E1173,ISIN!$A:$A,0)),IFERROR(INDEX($R1174:$R1200,MATCH($K1173,$K1174:$K1200,0)))),IF(AND($Y1173="change",$H1173="EUR"),IF($O1173=$O1174,$R1174,IF($O1173=$O1172,$R1172)),IFERROR(INDEX($R1174:$R1200,MATCH(SUBSTITUTE($I1173,"-","",1),$K1174:$K1200,0)))))</f>
        <v/>
      </c>
      <c r="S1173" s="37" t="str">
        <f t="shared" si="1"/>
        <v/>
      </c>
      <c r="T1173" s="39" t="str">
        <f t="shared" si="2"/>
        <v/>
      </c>
      <c r="U1173" s="40" t="str">
        <f t="shared" si="3"/>
        <v/>
      </c>
      <c r="V1173" s="34" t="str">
        <f t="shared" si="4"/>
        <v/>
      </c>
      <c r="W1173" s="41" t="str">
        <f>IFERROR(__xludf.DUMMYFUNCTION(" IF(Account!$F1173&lt;&gt;"""", SPLIT(Account!$F1173, "" ""), """")"),"")</f>
        <v/>
      </c>
      <c r="X1173" s="42"/>
      <c r="Y1173" s="42"/>
      <c r="Z1173" s="42"/>
      <c r="AA1173" s="42"/>
      <c r="AB1173" s="42"/>
      <c r="AC1173" s="42"/>
      <c r="AD1173" s="42"/>
      <c r="AE1173" s="42"/>
      <c r="AF1173" s="42"/>
      <c r="AG1173" s="42"/>
      <c r="AH1173" s="42"/>
      <c r="AI1173" s="42"/>
      <c r="AJ1173" s="42"/>
      <c r="AK1173" s="42"/>
    </row>
    <row r="1174">
      <c r="A1174" s="47"/>
      <c r="B1174" s="48"/>
      <c r="C1174" s="47"/>
      <c r="F1174" s="49"/>
      <c r="G1174" s="50"/>
      <c r="L1174" s="49"/>
      <c r="M1174" s="33" t="str">
        <f>IFERROR(__xludf.DUMMYFUNCTION("IFS(W1174=""Achat"",IFERROR(VALUE(X1174),VALUE(REGEXREPLACE(T(X1174),""[^0-9]"",""""))),W1174=""Vente"",-IFERROR(VALUE(X1174),VALUE(REGEXREPLACE(T(X1174),""[^0-9]"",""""))),Y1174=""Change"",0,Y1174&lt;&gt;""Change"","""")"),"")</f>
        <v/>
      </c>
      <c r="N1174" s="34" t="str">
        <f>IFERROR(__xludf.DUMMYFUNCTION("IF(Account!$F1174&lt;&gt;"""", VALUE(REGEXREPLACE($I1174, ""\,"", ""."")), """")"),"")</f>
        <v/>
      </c>
      <c r="O1174" s="35" t="str">
        <f>IF(Account!$F1174&lt;&gt;"", DATEVALUE(MID($A1174,4,3) &amp; LEFT($A1174,3) &amp; RIGHT($A1174,4)) + TIMEVALUE($B1174), "")</f>
        <v/>
      </c>
      <c r="P1174" s="36" t="str">
        <f>IF(Account!$F1174&lt;&gt;"", DATEVALUE(MID($C1174,4,3) &amp; LEFT($C1174,3) &amp; RIGHT($C1174,4)), "")</f>
        <v/>
      </c>
      <c r="Q1174" s="37" t="str">
        <f t="array" ref="Q1174">IF($R1174&lt;&gt;"",IFERROR(INDEX(ISIN!$B:$B,MATCH($R1174,ISIN!$C:$C,0))),)</f>
        <v/>
      </c>
      <c r="R1174" s="38" t="str">
        <f t="array" ref="R1174">IF($E1174&lt;&gt;"",IFERROR(INDEX(ISIN!$C:$C,MATCH($E1174,ISIN!$A:$A,0)),IFERROR(INDEX($R1175:$R1200,MATCH($K1174,$K1175:$K1200,0)))),IF(AND($Y1174="change",$H1174="EUR"),IF($O1174=$O1175,$R1175,IF($O1174=$O1173,$R1173)),IFERROR(INDEX($R1175:$R1200,MATCH(SUBSTITUTE($I1174,"-","",1),$K1175:$K1200,0)))))</f>
        <v/>
      </c>
      <c r="S1174" s="37" t="str">
        <f t="shared" si="1"/>
        <v/>
      </c>
      <c r="T1174" s="39" t="str">
        <f t="shared" si="2"/>
        <v/>
      </c>
      <c r="U1174" s="40" t="str">
        <f t="shared" si="3"/>
        <v/>
      </c>
      <c r="V1174" s="34" t="str">
        <f t="shared" si="4"/>
        <v/>
      </c>
      <c r="W1174" s="41" t="str">
        <f>IFERROR(__xludf.DUMMYFUNCTION(" IF(Account!$F1174&lt;&gt;"""", SPLIT(Account!$F1174, "" ""), """")"),"")</f>
        <v/>
      </c>
      <c r="X1174" s="42"/>
      <c r="Y1174" s="42"/>
      <c r="Z1174" s="42"/>
      <c r="AA1174" s="42"/>
      <c r="AB1174" s="42"/>
      <c r="AC1174" s="42"/>
      <c r="AD1174" s="42"/>
      <c r="AE1174" s="42"/>
      <c r="AF1174" s="42"/>
      <c r="AG1174" s="42"/>
      <c r="AH1174" s="42"/>
      <c r="AI1174" s="42"/>
      <c r="AJ1174" s="42"/>
      <c r="AK1174" s="42"/>
    </row>
    <row r="1175">
      <c r="A1175" s="47"/>
      <c r="B1175" s="48"/>
      <c r="C1175" s="47"/>
      <c r="F1175" s="49"/>
      <c r="G1175" s="45"/>
      <c r="L1175" s="49"/>
      <c r="M1175" s="33" t="str">
        <f>IFERROR(__xludf.DUMMYFUNCTION("IFS(W1175=""Achat"",IFERROR(VALUE(X1175),VALUE(REGEXREPLACE(T(X1175),""[^0-9]"",""""))),W1175=""Vente"",-IFERROR(VALUE(X1175),VALUE(REGEXREPLACE(T(X1175),""[^0-9]"",""""))),Y1175=""Change"",0,Y1175&lt;&gt;""Change"","""")"),"")</f>
        <v/>
      </c>
      <c r="N1175" s="34" t="str">
        <f>IFERROR(__xludf.DUMMYFUNCTION("IF(Account!$F1175&lt;&gt;"""", VALUE(REGEXREPLACE($I1175, ""\,"", ""."")), """")"),"")</f>
        <v/>
      </c>
      <c r="O1175" s="35" t="str">
        <f>IF(Account!$F1175&lt;&gt;"", DATEVALUE(MID($A1175,4,3) &amp; LEFT($A1175,3) &amp; RIGHT($A1175,4)) + TIMEVALUE($B1175), "")</f>
        <v/>
      </c>
      <c r="P1175" s="36" t="str">
        <f>IF(Account!$F1175&lt;&gt;"", DATEVALUE(MID($C1175,4,3) &amp; LEFT($C1175,3) &amp; RIGHT($C1175,4)), "")</f>
        <v/>
      </c>
      <c r="Q1175" s="37" t="str">
        <f t="array" ref="Q1175">IF($R1175&lt;&gt;"",IFERROR(INDEX(ISIN!$B:$B,MATCH($R1175,ISIN!$C:$C,0))),)</f>
        <v/>
      </c>
      <c r="R1175" s="38" t="str">
        <f t="array" ref="R1175">IF($E1175&lt;&gt;"",IFERROR(INDEX(ISIN!$C:$C,MATCH($E1175,ISIN!$A:$A,0)),IFERROR(INDEX($R1176:$R1200,MATCH($K1175,$K1176:$K1200,0)))),IF(AND($Y1175="change",$H1175="EUR"),IF($O1175=$O1176,$R1176,IF($O1175=$O1174,$R1174)),IFERROR(INDEX($R1176:$R1200,MATCH(SUBSTITUTE($I1175,"-","",1),$K1176:$K1200,0)))))</f>
        <v/>
      </c>
      <c r="S1175" s="37" t="str">
        <f t="shared" si="1"/>
        <v/>
      </c>
      <c r="T1175" s="39" t="str">
        <f t="shared" si="2"/>
        <v/>
      </c>
      <c r="U1175" s="40" t="str">
        <f t="shared" si="3"/>
        <v/>
      </c>
      <c r="V1175" s="34" t="str">
        <f t="shared" si="4"/>
        <v/>
      </c>
      <c r="W1175" s="41" t="str">
        <f>IFERROR(__xludf.DUMMYFUNCTION(" IF(Account!$F1175&lt;&gt;"""", SPLIT(Account!$F1175, "" ""), """")"),"")</f>
        <v/>
      </c>
      <c r="X1175" s="42"/>
      <c r="Y1175" s="42"/>
      <c r="Z1175" s="42"/>
      <c r="AA1175" s="42"/>
      <c r="AB1175" s="42"/>
      <c r="AC1175" s="42"/>
      <c r="AD1175" s="42"/>
      <c r="AE1175" s="42"/>
      <c r="AF1175" s="42"/>
      <c r="AG1175" s="42"/>
      <c r="AH1175" s="42"/>
      <c r="AI1175" s="42"/>
      <c r="AJ1175" s="42"/>
      <c r="AK1175" s="42"/>
    </row>
    <row r="1176">
      <c r="A1176" s="47"/>
      <c r="B1176" s="48"/>
      <c r="C1176" s="47"/>
      <c r="F1176" s="49"/>
      <c r="G1176" s="50"/>
      <c r="L1176" s="49"/>
      <c r="M1176" s="33" t="str">
        <f>IFERROR(__xludf.DUMMYFUNCTION("IFS(W1176=""Achat"",IFERROR(VALUE(X1176),VALUE(REGEXREPLACE(T(X1176),""[^0-9]"",""""))),W1176=""Vente"",-IFERROR(VALUE(X1176),VALUE(REGEXREPLACE(T(X1176),""[^0-9]"",""""))),Y1176=""Change"",0,Y1176&lt;&gt;""Change"","""")"),"")</f>
        <v/>
      </c>
      <c r="N1176" s="34" t="str">
        <f>IFERROR(__xludf.DUMMYFUNCTION("IF(Account!$F1176&lt;&gt;"""", VALUE(REGEXREPLACE($I1176, ""\,"", ""."")), """")"),"")</f>
        <v/>
      </c>
      <c r="O1176" s="35" t="str">
        <f>IF(Account!$F1176&lt;&gt;"", DATEVALUE(MID($A1176,4,3) &amp; LEFT($A1176,3) &amp; RIGHT($A1176,4)) + TIMEVALUE($B1176), "")</f>
        <v/>
      </c>
      <c r="P1176" s="36" t="str">
        <f>IF(Account!$F1176&lt;&gt;"", DATEVALUE(MID($C1176,4,3) &amp; LEFT($C1176,3) &amp; RIGHT($C1176,4)), "")</f>
        <v/>
      </c>
      <c r="Q1176" s="37" t="str">
        <f t="array" ref="Q1176">IF($R1176&lt;&gt;"",IFERROR(INDEX(ISIN!$B:$B,MATCH($R1176,ISIN!$C:$C,0))),)</f>
        <v/>
      </c>
      <c r="R1176" s="38" t="str">
        <f t="array" ref="R1176">IF($E1176&lt;&gt;"",IFERROR(INDEX(ISIN!$C:$C,MATCH($E1176,ISIN!$A:$A,0)),IFERROR(INDEX($R1177:$R1200,MATCH($K1176,$K1177:$K1200,0)))),IF(AND($Y1176="change",$H1176="EUR"),IF($O1176=$O1177,$R1177,IF($O1176=$O1175,$R1175)),IFERROR(INDEX($R1177:$R1200,MATCH(SUBSTITUTE($I1176,"-","",1),$K1177:$K1200,0)))))</f>
        <v/>
      </c>
      <c r="S1176" s="37" t="str">
        <f t="shared" si="1"/>
        <v/>
      </c>
      <c r="T1176" s="39" t="str">
        <f t="shared" si="2"/>
        <v/>
      </c>
      <c r="U1176" s="40" t="str">
        <f t="shared" si="3"/>
        <v/>
      </c>
      <c r="V1176" s="34" t="str">
        <f t="shared" si="4"/>
        <v/>
      </c>
      <c r="W1176" s="41" t="str">
        <f>IFERROR(__xludf.DUMMYFUNCTION(" IF(Account!$F1176&lt;&gt;"""", SPLIT(Account!$F1176, "" ""), """")"),"")</f>
        <v/>
      </c>
      <c r="X1176" s="42"/>
      <c r="Y1176" s="42"/>
      <c r="Z1176" s="42"/>
      <c r="AA1176" s="42"/>
      <c r="AB1176" s="42"/>
      <c r="AC1176" s="42"/>
      <c r="AD1176" s="42"/>
      <c r="AE1176" s="42"/>
      <c r="AF1176" s="42"/>
      <c r="AG1176" s="42"/>
      <c r="AH1176" s="42"/>
      <c r="AI1176" s="42"/>
      <c r="AJ1176" s="42"/>
      <c r="AK1176" s="42"/>
    </row>
    <row r="1177">
      <c r="A1177" s="47"/>
      <c r="B1177" s="48"/>
      <c r="C1177" s="47"/>
      <c r="F1177" s="49"/>
      <c r="G1177" s="45"/>
      <c r="L1177" s="49"/>
      <c r="M1177" s="33" t="str">
        <f>IFERROR(__xludf.DUMMYFUNCTION("IFS(W1177=""Achat"",IFERROR(VALUE(X1177),VALUE(REGEXREPLACE(T(X1177),""[^0-9]"",""""))),W1177=""Vente"",-IFERROR(VALUE(X1177),VALUE(REGEXREPLACE(T(X1177),""[^0-9]"",""""))),Y1177=""Change"",0,Y1177&lt;&gt;""Change"","""")"),"")</f>
        <v/>
      </c>
      <c r="N1177" s="34" t="str">
        <f>IFERROR(__xludf.DUMMYFUNCTION("IF(Account!$F1177&lt;&gt;"""", VALUE(REGEXREPLACE($I1177, ""\,"", ""."")), """")"),"")</f>
        <v/>
      </c>
      <c r="O1177" s="35" t="str">
        <f>IF(Account!$F1177&lt;&gt;"", DATEVALUE(MID($A1177,4,3) &amp; LEFT($A1177,3) &amp; RIGHT($A1177,4)) + TIMEVALUE($B1177), "")</f>
        <v/>
      </c>
      <c r="P1177" s="36" t="str">
        <f>IF(Account!$F1177&lt;&gt;"", DATEVALUE(MID($C1177,4,3) &amp; LEFT($C1177,3) &amp; RIGHT($C1177,4)), "")</f>
        <v/>
      </c>
      <c r="Q1177" s="37" t="str">
        <f t="array" ref="Q1177">IF($R1177&lt;&gt;"",IFERROR(INDEX(ISIN!$B:$B,MATCH($R1177,ISIN!$C:$C,0))),)</f>
        <v/>
      </c>
      <c r="R1177" s="38" t="str">
        <f t="array" ref="R1177">IF($E1177&lt;&gt;"",IFERROR(INDEX(ISIN!$C:$C,MATCH($E1177,ISIN!$A:$A,0)),IFERROR(INDEX($R1178:$R1200,MATCH($K1177,$K1178:$K1200,0)))),IF(AND($Y1177="change",$H1177="EUR"),IF($O1177=$O1178,$R1178,IF($O1177=$O1176,$R1176)),IFERROR(INDEX($R1178:$R1200,MATCH(SUBSTITUTE($I1177,"-","",1),$K1178:$K1200,0)))))</f>
        <v/>
      </c>
      <c r="S1177" s="37" t="str">
        <f t="shared" si="1"/>
        <v/>
      </c>
      <c r="T1177" s="39" t="str">
        <f t="shared" si="2"/>
        <v/>
      </c>
      <c r="U1177" s="40" t="str">
        <f t="shared" si="3"/>
        <v/>
      </c>
      <c r="V1177" s="34" t="str">
        <f t="shared" si="4"/>
        <v/>
      </c>
      <c r="W1177" s="41" t="str">
        <f>IFERROR(__xludf.DUMMYFUNCTION(" IF(Account!$F1177&lt;&gt;"""", SPLIT(Account!$F1177, "" ""), """")"),"")</f>
        <v/>
      </c>
      <c r="X1177" s="42"/>
      <c r="Y1177" s="42"/>
      <c r="Z1177" s="42"/>
      <c r="AA1177" s="42"/>
      <c r="AB1177" s="42"/>
      <c r="AC1177" s="42"/>
      <c r="AD1177" s="42"/>
      <c r="AE1177" s="42"/>
      <c r="AF1177" s="42"/>
      <c r="AG1177" s="42"/>
      <c r="AH1177" s="42"/>
      <c r="AI1177" s="42"/>
      <c r="AJ1177" s="42"/>
      <c r="AK1177" s="42"/>
    </row>
    <row r="1178">
      <c r="A1178" s="47"/>
      <c r="B1178" s="48"/>
      <c r="C1178" s="47"/>
      <c r="F1178" s="49"/>
      <c r="G1178" s="50"/>
      <c r="L1178" s="49"/>
      <c r="M1178" s="33" t="str">
        <f>IFERROR(__xludf.DUMMYFUNCTION("IFS(W1178=""Achat"",IFERROR(VALUE(X1178),VALUE(REGEXREPLACE(T(X1178),""[^0-9]"",""""))),W1178=""Vente"",-IFERROR(VALUE(X1178),VALUE(REGEXREPLACE(T(X1178),""[^0-9]"",""""))),Y1178=""Change"",0,Y1178&lt;&gt;""Change"","""")"),"")</f>
        <v/>
      </c>
      <c r="N1178" s="34" t="str">
        <f>IFERROR(__xludf.DUMMYFUNCTION("IF(Account!$F1178&lt;&gt;"""", VALUE(REGEXREPLACE($I1178, ""\,"", ""."")), """")"),"")</f>
        <v/>
      </c>
      <c r="O1178" s="35" t="str">
        <f>IF(Account!$F1178&lt;&gt;"", DATEVALUE(MID($A1178,4,3) &amp; LEFT($A1178,3) &amp; RIGHT($A1178,4)) + TIMEVALUE($B1178), "")</f>
        <v/>
      </c>
      <c r="P1178" s="36" t="str">
        <f>IF(Account!$F1178&lt;&gt;"", DATEVALUE(MID($C1178,4,3) &amp; LEFT($C1178,3) &amp; RIGHT($C1178,4)), "")</f>
        <v/>
      </c>
      <c r="Q1178" s="37" t="str">
        <f t="array" ref="Q1178">IF($R1178&lt;&gt;"",IFERROR(INDEX(ISIN!$B:$B,MATCH($R1178,ISIN!$C:$C,0))),)</f>
        <v/>
      </c>
      <c r="R1178" s="38" t="str">
        <f t="array" ref="R1178">IF($E1178&lt;&gt;"",IFERROR(INDEX(ISIN!$C:$C,MATCH($E1178,ISIN!$A:$A,0)),IFERROR(INDEX($R1179:$R1200,MATCH($K1178,$K1179:$K1200,0)))),IF(AND($Y1178="change",$H1178="EUR"),IF($O1178=$O1179,$R1179,IF($O1178=$O1177,$R1177)),IFERROR(INDEX($R1179:$R1200,MATCH(SUBSTITUTE($I1178,"-","",1),$K1179:$K1200,0)))))</f>
        <v/>
      </c>
      <c r="S1178" s="37" t="str">
        <f t="shared" si="1"/>
        <v/>
      </c>
      <c r="T1178" s="39" t="str">
        <f t="shared" si="2"/>
        <v/>
      </c>
      <c r="U1178" s="40" t="str">
        <f t="shared" si="3"/>
        <v/>
      </c>
      <c r="V1178" s="34" t="str">
        <f t="shared" si="4"/>
        <v/>
      </c>
      <c r="W1178" s="41" t="str">
        <f>IFERROR(__xludf.DUMMYFUNCTION(" IF(Account!$F1178&lt;&gt;"""", SPLIT(Account!$F1178, "" ""), """")"),"")</f>
        <v/>
      </c>
      <c r="X1178" s="42"/>
      <c r="Y1178" s="42"/>
      <c r="Z1178" s="42"/>
      <c r="AA1178" s="42"/>
      <c r="AB1178" s="42"/>
      <c r="AC1178" s="42"/>
      <c r="AD1178" s="42"/>
      <c r="AE1178" s="42"/>
      <c r="AF1178" s="42"/>
      <c r="AG1178" s="42"/>
      <c r="AH1178" s="42"/>
      <c r="AI1178" s="42"/>
      <c r="AJ1178" s="42"/>
      <c r="AK1178" s="42"/>
    </row>
    <row r="1179">
      <c r="A1179" s="47"/>
      <c r="B1179" s="48"/>
      <c r="C1179" s="47"/>
      <c r="F1179" s="49"/>
      <c r="G1179" s="45"/>
      <c r="L1179" s="49"/>
      <c r="M1179" s="33" t="str">
        <f>IFERROR(__xludf.DUMMYFUNCTION("IFS(W1179=""Achat"",IFERROR(VALUE(X1179),VALUE(REGEXREPLACE(T(X1179),""[^0-9]"",""""))),W1179=""Vente"",-IFERROR(VALUE(X1179),VALUE(REGEXREPLACE(T(X1179),""[^0-9]"",""""))),Y1179=""Change"",0,Y1179&lt;&gt;""Change"","""")"),"")</f>
        <v/>
      </c>
      <c r="N1179" s="34" t="str">
        <f>IFERROR(__xludf.DUMMYFUNCTION("IF(Account!$F1179&lt;&gt;"""", VALUE(REGEXREPLACE($I1179, ""\,"", ""."")), """")"),"")</f>
        <v/>
      </c>
      <c r="O1179" s="35" t="str">
        <f>IF(Account!$F1179&lt;&gt;"", DATEVALUE(MID($A1179,4,3) &amp; LEFT($A1179,3) &amp; RIGHT($A1179,4)) + TIMEVALUE($B1179), "")</f>
        <v/>
      </c>
      <c r="P1179" s="36" t="str">
        <f>IF(Account!$F1179&lt;&gt;"", DATEVALUE(MID($C1179,4,3) &amp; LEFT($C1179,3) &amp; RIGHT($C1179,4)), "")</f>
        <v/>
      </c>
      <c r="Q1179" s="37" t="str">
        <f t="array" ref="Q1179">IF($R1179&lt;&gt;"",IFERROR(INDEX(ISIN!$B:$B,MATCH($R1179,ISIN!$C:$C,0))),)</f>
        <v/>
      </c>
      <c r="R1179" s="38" t="str">
        <f t="array" ref="R1179">IF($E1179&lt;&gt;"",IFERROR(INDEX(ISIN!$C:$C,MATCH($E1179,ISIN!$A:$A,0)),IFERROR(INDEX($R1180:$R1200,MATCH($K1179,$K1180:$K1200,0)))),IF(AND($Y1179="change",$H1179="EUR"),IF($O1179=$O1180,$R1180,IF($O1179=$O1178,$R1178)),IFERROR(INDEX($R1180:$R1200,MATCH(SUBSTITUTE($I1179,"-","",1),$K1180:$K1200,0)))))</f>
        <v/>
      </c>
      <c r="S1179" s="37" t="str">
        <f t="shared" si="1"/>
        <v/>
      </c>
      <c r="T1179" s="39" t="str">
        <f t="shared" si="2"/>
        <v/>
      </c>
      <c r="U1179" s="40" t="str">
        <f t="shared" si="3"/>
        <v/>
      </c>
      <c r="V1179" s="34" t="str">
        <f t="shared" si="4"/>
        <v/>
      </c>
      <c r="W1179" s="41" t="str">
        <f>IFERROR(__xludf.DUMMYFUNCTION(" IF(Account!$F1179&lt;&gt;"""", SPLIT(Account!$F1179, "" ""), """")"),"")</f>
        <v/>
      </c>
      <c r="X1179" s="42"/>
      <c r="Y1179" s="42"/>
      <c r="Z1179" s="42"/>
      <c r="AA1179" s="42"/>
      <c r="AB1179" s="42"/>
      <c r="AC1179" s="42"/>
      <c r="AD1179" s="42"/>
      <c r="AE1179" s="42"/>
      <c r="AF1179" s="42"/>
      <c r="AG1179" s="42"/>
      <c r="AH1179" s="42"/>
      <c r="AI1179" s="42"/>
      <c r="AJ1179" s="42"/>
      <c r="AK1179" s="42"/>
    </row>
    <row r="1180">
      <c r="A1180" s="47"/>
      <c r="B1180" s="48"/>
      <c r="C1180" s="47"/>
      <c r="F1180" s="49"/>
      <c r="G1180" s="50"/>
      <c r="L1180" s="49"/>
      <c r="M1180" s="33" t="str">
        <f>IFERROR(__xludf.DUMMYFUNCTION("IFS(W1180=""Achat"",IFERROR(VALUE(X1180),VALUE(REGEXREPLACE(T(X1180),""[^0-9]"",""""))),W1180=""Vente"",-IFERROR(VALUE(X1180),VALUE(REGEXREPLACE(T(X1180),""[^0-9]"",""""))),Y1180=""Change"",0,Y1180&lt;&gt;""Change"","""")"),"")</f>
        <v/>
      </c>
      <c r="N1180" s="34" t="str">
        <f>IFERROR(__xludf.DUMMYFUNCTION("IF(Account!$F1180&lt;&gt;"""", VALUE(REGEXREPLACE($I1180, ""\,"", ""."")), """")"),"")</f>
        <v/>
      </c>
      <c r="O1180" s="35" t="str">
        <f>IF(Account!$F1180&lt;&gt;"", DATEVALUE(MID($A1180,4,3) &amp; LEFT($A1180,3) &amp; RIGHT($A1180,4)) + TIMEVALUE($B1180), "")</f>
        <v/>
      </c>
      <c r="P1180" s="36" t="str">
        <f>IF(Account!$F1180&lt;&gt;"", DATEVALUE(MID($C1180,4,3) &amp; LEFT($C1180,3) &amp; RIGHT($C1180,4)), "")</f>
        <v/>
      </c>
      <c r="Q1180" s="37" t="str">
        <f t="array" ref="Q1180">IF($R1180&lt;&gt;"",IFERROR(INDEX(ISIN!$B:$B,MATCH($R1180,ISIN!$C:$C,0))),)</f>
        <v/>
      </c>
      <c r="R1180" s="38" t="str">
        <f t="array" ref="R1180">IF($E1180&lt;&gt;"",IFERROR(INDEX(ISIN!$C:$C,MATCH($E1180,ISIN!$A:$A,0)),IFERROR(INDEX($R1181:$R1200,MATCH($K1180,$K1181:$K1200,0)))),IF(AND($Y1180="change",$H1180="EUR"),IF($O1180=$O1181,$R1181,IF($O1180=$O1179,$R1179)),IFERROR(INDEX($R1181:$R1200,MATCH(SUBSTITUTE($I1180,"-","",1),$K1181:$K1200,0)))))</f>
        <v/>
      </c>
      <c r="S1180" s="37" t="str">
        <f t="shared" si="1"/>
        <v/>
      </c>
      <c r="T1180" s="39" t="str">
        <f t="shared" si="2"/>
        <v/>
      </c>
      <c r="U1180" s="40" t="str">
        <f t="shared" si="3"/>
        <v/>
      </c>
      <c r="V1180" s="34" t="str">
        <f t="shared" si="4"/>
        <v/>
      </c>
      <c r="W1180" s="41" t="str">
        <f>IFERROR(__xludf.DUMMYFUNCTION(" IF(Account!$F1180&lt;&gt;"""", SPLIT(Account!$F1180, "" ""), """")"),"")</f>
        <v/>
      </c>
      <c r="X1180" s="42"/>
      <c r="Y1180" s="42"/>
      <c r="Z1180" s="42"/>
      <c r="AA1180" s="42"/>
      <c r="AB1180" s="42"/>
      <c r="AC1180" s="42"/>
      <c r="AD1180" s="42"/>
      <c r="AE1180" s="42"/>
      <c r="AF1180" s="42"/>
      <c r="AG1180" s="42"/>
      <c r="AH1180" s="42"/>
      <c r="AI1180" s="42"/>
      <c r="AJ1180" s="42"/>
      <c r="AK1180" s="42"/>
    </row>
    <row r="1181">
      <c r="A1181" s="47"/>
      <c r="B1181" s="48"/>
      <c r="C1181" s="47"/>
      <c r="F1181" s="49"/>
      <c r="G1181" s="45"/>
      <c r="L1181" s="49"/>
      <c r="M1181" s="33" t="str">
        <f>IFERROR(__xludf.DUMMYFUNCTION("IFS(W1181=""Achat"",IFERROR(VALUE(X1181),VALUE(REGEXREPLACE(T(X1181),""[^0-9]"",""""))),W1181=""Vente"",-IFERROR(VALUE(X1181),VALUE(REGEXREPLACE(T(X1181),""[^0-9]"",""""))),Y1181=""Change"",0,Y1181&lt;&gt;""Change"","""")"),"")</f>
        <v/>
      </c>
      <c r="N1181" s="34" t="str">
        <f>IFERROR(__xludf.DUMMYFUNCTION("IF(Account!$F1181&lt;&gt;"""", VALUE(REGEXREPLACE($I1181, ""\,"", ""."")), """")"),"")</f>
        <v/>
      </c>
      <c r="O1181" s="35" t="str">
        <f>IF(Account!$F1181&lt;&gt;"", DATEVALUE(MID($A1181,4,3) &amp; LEFT($A1181,3) &amp; RIGHT($A1181,4)) + TIMEVALUE($B1181), "")</f>
        <v/>
      </c>
      <c r="P1181" s="36" t="str">
        <f>IF(Account!$F1181&lt;&gt;"", DATEVALUE(MID($C1181,4,3) &amp; LEFT($C1181,3) &amp; RIGHT($C1181,4)), "")</f>
        <v/>
      </c>
      <c r="Q1181" s="37" t="str">
        <f t="array" ref="Q1181">IF($R1181&lt;&gt;"",IFERROR(INDEX(ISIN!$B:$B,MATCH($R1181,ISIN!$C:$C,0))),)</f>
        <v/>
      </c>
      <c r="R1181" s="38" t="str">
        <f t="array" ref="R1181">IF($E1181&lt;&gt;"",IFERROR(INDEX(ISIN!$C:$C,MATCH($E1181,ISIN!$A:$A,0)),IFERROR(INDEX($R1182:$R1200,MATCH($K1181,$K1182:$K1200,0)))),IF(AND($Y1181="change",$H1181="EUR"),IF($O1181=$O1182,$R1182,IF($O1181=$O1180,$R1180)),IFERROR(INDEX($R1182:$R1200,MATCH(SUBSTITUTE($I1181,"-","",1),$K1182:$K1200,0)))))</f>
        <v/>
      </c>
      <c r="S1181" s="37" t="str">
        <f t="shared" si="1"/>
        <v/>
      </c>
      <c r="T1181" s="39" t="str">
        <f t="shared" si="2"/>
        <v/>
      </c>
      <c r="U1181" s="40" t="str">
        <f t="shared" si="3"/>
        <v/>
      </c>
      <c r="V1181" s="34" t="str">
        <f t="shared" si="4"/>
        <v/>
      </c>
      <c r="W1181" s="41" t="str">
        <f>IFERROR(__xludf.DUMMYFUNCTION(" IF(Account!$F1181&lt;&gt;"""", SPLIT(Account!$F1181, "" ""), """")"),"")</f>
        <v/>
      </c>
      <c r="X1181" s="42"/>
      <c r="Y1181" s="42"/>
      <c r="Z1181" s="42"/>
      <c r="AA1181" s="42"/>
      <c r="AB1181" s="42"/>
      <c r="AC1181" s="42"/>
      <c r="AD1181" s="42"/>
      <c r="AE1181" s="42"/>
      <c r="AF1181" s="42"/>
      <c r="AG1181" s="42"/>
      <c r="AH1181" s="42"/>
      <c r="AI1181" s="42"/>
      <c r="AJ1181" s="42"/>
      <c r="AK1181" s="42"/>
    </row>
    <row r="1182">
      <c r="A1182" s="47"/>
      <c r="B1182" s="48"/>
      <c r="C1182" s="47"/>
      <c r="F1182" s="49"/>
      <c r="G1182" s="50"/>
      <c r="L1182" s="49"/>
      <c r="M1182" s="33" t="str">
        <f>IFERROR(__xludf.DUMMYFUNCTION("IFS(W1182=""Achat"",IFERROR(VALUE(X1182),VALUE(REGEXREPLACE(T(X1182),""[^0-9]"",""""))),W1182=""Vente"",-IFERROR(VALUE(X1182),VALUE(REGEXREPLACE(T(X1182),""[^0-9]"",""""))),Y1182=""Change"",0,Y1182&lt;&gt;""Change"","""")"),"")</f>
        <v/>
      </c>
      <c r="N1182" s="34" t="str">
        <f>IFERROR(__xludf.DUMMYFUNCTION("IF(Account!$F1182&lt;&gt;"""", VALUE(REGEXREPLACE($I1182, ""\,"", ""."")), """")"),"")</f>
        <v/>
      </c>
      <c r="O1182" s="35" t="str">
        <f>IF(Account!$F1182&lt;&gt;"", DATEVALUE(MID($A1182,4,3) &amp; LEFT($A1182,3) &amp; RIGHT($A1182,4)) + TIMEVALUE($B1182), "")</f>
        <v/>
      </c>
      <c r="P1182" s="36" t="str">
        <f>IF(Account!$F1182&lt;&gt;"", DATEVALUE(MID($C1182,4,3) &amp; LEFT($C1182,3) &amp; RIGHT($C1182,4)), "")</f>
        <v/>
      </c>
      <c r="Q1182" s="37" t="str">
        <f t="array" ref="Q1182">IF($R1182&lt;&gt;"",IFERROR(INDEX(ISIN!$B:$B,MATCH($R1182,ISIN!$C:$C,0))),)</f>
        <v/>
      </c>
      <c r="R1182" s="38" t="str">
        <f t="array" ref="R1182">IF($E1182&lt;&gt;"",IFERROR(INDEX(ISIN!$C:$C,MATCH($E1182,ISIN!$A:$A,0)),IFERROR(INDEX($R1183:$R1200,MATCH($K1182,$K1183:$K1200,0)))),IF(AND($Y1182="change",$H1182="EUR"),IF($O1182=$O1183,$R1183,IF($O1182=$O1181,$R1181)),IFERROR(INDEX($R1183:$R1200,MATCH(SUBSTITUTE($I1182,"-","",1),$K1183:$K1200,0)))))</f>
        <v/>
      </c>
      <c r="S1182" s="37" t="str">
        <f t="shared" si="1"/>
        <v/>
      </c>
      <c r="T1182" s="39" t="str">
        <f t="shared" si="2"/>
        <v/>
      </c>
      <c r="U1182" s="40" t="str">
        <f t="shared" si="3"/>
        <v/>
      </c>
      <c r="V1182" s="34" t="str">
        <f t="shared" si="4"/>
        <v/>
      </c>
      <c r="W1182" s="41" t="str">
        <f>IFERROR(__xludf.DUMMYFUNCTION(" IF(Account!$F1182&lt;&gt;"""", SPLIT(Account!$F1182, "" ""), """")"),"")</f>
        <v/>
      </c>
      <c r="X1182" s="42"/>
      <c r="Y1182" s="42"/>
      <c r="Z1182" s="42"/>
      <c r="AA1182" s="42"/>
      <c r="AB1182" s="42"/>
      <c r="AC1182" s="42"/>
      <c r="AD1182" s="42"/>
      <c r="AE1182" s="42"/>
      <c r="AF1182" s="42"/>
      <c r="AG1182" s="42"/>
      <c r="AH1182" s="42"/>
      <c r="AI1182" s="42"/>
      <c r="AJ1182" s="42"/>
      <c r="AK1182" s="42"/>
    </row>
    <row r="1183">
      <c r="A1183" s="47"/>
      <c r="B1183" s="48"/>
      <c r="C1183" s="47"/>
      <c r="F1183" s="49"/>
      <c r="G1183" s="45"/>
      <c r="L1183" s="49"/>
      <c r="M1183" s="33" t="str">
        <f>IFERROR(__xludf.DUMMYFUNCTION("IFS(W1183=""Achat"",IFERROR(VALUE(X1183),VALUE(REGEXREPLACE(T(X1183),""[^0-9]"",""""))),W1183=""Vente"",-IFERROR(VALUE(X1183),VALUE(REGEXREPLACE(T(X1183),""[^0-9]"",""""))),Y1183=""Change"",0,Y1183&lt;&gt;""Change"","""")"),"")</f>
        <v/>
      </c>
      <c r="N1183" s="34" t="str">
        <f>IFERROR(__xludf.DUMMYFUNCTION("IF(Account!$F1183&lt;&gt;"""", VALUE(REGEXREPLACE($I1183, ""\,"", ""."")), """")"),"")</f>
        <v/>
      </c>
      <c r="O1183" s="35" t="str">
        <f>IF(Account!$F1183&lt;&gt;"", DATEVALUE(MID($A1183,4,3) &amp; LEFT($A1183,3) &amp; RIGHT($A1183,4)) + TIMEVALUE($B1183), "")</f>
        <v/>
      </c>
      <c r="P1183" s="36" t="str">
        <f>IF(Account!$F1183&lt;&gt;"", DATEVALUE(MID($C1183,4,3) &amp; LEFT($C1183,3) &amp; RIGHT($C1183,4)), "")</f>
        <v/>
      </c>
      <c r="Q1183" s="37" t="str">
        <f t="array" ref="Q1183">IF($R1183&lt;&gt;"",IFERROR(INDEX(ISIN!$B:$B,MATCH($R1183,ISIN!$C:$C,0))),)</f>
        <v/>
      </c>
      <c r="R1183" s="38" t="str">
        <f t="array" ref="R1183">IF($E1183&lt;&gt;"",IFERROR(INDEX(ISIN!$C:$C,MATCH($E1183,ISIN!$A:$A,0)),IFERROR(INDEX($R1184:$R1200,MATCH($K1183,$K1184:$K1200,0)))),IF(AND($Y1183="change",$H1183="EUR"),IF($O1183=$O1184,$R1184,IF($O1183=$O1182,$R1182)),IFERROR(INDEX($R1184:$R1200,MATCH(SUBSTITUTE($I1183,"-","",1),$K1184:$K1200,0)))))</f>
        <v/>
      </c>
      <c r="S1183" s="37" t="str">
        <f t="shared" si="1"/>
        <v/>
      </c>
      <c r="T1183" s="39" t="str">
        <f t="shared" si="2"/>
        <v/>
      </c>
      <c r="U1183" s="40" t="str">
        <f t="shared" si="3"/>
        <v/>
      </c>
      <c r="V1183" s="34" t="str">
        <f t="shared" si="4"/>
        <v/>
      </c>
      <c r="W1183" s="41" t="str">
        <f>IFERROR(__xludf.DUMMYFUNCTION(" IF(Account!$F1183&lt;&gt;"""", SPLIT(Account!$F1183, "" ""), """")"),"")</f>
        <v/>
      </c>
      <c r="X1183" s="42"/>
      <c r="Y1183" s="42"/>
      <c r="Z1183" s="42"/>
      <c r="AA1183" s="42"/>
      <c r="AB1183" s="42"/>
      <c r="AC1183" s="42"/>
      <c r="AD1183" s="42"/>
      <c r="AE1183" s="42"/>
      <c r="AF1183" s="42"/>
      <c r="AG1183" s="42"/>
      <c r="AH1183" s="42"/>
      <c r="AI1183" s="42"/>
      <c r="AJ1183" s="42"/>
      <c r="AK1183" s="42"/>
    </row>
    <row r="1184">
      <c r="A1184" s="45"/>
      <c r="B1184" s="45"/>
      <c r="C1184" s="45"/>
      <c r="D1184" s="45"/>
      <c r="E1184" s="45"/>
      <c r="F1184" s="46"/>
      <c r="G1184" s="45"/>
      <c r="H1184" s="45"/>
      <c r="I1184" s="45"/>
      <c r="J1184" s="45"/>
      <c r="K1184" s="45"/>
      <c r="L1184" s="49"/>
      <c r="M1184" s="33" t="str">
        <f>IFERROR(__xludf.DUMMYFUNCTION("IFS(W1184=""Achat"",IFERROR(VALUE(X1184),VALUE(REGEXREPLACE(T(X1184),""[^0-9]"",""""))),W1184=""Vente"",-IFERROR(VALUE(X1184),VALUE(REGEXREPLACE(T(X1184),""[^0-9]"",""""))),Y1184=""Change"",0,Y1184&lt;&gt;""Change"","""")"),"")</f>
        <v/>
      </c>
      <c r="N1184" s="34" t="str">
        <f>IFERROR(__xludf.DUMMYFUNCTION("IF(Account!$F1184&lt;&gt;"""", VALUE(REGEXREPLACE($I1184, ""\,"", ""."")), """")"),"")</f>
        <v/>
      </c>
      <c r="O1184" s="35" t="str">
        <f>IF(Account!$F1184&lt;&gt;"", DATEVALUE(MID($A1184,4,3) &amp; LEFT($A1184,3) &amp; RIGHT($A1184,4)) + TIMEVALUE($B1184), "")</f>
        <v/>
      </c>
      <c r="P1184" s="36" t="str">
        <f>IF(Account!$F1184&lt;&gt;"", DATEVALUE(MID($C1184,4,3) &amp; LEFT($C1184,3) &amp; RIGHT($C1184,4)), "")</f>
        <v/>
      </c>
      <c r="Q1184" s="37" t="str">
        <f t="array" ref="Q1184">IF($R1184&lt;&gt;"",IFERROR(INDEX(ISIN!$B:$B,MATCH($R1184,ISIN!$C:$C,0))),)</f>
        <v/>
      </c>
      <c r="R1184" s="38" t="str">
        <f t="array" ref="R1184">IF($E1184&lt;&gt;"",IFERROR(INDEX(ISIN!$C:$C,MATCH($E1184,ISIN!$A:$A,0)),IFERROR(INDEX($R1185:$R1200,MATCH($K1184,$K1185:$K1200,0)))),IF(AND($Y1184="change",$H1184="EUR"),IF($O1184=$O1185,$R1185,IF($O1184=$O1183,$R1183)),IFERROR(INDEX($R1185:$R1200,MATCH(SUBSTITUTE($I1184,"-","",1),$K1185:$K1200,0)))))</f>
        <v/>
      </c>
      <c r="S1184" s="37" t="str">
        <f t="shared" si="1"/>
        <v/>
      </c>
      <c r="T1184" s="39" t="str">
        <f t="shared" si="2"/>
        <v/>
      </c>
      <c r="U1184" s="40" t="str">
        <f t="shared" si="3"/>
        <v/>
      </c>
      <c r="V1184" s="34" t="str">
        <f t="shared" si="4"/>
        <v/>
      </c>
      <c r="W1184" s="41" t="str">
        <f>IFERROR(__xludf.DUMMYFUNCTION(" IF(Account!$F1184&lt;&gt;"""", SPLIT(Account!$F1184, "" ""), """")"),"")</f>
        <v/>
      </c>
      <c r="X1184" s="42"/>
      <c r="Y1184" s="42"/>
      <c r="Z1184" s="42"/>
      <c r="AA1184" s="42"/>
      <c r="AB1184" s="42"/>
      <c r="AC1184" s="42"/>
      <c r="AD1184" s="42"/>
      <c r="AE1184" s="42"/>
      <c r="AF1184" s="42"/>
      <c r="AG1184" s="42"/>
      <c r="AH1184" s="42"/>
      <c r="AI1184" s="42"/>
      <c r="AJ1184" s="42"/>
      <c r="AK1184" s="42"/>
    </row>
    <row r="1185">
      <c r="A1185" s="47"/>
      <c r="B1185" s="48"/>
      <c r="C1185" s="47"/>
      <c r="F1185" s="49"/>
      <c r="G1185" s="50"/>
      <c r="L1185" s="49"/>
      <c r="M1185" s="33" t="str">
        <f>IFERROR(__xludf.DUMMYFUNCTION("IFS(W1185=""Achat"",IFERROR(VALUE(X1185),VALUE(REGEXREPLACE(T(X1185),""[^0-9]"",""""))),W1185=""Vente"",-IFERROR(VALUE(X1185),VALUE(REGEXREPLACE(T(X1185),""[^0-9]"",""""))),Y1185=""Change"",0,Y1185&lt;&gt;""Change"","""")"),"")</f>
        <v/>
      </c>
      <c r="N1185" s="34" t="str">
        <f>IFERROR(__xludf.DUMMYFUNCTION("IF(Account!$F1185&lt;&gt;"""", VALUE(REGEXREPLACE($I1185, ""\,"", ""."")), """")"),"")</f>
        <v/>
      </c>
      <c r="O1185" s="35" t="str">
        <f>IF(Account!$F1185&lt;&gt;"", DATEVALUE(MID($A1185,4,3) &amp; LEFT($A1185,3) &amp; RIGHT($A1185,4)) + TIMEVALUE($B1185), "")</f>
        <v/>
      </c>
      <c r="P1185" s="36" t="str">
        <f>IF(Account!$F1185&lt;&gt;"", DATEVALUE(MID($C1185,4,3) &amp; LEFT($C1185,3) &amp; RIGHT($C1185,4)), "")</f>
        <v/>
      </c>
      <c r="Q1185" s="37" t="str">
        <f t="array" ref="Q1185">IF($R1185&lt;&gt;"",IFERROR(INDEX(ISIN!$B:$B,MATCH($R1185,ISIN!$C:$C,0))),)</f>
        <v/>
      </c>
      <c r="R1185" s="38" t="str">
        <f t="array" ref="R1185">IF($E1185&lt;&gt;"",IFERROR(INDEX(ISIN!$C:$C,MATCH($E1185,ISIN!$A:$A,0)),IFERROR(INDEX($R1186:$R1200,MATCH($K1185,$K1186:$K1200,0)))),IF(AND($Y1185="change",$H1185="EUR"),IF($O1185=$O1186,$R1186,IF($O1185=$O1184,$R1184)),IFERROR(INDEX($R1186:$R1200,MATCH(SUBSTITUTE($I1185,"-","",1),$K1186:$K1200,0)))))</f>
        <v/>
      </c>
      <c r="S1185" s="37" t="str">
        <f t="shared" si="1"/>
        <v/>
      </c>
      <c r="T1185" s="39" t="str">
        <f t="shared" si="2"/>
        <v/>
      </c>
      <c r="U1185" s="40" t="str">
        <f t="shared" si="3"/>
        <v/>
      </c>
      <c r="V1185" s="34" t="str">
        <f t="shared" si="4"/>
        <v/>
      </c>
      <c r="W1185" s="41" t="str">
        <f>IFERROR(__xludf.DUMMYFUNCTION(" IF(Account!$F1185&lt;&gt;"""", SPLIT(Account!$F1185, "" ""), """")"),"")</f>
        <v/>
      </c>
      <c r="X1185" s="42"/>
      <c r="Y1185" s="42"/>
      <c r="Z1185" s="42"/>
      <c r="AA1185" s="42"/>
      <c r="AB1185" s="42"/>
      <c r="AC1185" s="42"/>
      <c r="AD1185" s="42"/>
      <c r="AE1185" s="42"/>
      <c r="AF1185" s="42"/>
      <c r="AG1185" s="42"/>
      <c r="AH1185" s="42"/>
      <c r="AI1185" s="42"/>
      <c r="AJ1185" s="42"/>
      <c r="AK1185" s="42"/>
    </row>
    <row r="1186">
      <c r="A1186" s="47"/>
      <c r="B1186" s="48"/>
      <c r="C1186" s="47"/>
      <c r="F1186" s="49"/>
      <c r="G1186" s="45"/>
      <c r="L1186" s="49"/>
      <c r="M1186" s="33" t="str">
        <f>IFERROR(__xludf.DUMMYFUNCTION("IFS(W1186=""Achat"",IFERROR(VALUE(X1186),VALUE(REGEXREPLACE(T(X1186),""[^0-9]"",""""))),W1186=""Vente"",-IFERROR(VALUE(X1186),VALUE(REGEXREPLACE(T(X1186),""[^0-9]"",""""))),Y1186=""Change"",0,Y1186&lt;&gt;""Change"","""")"),"")</f>
        <v/>
      </c>
      <c r="N1186" s="34" t="str">
        <f>IFERROR(__xludf.DUMMYFUNCTION("IF(Account!$F1186&lt;&gt;"""", VALUE(REGEXREPLACE($I1186, ""\,"", ""."")), """")"),"")</f>
        <v/>
      </c>
      <c r="O1186" s="35" t="str">
        <f>IF(Account!$F1186&lt;&gt;"", DATEVALUE(MID($A1186,4,3) &amp; LEFT($A1186,3) &amp; RIGHT($A1186,4)) + TIMEVALUE($B1186), "")</f>
        <v/>
      </c>
      <c r="P1186" s="36" t="str">
        <f>IF(Account!$F1186&lt;&gt;"", DATEVALUE(MID($C1186,4,3) &amp; LEFT($C1186,3) &amp; RIGHT($C1186,4)), "")</f>
        <v/>
      </c>
      <c r="Q1186" s="37" t="str">
        <f t="array" ref="Q1186">IF($R1186&lt;&gt;"",IFERROR(INDEX(ISIN!$B:$B,MATCH($R1186,ISIN!$C:$C,0))),)</f>
        <v/>
      </c>
      <c r="R1186" s="38" t="str">
        <f t="array" ref="R1186">IF($E1186&lt;&gt;"",IFERROR(INDEX(ISIN!$C:$C,MATCH($E1186,ISIN!$A:$A,0)),IFERROR(INDEX($R1187:$R1200,MATCH($K1186,$K1187:$K1200,0)))),IF(AND($Y1186="change",$H1186="EUR"),IF($O1186=$O1187,$R1187,IF($O1186=$O1185,$R1185)),IFERROR(INDEX($R1187:$R1200,MATCH(SUBSTITUTE($I1186,"-","",1),$K1187:$K1200,0)))))</f>
        <v/>
      </c>
      <c r="S1186" s="37" t="str">
        <f t="shared" si="1"/>
        <v/>
      </c>
      <c r="T1186" s="39" t="str">
        <f t="shared" si="2"/>
        <v/>
      </c>
      <c r="U1186" s="40" t="str">
        <f t="shared" si="3"/>
        <v/>
      </c>
      <c r="V1186" s="34" t="str">
        <f t="shared" si="4"/>
        <v/>
      </c>
      <c r="W1186" s="41" t="str">
        <f>IFERROR(__xludf.DUMMYFUNCTION(" IF(Account!$F1186&lt;&gt;"""", SPLIT(Account!$F1186, "" ""), """")"),"")</f>
        <v/>
      </c>
      <c r="X1186" s="42"/>
      <c r="Y1186" s="42"/>
      <c r="Z1186" s="42"/>
      <c r="AA1186" s="42"/>
      <c r="AB1186" s="42"/>
      <c r="AC1186" s="42"/>
      <c r="AD1186" s="42"/>
      <c r="AE1186" s="42"/>
      <c r="AF1186" s="42"/>
      <c r="AG1186" s="42"/>
      <c r="AH1186" s="42"/>
      <c r="AI1186" s="42"/>
      <c r="AJ1186" s="42"/>
      <c r="AK1186" s="42"/>
    </row>
    <row r="1187">
      <c r="A1187" s="47"/>
      <c r="B1187" s="48"/>
      <c r="C1187" s="47"/>
      <c r="F1187" s="49"/>
      <c r="G1187" s="45"/>
      <c r="L1187" s="49"/>
      <c r="M1187" s="33" t="str">
        <f>IFERROR(__xludf.DUMMYFUNCTION("IFS(W1187=""Achat"",IFERROR(VALUE(X1187),VALUE(REGEXREPLACE(T(X1187),""[^0-9]"",""""))),W1187=""Vente"",-IFERROR(VALUE(X1187),VALUE(REGEXREPLACE(T(X1187),""[^0-9]"",""""))),Y1187=""Change"",0,Y1187&lt;&gt;""Change"","""")"),"")</f>
        <v/>
      </c>
      <c r="N1187" s="34" t="str">
        <f>IFERROR(__xludf.DUMMYFUNCTION("IF(Account!$F1187&lt;&gt;"""", VALUE(REGEXREPLACE($I1187, ""\,"", ""."")), """")"),"")</f>
        <v/>
      </c>
      <c r="O1187" s="35" t="str">
        <f>IF(Account!$F1187&lt;&gt;"", DATEVALUE(MID($A1187,4,3) &amp; LEFT($A1187,3) &amp; RIGHT($A1187,4)) + TIMEVALUE($B1187), "")</f>
        <v/>
      </c>
      <c r="P1187" s="36" t="str">
        <f>IF(Account!$F1187&lt;&gt;"", DATEVALUE(MID($C1187,4,3) &amp; LEFT($C1187,3) &amp; RIGHT($C1187,4)), "")</f>
        <v/>
      </c>
      <c r="Q1187" s="37" t="str">
        <f t="array" ref="Q1187">IF($R1187&lt;&gt;"",IFERROR(INDEX(ISIN!$B:$B,MATCH($R1187,ISIN!$C:$C,0))),)</f>
        <v/>
      </c>
      <c r="R1187" s="38" t="str">
        <f t="array" ref="R1187">IF($E1187&lt;&gt;"",IFERROR(INDEX(ISIN!$C:$C,MATCH($E1187,ISIN!$A:$A,0)),IFERROR(INDEX($R1188:$R1200,MATCH($K1187,$K1188:$K1200,0)))),IF(AND($Y1187="change",$H1187="EUR"),IF($O1187=$O1188,$R1188,IF($O1187=$O1186,$R1186)),IFERROR(INDEX($R1188:$R1200,MATCH(SUBSTITUTE($I1187,"-","",1),$K1188:$K1200,0)))))</f>
        <v/>
      </c>
      <c r="S1187" s="37" t="str">
        <f t="shared" si="1"/>
        <v/>
      </c>
      <c r="T1187" s="39" t="str">
        <f t="shared" si="2"/>
        <v/>
      </c>
      <c r="U1187" s="40" t="str">
        <f t="shared" si="3"/>
        <v/>
      </c>
      <c r="V1187" s="34" t="str">
        <f t="shared" si="4"/>
        <v/>
      </c>
      <c r="W1187" s="41" t="str">
        <f>IFERROR(__xludf.DUMMYFUNCTION(" IF(Account!$F1187&lt;&gt;"""", SPLIT(Account!$F1187, "" ""), """")"),"")</f>
        <v/>
      </c>
      <c r="X1187" s="42"/>
      <c r="Y1187" s="42"/>
      <c r="Z1187" s="42"/>
      <c r="AA1187" s="42"/>
      <c r="AB1187" s="42"/>
      <c r="AC1187" s="42"/>
      <c r="AD1187" s="42"/>
      <c r="AE1187" s="42"/>
      <c r="AF1187" s="42"/>
      <c r="AG1187" s="42"/>
      <c r="AH1187" s="42"/>
      <c r="AI1187" s="42"/>
      <c r="AJ1187" s="42"/>
      <c r="AK1187" s="42"/>
    </row>
    <row r="1188">
      <c r="A1188" s="47"/>
      <c r="B1188" s="48"/>
      <c r="C1188" s="47"/>
      <c r="F1188" s="49"/>
      <c r="G1188" s="45"/>
      <c r="L1188" s="49"/>
      <c r="M1188" s="33" t="str">
        <f>IFERROR(__xludf.DUMMYFUNCTION("IFS(W1188=""Achat"",IFERROR(VALUE(X1188),VALUE(REGEXREPLACE(T(X1188),""[^0-9]"",""""))),W1188=""Vente"",-IFERROR(VALUE(X1188),VALUE(REGEXREPLACE(T(X1188),""[^0-9]"",""""))),Y1188=""Change"",0,Y1188&lt;&gt;""Change"","""")"),"")</f>
        <v/>
      </c>
      <c r="N1188" s="34" t="str">
        <f>IFERROR(__xludf.DUMMYFUNCTION("IF(Account!$F1188&lt;&gt;"""", VALUE(REGEXREPLACE($I1188, ""\,"", ""."")), """")"),"")</f>
        <v/>
      </c>
      <c r="O1188" s="35" t="str">
        <f>IF(Account!$F1188&lt;&gt;"", DATEVALUE(MID($A1188,4,3) &amp; LEFT($A1188,3) &amp; RIGHT($A1188,4)) + TIMEVALUE($B1188), "")</f>
        <v/>
      </c>
      <c r="P1188" s="36" t="str">
        <f>IF(Account!$F1188&lt;&gt;"", DATEVALUE(MID($C1188,4,3) &amp; LEFT($C1188,3) &amp; RIGHT($C1188,4)), "")</f>
        <v/>
      </c>
      <c r="Q1188" s="37" t="str">
        <f t="array" ref="Q1188">IF($R1188&lt;&gt;"",IFERROR(INDEX(ISIN!$B:$B,MATCH($R1188,ISIN!$C:$C,0))),)</f>
        <v/>
      </c>
      <c r="R1188" s="38" t="str">
        <f t="array" ref="R1188">IF($E1188&lt;&gt;"",IFERROR(INDEX(ISIN!$C:$C,MATCH($E1188,ISIN!$A:$A,0)),IFERROR(INDEX($R1189:$R1200,MATCH($K1188,$K1189:$K1200,0)))),IF(AND($Y1188="change",$H1188="EUR"),IF($O1188=$O1189,$R1189,IF($O1188=$O1187,$R1187)),IFERROR(INDEX($R1189:$R1200,MATCH(SUBSTITUTE($I1188,"-","",1),$K1189:$K1200,0)))))</f>
        <v/>
      </c>
      <c r="S1188" s="37" t="str">
        <f t="shared" si="1"/>
        <v/>
      </c>
      <c r="T1188" s="39" t="str">
        <f t="shared" si="2"/>
        <v/>
      </c>
      <c r="U1188" s="40" t="str">
        <f t="shared" si="3"/>
        <v/>
      </c>
      <c r="V1188" s="34" t="str">
        <f t="shared" si="4"/>
        <v/>
      </c>
      <c r="W1188" s="41" t="str">
        <f>IFERROR(__xludf.DUMMYFUNCTION(" IF(Account!$F1188&lt;&gt;"""", SPLIT(Account!$F1188, "" ""), """")"),"")</f>
        <v/>
      </c>
      <c r="X1188" s="42"/>
      <c r="Y1188" s="42"/>
      <c r="Z1188" s="42"/>
      <c r="AA1188" s="42"/>
      <c r="AB1188" s="42"/>
      <c r="AC1188" s="42"/>
      <c r="AD1188" s="42"/>
      <c r="AE1188" s="42"/>
      <c r="AF1188" s="42"/>
      <c r="AG1188" s="42"/>
      <c r="AH1188" s="42"/>
      <c r="AI1188" s="42"/>
      <c r="AJ1188" s="42"/>
      <c r="AK1188" s="42"/>
    </row>
    <row r="1189">
      <c r="A1189" s="47"/>
      <c r="B1189" s="48"/>
      <c r="C1189" s="47"/>
      <c r="F1189" s="49"/>
      <c r="G1189" s="45"/>
      <c r="L1189" s="49"/>
      <c r="M1189" s="33" t="str">
        <f>IFERROR(__xludf.DUMMYFUNCTION("IFS(W1189=""Achat"",IFERROR(VALUE(X1189),VALUE(REGEXREPLACE(T(X1189),""[^0-9]"",""""))),W1189=""Vente"",-IFERROR(VALUE(X1189),VALUE(REGEXREPLACE(T(X1189),""[^0-9]"",""""))),Y1189=""Change"",0,Y1189&lt;&gt;""Change"","""")"),"")</f>
        <v/>
      </c>
      <c r="N1189" s="34" t="str">
        <f>IFERROR(__xludf.DUMMYFUNCTION("IF(Account!$F1189&lt;&gt;"""", VALUE(REGEXREPLACE($I1189, ""\,"", ""."")), """")"),"")</f>
        <v/>
      </c>
      <c r="O1189" s="35" t="str">
        <f>IF(Account!$F1189&lt;&gt;"", DATEVALUE(MID($A1189,4,3) &amp; LEFT($A1189,3) &amp; RIGHT($A1189,4)) + TIMEVALUE($B1189), "")</f>
        <v/>
      </c>
      <c r="P1189" s="36" t="str">
        <f>IF(Account!$F1189&lt;&gt;"", DATEVALUE(MID($C1189,4,3) &amp; LEFT($C1189,3) &amp; RIGHT($C1189,4)), "")</f>
        <v/>
      </c>
      <c r="Q1189" s="37" t="str">
        <f t="array" ref="Q1189">IF($R1189&lt;&gt;"",IFERROR(INDEX(ISIN!$B:$B,MATCH($R1189,ISIN!$C:$C,0))),)</f>
        <v/>
      </c>
      <c r="R1189" s="38" t="str">
        <f t="array" ref="R1189">IF($E1189&lt;&gt;"",IFERROR(INDEX(ISIN!$C:$C,MATCH($E1189,ISIN!$A:$A,0)),IFERROR(INDEX($R1190:$R1200,MATCH($K1189,$K1190:$K1200,0)))),IF(AND($Y1189="change",$H1189="EUR"),IF($O1189=$O1190,$R1190,IF($O1189=$O1188,$R1188)),IFERROR(INDEX($R1190:$R1200,MATCH(SUBSTITUTE($I1189,"-","",1),$K1190:$K1200,0)))))</f>
        <v/>
      </c>
      <c r="S1189" s="37" t="str">
        <f t="shared" si="1"/>
        <v/>
      </c>
      <c r="T1189" s="39" t="str">
        <f t="shared" si="2"/>
        <v/>
      </c>
      <c r="U1189" s="40" t="str">
        <f t="shared" si="3"/>
        <v/>
      </c>
      <c r="V1189" s="34" t="str">
        <f t="shared" si="4"/>
        <v/>
      </c>
      <c r="W1189" s="41" t="str">
        <f>IFERROR(__xludf.DUMMYFUNCTION(" IF(Account!$F1189&lt;&gt;"""", SPLIT(Account!$F1189, "" ""), """")"),"")</f>
        <v/>
      </c>
      <c r="X1189" s="42"/>
      <c r="Y1189" s="42"/>
      <c r="Z1189" s="42"/>
      <c r="AA1189" s="42"/>
      <c r="AB1189" s="42"/>
      <c r="AC1189" s="42"/>
      <c r="AD1189" s="42"/>
      <c r="AE1189" s="42"/>
      <c r="AF1189" s="42"/>
      <c r="AG1189" s="42"/>
      <c r="AH1189" s="42"/>
      <c r="AI1189" s="42"/>
      <c r="AJ1189" s="42"/>
      <c r="AK1189" s="42"/>
    </row>
    <row r="1190">
      <c r="A1190" s="47"/>
      <c r="B1190" s="48"/>
      <c r="C1190" s="47"/>
      <c r="F1190" s="49"/>
      <c r="G1190" s="45"/>
      <c r="L1190" s="49"/>
      <c r="M1190" s="33" t="str">
        <f>IFERROR(__xludf.DUMMYFUNCTION("IFS(W1190=""Achat"",IFERROR(VALUE(X1190),VALUE(REGEXREPLACE(T(X1190),""[^0-9]"",""""))),W1190=""Vente"",-IFERROR(VALUE(X1190),VALUE(REGEXREPLACE(T(X1190),""[^0-9]"",""""))),Y1190=""Change"",0,Y1190&lt;&gt;""Change"","""")"),"")</f>
        <v/>
      </c>
      <c r="N1190" s="34" t="str">
        <f>IFERROR(__xludf.DUMMYFUNCTION("IF(Account!$F1190&lt;&gt;"""", VALUE(REGEXREPLACE($I1190, ""\,"", ""."")), """")"),"")</f>
        <v/>
      </c>
      <c r="O1190" s="35" t="str">
        <f>IF(Account!$F1190&lt;&gt;"", DATEVALUE(MID($A1190,4,3) &amp; LEFT($A1190,3) &amp; RIGHT($A1190,4)) + TIMEVALUE($B1190), "")</f>
        <v/>
      </c>
      <c r="P1190" s="36" t="str">
        <f>IF(Account!$F1190&lt;&gt;"", DATEVALUE(MID($C1190,4,3) &amp; LEFT($C1190,3) &amp; RIGHT($C1190,4)), "")</f>
        <v/>
      </c>
      <c r="Q1190" s="37" t="str">
        <f t="array" ref="Q1190">IF($R1190&lt;&gt;"",IFERROR(INDEX(ISIN!$B:$B,MATCH($R1190,ISIN!$C:$C,0))),)</f>
        <v/>
      </c>
      <c r="R1190" s="38" t="str">
        <f t="array" ref="R1190">IF($E1190&lt;&gt;"",IFERROR(INDEX(ISIN!$C:$C,MATCH($E1190,ISIN!$A:$A,0)),IFERROR(INDEX($R1191:$R1200,MATCH($K1190,$K1191:$K1200,0)))),IF(AND($Y1190="change",$H1190="EUR"),IF($O1190=$O1191,$R1191,IF($O1190=$O1189,$R1189)),IFERROR(INDEX($R1191:$R1200,MATCH(SUBSTITUTE($I1190,"-","",1),$K1191:$K1200,0)))))</f>
        <v/>
      </c>
      <c r="S1190" s="37" t="str">
        <f t="shared" si="1"/>
        <v/>
      </c>
      <c r="T1190" s="39" t="str">
        <f t="shared" si="2"/>
        <v/>
      </c>
      <c r="U1190" s="40" t="str">
        <f t="shared" si="3"/>
        <v/>
      </c>
      <c r="V1190" s="34" t="str">
        <f t="shared" si="4"/>
        <v/>
      </c>
      <c r="W1190" s="41" t="str">
        <f>IFERROR(__xludf.DUMMYFUNCTION(" IF(Account!$F1190&lt;&gt;"""", SPLIT(Account!$F1190, "" ""), """")"),"")</f>
        <v/>
      </c>
      <c r="X1190" s="42"/>
      <c r="Y1190" s="42"/>
      <c r="Z1190" s="42"/>
      <c r="AA1190" s="42"/>
      <c r="AB1190" s="42"/>
      <c r="AC1190" s="42"/>
      <c r="AD1190" s="42"/>
      <c r="AE1190" s="42"/>
      <c r="AF1190" s="42"/>
      <c r="AG1190" s="42"/>
      <c r="AH1190" s="42"/>
      <c r="AI1190" s="42"/>
      <c r="AJ1190" s="42"/>
      <c r="AK1190" s="42"/>
    </row>
    <row r="1191">
      <c r="A1191" s="47"/>
      <c r="B1191" s="48"/>
      <c r="C1191" s="47"/>
      <c r="F1191" s="49"/>
      <c r="G1191" s="45"/>
      <c r="L1191" s="49"/>
      <c r="M1191" s="33" t="str">
        <f>IFERROR(__xludf.DUMMYFUNCTION("IFS(W1191=""Achat"",IFERROR(VALUE(X1191),VALUE(REGEXREPLACE(T(X1191),""[^0-9]"",""""))),W1191=""Vente"",-IFERROR(VALUE(X1191),VALUE(REGEXREPLACE(T(X1191),""[^0-9]"",""""))),Y1191=""Change"",0,Y1191&lt;&gt;""Change"","""")"),"")</f>
        <v/>
      </c>
      <c r="N1191" s="34" t="str">
        <f>IFERROR(__xludf.DUMMYFUNCTION("IF(Account!$F1191&lt;&gt;"""", VALUE(REGEXREPLACE($I1191, ""\,"", ""."")), """")"),"")</f>
        <v/>
      </c>
      <c r="O1191" s="35" t="str">
        <f>IF(Account!$F1191&lt;&gt;"", DATEVALUE(MID($A1191,4,3) &amp; LEFT($A1191,3) &amp; RIGHT($A1191,4)) + TIMEVALUE($B1191), "")</f>
        <v/>
      </c>
      <c r="P1191" s="36" t="str">
        <f>IF(Account!$F1191&lt;&gt;"", DATEVALUE(MID($C1191,4,3) &amp; LEFT($C1191,3) &amp; RIGHT($C1191,4)), "")</f>
        <v/>
      </c>
      <c r="Q1191" s="37" t="str">
        <f t="array" ref="Q1191">IF($R1191&lt;&gt;"",IFERROR(INDEX(ISIN!$B:$B,MATCH($R1191,ISIN!$C:$C,0))),)</f>
        <v/>
      </c>
      <c r="R1191" s="38" t="str">
        <f t="array" ref="R1191">IF($E1191&lt;&gt;"",IFERROR(INDEX(ISIN!$C:$C,MATCH($E1191,ISIN!$A:$A,0)),IFERROR(INDEX($R1192:$R1200,MATCH($K1191,$K1192:$K1200,0)))),IF(AND($Y1191="change",$H1191="EUR"),IF($O1191=$O1192,$R1192,IF($O1191=$O1190,$R1190)),IFERROR(INDEX($R1192:$R1200,MATCH(SUBSTITUTE($I1191,"-","",1),$K1192:$K1200,0)))))</f>
        <v/>
      </c>
      <c r="S1191" s="37" t="str">
        <f t="shared" si="1"/>
        <v/>
      </c>
      <c r="T1191" s="39" t="str">
        <f t="shared" si="2"/>
        <v/>
      </c>
      <c r="U1191" s="40" t="str">
        <f t="shared" si="3"/>
        <v/>
      </c>
      <c r="V1191" s="34" t="str">
        <f t="shared" si="4"/>
        <v/>
      </c>
      <c r="W1191" s="41" t="str">
        <f>IFERROR(__xludf.DUMMYFUNCTION(" IF(Account!$F1191&lt;&gt;"""", SPLIT(Account!$F1191, "" ""), """")"),"")</f>
        <v/>
      </c>
      <c r="X1191" s="42"/>
      <c r="Y1191" s="42"/>
      <c r="Z1191" s="42"/>
      <c r="AA1191" s="42"/>
      <c r="AB1191" s="42"/>
      <c r="AC1191" s="42"/>
      <c r="AD1191" s="42"/>
      <c r="AE1191" s="42"/>
      <c r="AF1191" s="42"/>
      <c r="AG1191" s="42"/>
      <c r="AH1191" s="42"/>
      <c r="AI1191" s="42"/>
      <c r="AJ1191" s="42"/>
      <c r="AK1191" s="42"/>
    </row>
    <row r="1192">
      <c r="A1192" s="47"/>
      <c r="B1192" s="48"/>
      <c r="C1192" s="47"/>
      <c r="F1192" s="49"/>
      <c r="G1192" s="45"/>
      <c r="L1192" s="49"/>
      <c r="M1192" s="33" t="str">
        <f>IFERROR(__xludf.DUMMYFUNCTION("IFS(W1192=""Achat"",IFERROR(VALUE(X1192),VALUE(REGEXREPLACE(T(X1192),""[^0-9]"",""""))),W1192=""Vente"",-IFERROR(VALUE(X1192),VALUE(REGEXREPLACE(T(X1192),""[^0-9]"",""""))),Y1192=""Change"",0,Y1192&lt;&gt;""Change"","""")"),"")</f>
        <v/>
      </c>
      <c r="N1192" s="34" t="str">
        <f>IFERROR(__xludf.DUMMYFUNCTION("IF(Account!$F1192&lt;&gt;"""", VALUE(REGEXREPLACE($I1192, ""\,"", ""."")), """")"),"")</f>
        <v/>
      </c>
      <c r="O1192" s="35" t="str">
        <f>IF(Account!$F1192&lt;&gt;"", DATEVALUE(MID($A1192,4,3) &amp; LEFT($A1192,3) &amp; RIGHT($A1192,4)) + TIMEVALUE($B1192), "")</f>
        <v/>
      </c>
      <c r="P1192" s="36" t="str">
        <f>IF(Account!$F1192&lt;&gt;"", DATEVALUE(MID($C1192,4,3) &amp; LEFT($C1192,3) &amp; RIGHT($C1192,4)), "")</f>
        <v/>
      </c>
      <c r="Q1192" s="37" t="str">
        <f t="array" ref="Q1192">IF($R1192&lt;&gt;"",IFERROR(INDEX(ISIN!$B:$B,MATCH($R1192,ISIN!$C:$C,0))),)</f>
        <v/>
      </c>
      <c r="R1192" s="38" t="str">
        <f t="array" ref="R1192">IF($E1192&lt;&gt;"",IFERROR(INDEX(ISIN!$C:$C,MATCH($E1192,ISIN!$A:$A,0)),IFERROR(INDEX($R1193:$R1200,MATCH($K1192,$K1193:$K1200,0)))),IF(AND($Y1192="change",$H1192="EUR"),IF($O1192=$O1193,$R1193,IF($O1192=$O1191,$R1191)),IFERROR(INDEX($R1193:$R1200,MATCH(SUBSTITUTE($I1192,"-","",1),$K1193:$K1200,0)))))</f>
        <v/>
      </c>
      <c r="S1192" s="37" t="str">
        <f t="shared" si="1"/>
        <v/>
      </c>
      <c r="T1192" s="39" t="str">
        <f t="shared" si="2"/>
        <v/>
      </c>
      <c r="U1192" s="40" t="str">
        <f t="shared" si="3"/>
        <v/>
      </c>
      <c r="V1192" s="34" t="str">
        <f t="shared" si="4"/>
        <v/>
      </c>
      <c r="W1192" s="41" t="str">
        <f>IFERROR(__xludf.DUMMYFUNCTION(" IF(Account!$F1192&lt;&gt;"""", SPLIT(Account!$F1192, "" ""), """")"),"")</f>
        <v/>
      </c>
      <c r="X1192" s="42"/>
      <c r="Y1192" s="42"/>
      <c r="Z1192" s="42"/>
      <c r="AA1192" s="42"/>
      <c r="AB1192" s="42"/>
      <c r="AC1192" s="42"/>
      <c r="AD1192" s="42"/>
      <c r="AE1192" s="42"/>
      <c r="AF1192" s="42"/>
      <c r="AG1192" s="42"/>
      <c r="AH1192" s="42"/>
      <c r="AI1192" s="42"/>
      <c r="AJ1192" s="42"/>
      <c r="AK1192" s="42"/>
    </row>
    <row r="1193">
      <c r="A1193" s="47"/>
      <c r="B1193" s="48"/>
      <c r="C1193" s="47"/>
      <c r="F1193" s="49"/>
      <c r="G1193" s="50"/>
      <c r="L1193" s="49"/>
      <c r="M1193" s="33" t="str">
        <f>IFERROR(__xludf.DUMMYFUNCTION("IFS(W1193=""Achat"",IFERROR(VALUE(X1193),VALUE(REGEXREPLACE(T(X1193),""[^0-9]"",""""))),W1193=""Vente"",-IFERROR(VALUE(X1193),VALUE(REGEXREPLACE(T(X1193),""[^0-9]"",""""))),Y1193=""Change"",0,Y1193&lt;&gt;""Change"","""")"),"")</f>
        <v/>
      </c>
      <c r="N1193" s="34" t="str">
        <f>IFERROR(__xludf.DUMMYFUNCTION("IF(Account!$F1193&lt;&gt;"""", VALUE(REGEXREPLACE($I1193, ""\,"", ""."")), """")"),"")</f>
        <v/>
      </c>
      <c r="O1193" s="35" t="str">
        <f>IF(Account!$F1193&lt;&gt;"", DATEVALUE(MID($A1193,4,3) &amp; LEFT($A1193,3) &amp; RIGHT($A1193,4)) + TIMEVALUE($B1193), "")</f>
        <v/>
      </c>
      <c r="P1193" s="36" t="str">
        <f>IF(Account!$F1193&lt;&gt;"", DATEVALUE(MID($C1193,4,3) &amp; LEFT($C1193,3) &amp; RIGHT($C1193,4)), "")</f>
        <v/>
      </c>
      <c r="Q1193" s="37" t="str">
        <f t="array" ref="Q1193">IF($R1193&lt;&gt;"",IFERROR(INDEX(ISIN!$B:$B,MATCH($R1193,ISIN!$C:$C,0))),)</f>
        <v/>
      </c>
      <c r="R1193" s="38" t="str">
        <f t="array" ref="R1193">IF($E1193&lt;&gt;"",IFERROR(INDEX(ISIN!$C:$C,MATCH($E1193,ISIN!$A:$A,0)),IFERROR(INDEX($R1194:$R1200,MATCH($K1193,$K1194:$K1200,0)))),IF(AND($Y1193="change",$H1193="EUR"),IF($O1193=$O1194,$R1194,IF($O1193=$O1192,$R1192)),IFERROR(INDEX($R1194:$R1200,MATCH(SUBSTITUTE($I1193,"-","",1),$K1194:$K1200,0)))))</f>
        <v/>
      </c>
      <c r="S1193" s="37" t="str">
        <f t="shared" si="1"/>
        <v/>
      </c>
      <c r="T1193" s="39" t="str">
        <f t="shared" si="2"/>
        <v/>
      </c>
      <c r="U1193" s="40" t="str">
        <f t="shared" si="3"/>
        <v/>
      </c>
      <c r="V1193" s="34" t="str">
        <f t="shared" si="4"/>
        <v/>
      </c>
      <c r="W1193" s="41" t="str">
        <f>IFERROR(__xludf.DUMMYFUNCTION(" IF(Account!$F1193&lt;&gt;"""", SPLIT(Account!$F1193, "" ""), """")"),"")</f>
        <v/>
      </c>
      <c r="X1193" s="42"/>
      <c r="Y1193" s="42"/>
      <c r="Z1193" s="42"/>
      <c r="AA1193" s="42"/>
      <c r="AB1193" s="42"/>
      <c r="AC1193" s="42"/>
      <c r="AD1193" s="42"/>
      <c r="AE1193" s="42"/>
      <c r="AF1193" s="42"/>
      <c r="AG1193" s="42"/>
      <c r="AH1193" s="42"/>
      <c r="AI1193" s="42"/>
      <c r="AJ1193" s="42"/>
      <c r="AK1193" s="42"/>
    </row>
    <row r="1194">
      <c r="A1194" s="47"/>
      <c r="B1194" s="48"/>
      <c r="C1194" s="47"/>
      <c r="F1194" s="49"/>
      <c r="G1194" s="45"/>
      <c r="L1194" s="49"/>
      <c r="M1194" s="33" t="str">
        <f>IFERROR(__xludf.DUMMYFUNCTION("IFS(W1194=""Achat"",IFERROR(VALUE(X1194),VALUE(REGEXREPLACE(T(X1194),""[^0-9]"",""""))),W1194=""Vente"",-IFERROR(VALUE(X1194),VALUE(REGEXREPLACE(T(X1194),""[^0-9]"",""""))),Y1194=""Change"",0,Y1194&lt;&gt;""Change"","""")"),"")</f>
        <v/>
      </c>
      <c r="N1194" s="34" t="str">
        <f>IFERROR(__xludf.DUMMYFUNCTION("IF(Account!$F1194&lt;&gt;"""", VALUE(REGEXREPLACE($I1194, ""\,"", ""."")), """")"),"")</f>
        <v/>
      </c>
      <c r="O1194" s="35" t="str">
        <f>IF(Account!$F1194&lt;&gt;"", DATEVALUE(MID($A1194,4,3) &amp; LEFT($A1194,3) &amp; RIGHT($A1194,4)) + TIMEVALUE($B1194), "")</f>
        <v/>
      </c>
      <c r="P1194" s="36" t="str">
        <f>IF(Account!$F1194&lt;&gt;"", DATEVALUE(MID($C1194,4,3) &amp; LEFT($C1194,3) &amp; RIGHT($C1194,4)), "")</f>
        <v/>
      </c>
      <c r="Q1194" s="37" t="str">
        <f t="array" ref="Q1194">IF($R1194&lt;&gt;"",IFERROR(INDEX(ISIN!$B:$B,MATCH($R1194,ISIN!$C:$C,0))),)</f>
        <v/>
      </c>
      <c r="R1194" s="38" t="str">
        <f t="array" ref="R1194">IF($E1194&lt;&gt;"",IFERROR(INDEX(ISIN!$C:$C,MATCH($E1194,ISIN!$A:$A,0)),IFERROR(INDEX($R1195:$R1200,MATCH($K1194,$K1195:$K1200,0)))),IF(AND($Y1194="change",$H1194="EUR"),IF($O1194=$O1195,$R1195,IF($O1194=$O1193,$R1193)),IFERROR(INDEX($R1195:$R1200,MATCH(SUBSTITUTE($I1194,"-","",1),$K1195:$K1200,0)))))</f>
        <v/>
      </c>
      <c r="S1194" s="37" t="str">
        <f t="shared" si="1"/>
        <v/>
      </c>
      <c r="T1194" s="39" t="str">
        <f t="shared" si="2"/>
        <v/>
      </c>
      <c r="U1194" s="40" t="str">
        <f t="shared" si="3"/>
        <v/>
      </c>
      <c r="V1194" s="34" t="str">
        <f t="shared" si="4"/>
        <v/>
      </c>
      <c r="W1194" s="41" t="str">
        <f>IFERROR(__xludf.DUMMYFUNCTION(" IF(Account!$F1194&lt;&gt;"""", SPLIT(Account!$F1194, "" ""), """")"),"")</f>
        <v/>
      </c>
      <c r="X1194" s="42"/>
      <c r="Y1194" s="42"/>
      <c r="Z1194" s="42"/>
      <c r="AA1194" s="42"/>
      <c r="AB1194" s="42"/>
      <c r="AC1194" s="42"/>
      <c r="AD1194" s="42"/>
      <c r="AE1194" s="42"/>
      <c r="AF1194" s="42"/>
      <c r="AG1194" s="42"/>
      <c r="AH1194" s="42"/>
      <c r="AI1194" s="42"/>
      <c r="AJ1194" s="42"/>
      <c r="AK1194" s="42"/>
    </row>
    <row r="1195">
      <c r="A1195" s="47"/>
      <c r="B1195" s="48"/>
      <c r="C1195" s="47"/>
      <c r="F1195" s="49"/>
      <c r="G1195" s="45"/>
      <c r="L1195" s="49"/>
      <c r="M1195" s="33" t="str">
        <f>IFERROR(__xludf.DUMMYFUNCTION("IFS(W1195=""Achat"",IFERROR(VALUE(X1195),VALUE(REGEXREPLACE(T(X1195),""[^0-9]"",""""))),W1195=""Vente"",-IFERROR(VALUE(X1195),VALUE(REGEXREPLACE(T(X1195),""[^0-9]"",""""))),Y1195=""Change"",0,Y1195&lt;&gt;""Change"","""")"),"")</f>
        <v/>
      </c>
      <c r="N1195" s="34" t="str">
        <f>IFERROR(__xludf.DUMMYFUNCTION("IF(Account!$F1195&lt;&gt;"""", VALUE(REGEXREPLACE($I1195, ""\,"", ""."")), """")"),"")</f>
        <v/>
      </c>
      <c r="O1195" s="35" t="str">
        <f>IF(Account!$F1195&lt;&gt;"", DATEVALUE(MID($A1195,4,3) &amp; LEFT($A1195,3) &amp; RIGHT($A1195,4)) + TIMEVALUE($B1195), "")</f>
        <v/>
      </c>
      <c r="P1195" s="36" t="str">
        <f>IF(Account!$F1195&lt;&gt;"", DATEVALUE(MID($C1195,4,3) &amp; LEFT($C1195,3) &amp; RIGHT($C1195,4)), "")</f>
        <v/>
      </c>
      <c r="Q1195" s="37" t="str">
        <f t="array" ref="Q1195">IF($R1195&lt;&gt;"",IFERROR(INDEX(ISIN!$B:$B,MATCH($R1195,ISIN!$C:$C,0))),)</f>
        <v/>
      </c>
      <c r="R1195" s="38" t="str">
        <f t="array" ref="R1195">IF($E1195&lt;&gt;"",IFERROR(INDEX(ISIN!$C:$C,MATCH($E1195,ISIN!$A:$A,0)),IFERROR(INDEX($R1196:$R1200,MATCH($K1195,$K1196:$K1200,0)))),IF(AND($Y1195="change",$H1195="EUR"),IF($O1195=$O1196,$R1196,IF($O1195=$O1194,$R1194)),IFERROR(INDEX($R1196:$R1200,MATCH(SUBSTITUTE($I1195,"-","",1),$K1196:$K1200,0)))))</f>
        <v/>
      </c>
      <c r="S1195" s="37" t="str">
        <f t="shared" si="1"/>
        <v/>
      </c>
      <c r="T1195" s="39" t="str">
        <f t="shared" si="2"/>
        <v/>
      </c>
      <c r="U1195" s="40" t="str">
        <f t="shared" si="3"/>
        <v/>
      </c>
      <c r="V1195" s="34" t="str">
        <f t="shared" si="4"/>
        <v/>
      </c>
      <c r="W1195" s="41" t="str">
        <f>IFERROR(__xludf.DUMMYFUNCTION(" IF(Account!$F1195&lt;&gt;"""", SPLIT(Account!$F1195, "" ""), """")"),"")</f>
        <v/>
      </c>
      <c r="X1195" s="42"/>
      <c r="Y1195" s="42"/>
      <c r="Z1195" s="42"/>
      <c r="AA1195" s="42"/>
      <c r="AB1195" s="42"/>
      <c r="AC1195" s="42"/>
      <c r="AD1195" s="42"/>
      <c r="AE1195" s="42"/>
      <c r="AF1195" s="42"/>
      <c r="AG1195" s="42"/>
      <c r="AH1195" s="42"/>
      <c r="AI1195" s="42"/>
      <c r="AJ1195" s="42"/>
      <c r="AK1195" s="42"/>
    </row>
    <row r="1196">
      <c r="A1196" s="47"/>
      <c r="B1196" s="48"/>
      <c r="C1196" s="47"/>
      <c r="F1196" s="49"/>
      <c r="G1196" s="50"/>
      <c r="L1196" s="49"/>
      <c r="M1196" s="33" t="str">
        <f>IFERROR(__xludf.DUMMYFUNCTION("IFS(W1196=""Achat"",IFERROR(VALUE(X1196),VALUE(REGEXREPLACE(T(X1196),""[^0-9]"",""""))),W1196=""Vente"",-IFERROR(VALUE(X1196),VALUE(REGEXREPLACE(T(X1196),""[^0-9]"",""""))),Y1196=""Change"",0,Y1196&lt;&gt;""Change"","""")"),"")</f>
        <v/>
      </c>
      <c r="N1196" s="34" t="str">
        <f>IFERROR(__xludf.DUMMYFUNCTION("IF(Account!$F1196&lt;&gt;"""", VALUE(REGEXREPLACE($I1196, ""\,"", ""."")), """")"),"")</f>
        <v/>
      </c>
      <c r="O1196" s="35" t="str">
        <f>IF(Account!$F1196&lt;&gt;"", DATEVALUE(MID($A1196,4,3) &amp; LEFT($A1196,3) &amp; RIGHT($A1196,4)) + TIMEVALUE($B1196), "")</f>
        <v/>
      </c>
      <c r="P1196" s="36" t="str">
        <f>IF(Account!$F1196&lt;&gt;"", DATEVALUE(MID($C1196,4,3) &amp; LEFT($C1196,3) &amp; RIGHT($C1196,4)), "")</f>
        <v/>
      </c>
      <c r="Q1196" s="37" t="str">
        <f t="array" ref="Q1196">IF($R1196&lt;&gt;"",IFERROR(INDEX(ISIN!$B:$B,MATCH($R1196,ISIN!$C:$C,0))),)</f>
        <v/>
      </c>
      <c r="R1196" s="38" t="str">
        <f t="array" ref="R1196">IF($E1196&lt;&gt;"",IFERROR(INDEX(ISIN!$C:$C,MATCH($E1196,ISIN!$A:$A,0)),IFERROR(INDEX($R1197:$R1200,MATCH($K1196,$K1197:$K1200,0)))),IF(AND($Y1196="change",$H1196="EUR"),IF($O1196=$O1197,$R1197,IF($O1196=$O1195,$R1195)),IFERROR(INDEX($R1197:$R1200,MATCH(SUBSTITUTE($I1196,"-","",1),$K1197:$K1200,0)))))</f>
        <v/>
      </c>
      <c r="S1196" s="37" t="str">
        <f t="shared" si="1"/>
        <v/>
      </c>
      <c r="T1196" s="39" t="str">
        <f t="shared" si="2"/>
        <v/>
      </c>
      <c r="U1196" s="40" t="str">
        <f t="shared" si="3"/>
        <v/>
      </c>
      <c r="V1196" s="34" t="str">
        <f t="shared" si="4"/>
        <v/>
      </c>
      <c r="W1196" s="41" t="str">
        <f>IFERROR(__xludf.DUMMYFUNCTION(" IF(Account!$F1196&lt;&gt;"""", SPLIT(Account!$F1196, "" ""), """")"),"")</f>
        <v/>
      </c>
      <c r="X1196" s="42"/>
      <c r="Y1196" s="42"/>
      <c r="Z1196" s="42"/>
      <c r="AA1196" s="42"/>
      <c r="AB1196" s="42"/>
      <c r="AC1196" s="42"/>
      <c r="AD1196" s="42"/>
      <c r="AE1196" s="42"/>
      <c r="AF1196" s="42"/>
      <c r="AG1196" s="42"/>
      <c r="AH1196" s="42"/>
      <c r="AI1196" s="42"/>
      <c r="AJ1196" s="42"/>
      <c r="AK1196" s="42"/>
    </row>
    <row r="1197">
      <c r="A1197" s="47"/>
      <c r="B1197" s="48"/>
      <c r="C1197" s="47"/>
      <c r="F1197" s="49"/>
      <c r="G1197" s="45"/>
      <c r="L1197" s="49"/>
      <c r="M1197" s="33" t="str">
        <f>IFERROR(__xludf.DUMMYFUNCTION("IFS(W1197=""Achat"",IFERROR(VALUE(X1197),VALUE(REGEXREPLACE(T(X1197),""[^0-9]"",""""))),W1197=""Vente"",-IFERROR(VALUE(X1197),VALUE(REGEXREPLACE(T(X1197),""[^0-9]"",""""))),Y1197=""Change"",0,Y1197&lt;&gt;""Change"","""")"),"")</f>
        <v/>
      </c>
      <c r="N1197" s="34" t="str">
        <f>IFERROR(__xludf.DUMMYFUNCTION("IF(Account!$F1197&lt;&gt;"""", VALUE(REGEXREPLACE($I1197, ""\,"", ""."")), """")"),"")</f>
        <v/>
      </c>
      <c r="O1197" s="35" t="str">
        <f>IF(Account!$F1197&lt;&gt;"", DATEVALUE(MID($A1197,4,3) &amp; LEFT($A1197,3) &amp; RIGHT($A1197,4)) + TIMEVALUE($B1197), "")</f>
        <v/>
      </c>
      <c r="P1197" s="36" t="str">
        <f>IF(Account!$F1197&lt;&gt;"", DATEVALUE(MID($C1197,4,3) &amp; LEFT($C1197,3) &amp; RIGHT($C1197,4)), "")</f>
        <v/>
      </c>
      <c r="Q1197" s="37" t="str">
        <f t="array" ref="Q1197">IF($R1197&lt;&gt;"",IFERROR(INDEX(ISIN!$B:$B,MATCH($R1197,ISIN!$C:$C,0))),)</f>
        <v/>
      </c>
      <c r="R1197" s="38" t="str">
        <f t="array" ref="R1197">IF($E1197&lt;&gt;"",IFERROR(INDEX(ISIN!$C:$C,MATCH($E1197,ISIN!$A:$A,0)),IFERROR(INDEX($R1198:$R1200,MATCH($K1197,$K1198:$K1200,0)))),IF(AND($Y1197="change",$H1197="EUR"),IF($O1197=$O1198,$R1198,IF($O1197=$O1196,$R1196)),IFERROR(INDEX($R1198:$R1200,MATCH(SUBSTITUTE($I1197,"-","",1),$K1198:$K1200,0)))))</f>
        <v/>
      </c>
      <c r="S1197" s="37" t="str">
        <f t="shared" si="1"/>
        <v/>
      </c>
      <c r="T1197" s="39" t="str">
        <f t="shared" si="2"/>
        <v/>
      </c>
      <c r="U1197" s="40" t="str">
        <f t="shared" si="3"/>
        <v/>
      </c>
      <c r="V1197" s="34" t="str">
        <f t="shared" si="4"/>
        <v/>
      </c>
      <c r="W1197" s="41" t="str">
        <f>IFERROR(__xludf.DUMMYFUNCTION(" IF(Account!$F1197&lt;&gt;"""", SPLIT(Account!$F1197, "" ""), """")"),"")</f>
        <v/>
      </c>
      <c r="X1197" s="42"/>
      <c r="Y1197" s="42"/>
      <c r="Z1197" s="42"/>
      <c r="AA1197" s="42"/>
      <c r="AB1197" s="42"/>
      <c r="AC1197" s="42"/>
      <c r="AD1197" s="42"/>
      <c r="AE1197" s="42"/>
      <c r="AF1197" s="42"/>
      <c r="AG1197" s="42"/>
      <c r="AH1197" s="42"/>
      <c r="AI1197" s="42"/>
      <c r="AJ1197" s="42"/>
      <c r="AK1197" s="42"/>
    </row>
    <row r="1198">
      <c r="A1198" s="47"/>
      <c r="B1198" s="48"/>
      <c r="C1198" s="47"/>
      <c r="F1198" s="49"/>
      <c r="G1198" s="45"/>
      <c r="L1198" s="49"/>
      <c r="M1198" s="33" t="str">
        <f>IFERROR(__xludf.DUMMYFUNCTION("IFS(W1198=""Achat"",IFERROR(VALUE(X1198),VALUE(REGEXREPLACE(T(X1198),""[^0-9]"",""""))),W1198=""Vente"",-IFERROR(VALUE(X1198),VALUE(REGEXREPLACE(T(X1198),""[^0-9]"",""""))),Y1198=""Change"",0,Y1198&lt;&gt;""Change"","""")"),"")</f>
        <v/>
      </c>
      <c r="N1198" s="34" t="str">
        <f>IFERROR(__xludf.DUMMYFUNCTION("IF(Account!$F1198&lt;&gt;"""", VALUE(REGEXREPLACE($I1198, ""\,"", ""."")), """")"),"")</f>
        <v/>
      </c>
      <c r="O1198" s="35" t="str">
        <f>IF(Account!$F1198&lt;&gt;"", DATEVALUE(MID($A1198,4,3) &amp; LEFT($A1198,3) &amp; RIGHT($A1198,4)) + TIMEVALUE($B1198), "")</f>
        <v/>
      </c>
      <c r="P1198" s="36" t="str">
        <f>IF(Account!$F1198&lt;&gt;"", DATEVALUE(MID($C1198,4,3) &amp; LEFT($C1198,3) &amp; RIGHT($C1198,4)), "")</f>
        <v/>
      </c>
      <c r="Q1198" s="37" t="str">
        <f t="array" ref="Q1198">IF($R1198&lt;&gt;"",IFERROR(INDEX(ISIN!$B:$B,MATCH($R1198,ISIN!$C:$C,0))),)</f>
        <v/>
      </c>
      <c r="R1198" s="38" t="str">
        <f t="array" ref="R1198">IF($E1198&lt;&gt;"",IFERROR(INDEX(ISIN!$C:$C,MATCH($E1198,ISIN!$A:$A,0)),IFERROR(INDEX($R1199:$R1200,MATCH($K1198,$K1199:$K1200,0)))),IF(AND($Y1198="change",$H1198="EUR"),IF($O1198=$O1199,$R1199,IF($O1198=$O1197,$R1197)),IFERROR(INDEX($R1199:$R1200,MATCH(SUBSTITUTE($I1198,"-","",1),$K1199:$K1200,0)))))</f>
        <v/>
      </c>
      <c r="S1198" s="37" t="str">
        <f t="shared" si="1"/>
        <v/>
      </c>
      <c r="T1198" s="39" t="str">
        <f t="shared" si="2"/>
        <v/>
      </c>
      <c r="U1198" s="40" t="str">
        <f t="shared" si="3"/>
        <v/>
      </c>
      <c r="V1198" s="34" t="str">
        <f t="shared" si="4"/>
        <v/>
      </c>
      <c r="W1198" s="41" t="str">
        <f>IFERROR(__xludf.DUMMYFUNCTION(" IF(Account!$F1198&lt;&gt;"""", SPLIT(Account!$F1198, "" ""), """")"),"")</f>
        <v/>
      </c>
      <c r="X1198" s="42"/>
      <c r="Y1198" s="42"/>
      <c r="Z1198" s="42"/>
      <c r="AA1198" s="42"/>
      <c r="AB1198" s="42"/>
      <c r="AC1198" s="42"/>
      <c r="AD1198" s="42"/>
      <c r="AE1198" s="42"/>
      <c r="AF1198" s="42"/>
      <c r="AG1198" s="42"/>
      <c r="AH1198" s="42"/>
      <c r="AI1198" s="42"/>
      <c r="AJ1198" s="42"/>
      <c r="AK1198" s="42"/>
    </row>
    <row r="1199">
      <c r="B1199" s="48"/>
      <c r="D1199" s="45"/>
      <c r="E1199" s="45"/>
      <c r="F1199" s="49"/>
      <c r="G1199" s="45"/>
      <c r="L1199" s="46"/>
      <c r="M1199" s="33" t="str">
        <f>IFERROR(__xludf.DUMMYFUNCTION("IFS(W1199=""Achat"",IFERROR(VALUE(X1199),VALUE(REGEXREPLACE(T(X1199),""[^0-9]"",""""))),W1199=""Vente"",-IFERROR(VALUE(X1199),VALUE(REGEXREPLACE(T(X1199),""[^0-9]"",""""))),Y1199=""Change"",0,Y1199&lt;&gt;""Change"","""")"),"")</f>
        <v/>
      </c>
      <c r="N1199" s="34" t="str">
        <f>IFERROR(__xludf.DUMMYFUNCTION("IF(Account!$F1199&lt;&gt;"""", VALUE(REGEXREPLACE($I1199, ""\,"", ""."")), """")"),"")</f>
        <v/>
      </c>
      <c r="O1199" s="35" t="str">
        <f>IF(Account!$F1199&lt;&gt;"", DATEVALUE(MID($A1199,4,3) &amp; LEFT($A1199,3) &amp; RIGHT($A1199,4)) + TIMEVALUE($B1199), "")</f>
        <v/>
      </c>
      <c r="P1199" s="36" t="str">
        <f>IF(Account!$F1199&lt;&gt;"", DATEVALUE(MID($C1199,4,3) &amp; LEFT($C1199,3) &amp; RIGHT($C1199,4)), "")</f>
        <v/>
      </c>
      <c r="Q1199" s="37" t="str">
        <f t="array" ref="Q1199">IF($R1199&lt;&gt;"",IFERROR(INDEX(ISIN!$B:$B,MATCH($R1199,ISIN!$C:$C,0))),)</f>
        <v/>
      </c>
      <c r="R1199" s="38" t="str">
        <f t="array" ref="R1199">IF($E1199&lt;&gt;"",IFERROR(INDEX(ISIN!$C:$C,MATCH($E1199,ISIN!$A:$A,0)),IFERROR(INDEX($R1200,MATCH($K1199,$K1200,0)))),IF(AND($Y1199="change",$H1199="EUR"),IF($O1199=$O1200,$R1200,IF($O1199=$O1198,$R1198)),IFERROR(INDEX($R1200,MATCH(SUBSTITUTE($I1199,"-","",1),$K1200,0)))))</f>
        <v/>
      </c>
      <c r="S1199" s="37" t="str">
        <f t="shared" si="1"/>
        <v/>
      </c>
      <c r="T1199" s="39" t="str">
        <f t="shared" si="2"/>
        <v/>
      </c>
      <c r="U1199" s="40" t="str">
        <f t="shared" si="3"/>
        <v/>
      </c>
      <c r="V1199" s="34" t="str">
        <f t="shared" si="4"/>
        <v/>
      </c>
      <c r="W1199" s="41" t="str">
        <f>IFERROR(__xludf.DUMMYFUNCTION(" IF(Account!$F1199&lt;&gt;"""", SPLIT(Account!$F1199, "" ""), """")"),"")</f>
        <v/>
      </c>
      <c r="X1199" s="42"/>
      <c r="Y1199" s="42"/>
      <c r="Z1199" s="42"/>
      <c r="AA1199" s="42"/>
      <c r="AB1199" s="42"/>
      <c r="AC1199" s="42"/>
      <c r="AD1199" s="42"/>
      <c r="AE1199" s="42"/>
      <c r="AF1199" s="42"/>
      <c r="AG1199" s="42"/>
      <c r="AH1199" s="42"/>
      <c r="AI1199" s="42"/>
      <c r="AJ1199" s="42"/>
      <c r="AK1199" s="42"/>
    </row>
    <row r="1200">
      <c r="B1200" s="48"/>
      <c r="D1200" s="45"/>
      <c r="E1200" s="45"/>
      <c r="F1200" s="49"/>
      <c r="G1200" s="45"/>
      <c r="L1200" s="46"/>
      <c r="M1200" s="33" t="str">
        <f>IFERROR(__xludf.DUMMYFUNCTION("IFS(W1200=""Achat"",IFERROR(VALUE(X1200),VALUE(REGEXREPLACE(T(X1200),""[^0-9]"",""""))),W1200=""Vente"",-IFERROR(VALUE(X1200),VALUE(REGEXREPLACE(T(X1200),""[^0-9]"",""""))),Y1200=""Change"",0,Y1200&lt;&gt;""Change"","""")"),"")</f>
        <v/>
      </c>
      <c r="N1200" s="34" t="str">
        <f>IFERROR(__xludf.DUMMYFUNCTION("IF(Account!$F1200&lt;&gt;"""", VALUE(REGEXREPLACE($I1200, ""\,"", ""."")), """")"),"")</f>
        <v/>
      </c>
      <c r="O1200" s="35" t="str">
        <f>IF(Account!$F1200&lt;&gt;"", DATEVALUE(MID($A1200,4,3) &amp; LEFT($A1200,3) &amp; RIGHT($A1200,4)) + TIMEVALUE($B1200), "")</f>
        <v/>
      </c>
      <c r="P1200" s="36" t="str">
        <f>IF(Account!$F1200&lt;&gt;"", DATEVALUE(MID($C1200,4,3) &amp; LEFT($C1200,3) &amp; RIGHT($C1200,4)), "")</f>
        <v/>
      </c>
      <c r="Q1200" s="37" t="str">
        <f t="array" ref="Q1200">IF($R1200&lt;&gt;"",IFERROR(INDEX(ISIN!$B:$B,MATCH($R1200,ISIN!$C:$C,0))),)</f>
        <v/>
      </c>
      <c r="R1200" s="38" t="str">
        <f t="array" ref="R1200">IF($E1200&lt;&gt;"",IFERROR(INDEX(ISIN!$C:$C,MATCH($E1200,ISIN!$A:$A,0)),IFERROR(INDEX($R1200:$R1201,MATCH($K1200,$K1200:$K1201,0)))),IF(AND($Y1200="change",$H1200="EUR"),IF($O1200=$O1201,$R1201,IF($O1200=$O1199,$R1199)),IFERROR(INDEX($R1200:$R1201,MATCH(SUBSTITUTE($I1200,"-","",1),$K1200:$K1201,0)))))</f>
        <v/>
      </c>
      <c r="S1200" s="37" t="str">
        <f t="shared" si="1"/>
        <v/>
      </c>
      <c r="T1200" s="39" t="str">
        <f t="shared" si="2"/>
        <v/>
      </c>
      <c r="U1200" s="40" t="str">
        <f t="shared" si="3"/>
        <v/>
      </c>
      <c r="V1200" s="34" t="str">
        <f t="shared" si="4"/>
        <v/>
      </c>
      <c r="W1200" s="41" t="str">
        <f>IFERROR(__xludf.DUMMYFUNCTION(" IF(Account!$F1200&lt;&gt;"""", SPLIT(Account!$F1200, "" ""), """")"),"")</f>
        <v/>
      </c>
      <c r="X1200" s="42"/>
      <c r="Y1200" s="42"/>
      <c r="Z1200" s="42"/>
      <c r="AA1200" s="42"/>
      <c r="AB1200" s="42"/>
      <c r="AC1200" s="42"/>
      <c r="AD1200" s="42"/>
      <c r="AE1200" s="42"/>
      <c r="AF1200" s="42"/>
      <c r="AG1200" s="42"/>
      <c r="AH1200" s="42"/>
      <c r="AI1200" s="42"/>
      <c r="AJ1200" s="42"/>
      <c r="AK1200" s="4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0.43"/>
    <col customWidth="1" min="2" max="2" width="29.71"/>
    <col customWidth="1" min="3" max="3" width="35.86"/>
    <col customWidth="1" min="4" max="4" width="21.71"/>
    <col customWidth="1" min="5" max="5" width="11.57"/>
    <col customWidth="1" min="6" max="6" width="8.57"/>
    <col customWidth="1" min="7" max="7" width="11.57"/>
    <col customWidth="1" min="8" max="8" width="53.86"/>
  </cols>
  <sheetData>
    <row r="1">
      <c r="A1" s="51" t="str">
        <f>IFERROR(__xludf.DUMMYFUNCTION("UNIQUE(Account!P:V)"),"Date")</f>
        <v>Date</v>
      </c>
      <c r="B1" s="52" t="str">
        <f>IFERROR(__xludf.DUMMYFUNCTION("""COMPUTED_VALUE"""),"Type")</f>
        <v>Type</v>
      </c>
      <c r="C1" s="53" t="str">
        <f>IFERROR(__xludf.DUMMYFUNCTION("""COMPUTED_VALUE"""),"Label")</f>
        <v>Label</v>
      </c>
      <c r="D1" s="52" t="str">
        <f>IFERROR(__xludf.DUMMYFUNCTION("""COMPUTED_VALUE"""),"Transaction")</f>
        <v>Transaction</v>
      </c>
      <c r="E1" s="52" t="str">
        <f>IFERROR(__xludf.DUMMYFUNCTION("""COMPUTED_VALUE"""),"Quantity")</f>
        <v>Quantity</v>
      </c>
      <c r="F1" s="54" t="str">
        <f>IFERROR(__xludf.DUMMYFUNCTION("""COMPUTED_VALUE"""),"Price")</f>
        <v>Price</v>
      </c>
      <c r="G1" s="55" t="str">
        <f>IFERROR(__xludf.DUMMYFUNCTION("""COMPUTED_VALUE"""),"Value")</f>
        <v>Value</v>
      </c>
      <c r="H1" s="9" t="s">
        <v>280</v>
      </c>
    </row>
    <row r="2">
      <c r="A2" s="56">
        <f>IFERROR(__xludf.DUMMYFUNCTION("""COMPUTED_VALUE"""),44144.0)</f>
        <v>44144</v>
      </c>
      <c r="B2" t="str">
        <f>IFERROR(__xludf.DUMMYFUNCTION("""COMPUTED_VALUE"""),"Long term US bonds (20-25 year)")</f>
        <v>Long term US bonds (20-25 year)</v>
      </c>
      <c r="C2" s="57" t="str">
        <f>IFERROR(__xludf.DUMMYFUNCTION("""COMPUTED_VALUE"""),"iShares Treasury Bond 20+ UCITS")</f>
        <v>iShares Treasury Bond 20+ UCITS</v>
      </c>
      <c r="D2" s="58" t="str">
        <f>IFERROR(__xludf.DUMMYFUNCTION("""COMPUTED_VALUE"""),"COST")</f>
        <v>COST</v>
      </c>
      <c r="E2" s="50" t="str">
        <f>IFERROR(__xludf.DUMMYFUNCTION("""COMPUTED_VALUE"""),"")</f>
        <v/>
      </c>
      <c r="F2" s="59" t="str">
        <f>IFERROR(__xludf.DUMMYFUNCTION("""COMPUTED_VALUE"""),"")</f>
        <v/>
      </c>
      <c r="G2" s="60">
        <f>IFERROR(__xludf.DUMMYFUNCTION("""COMPUTED_VALUE"""),-3.1399999999999997)</f>
        <v>-3.14</v>
      </c>
      <c r="H2" s="61" t="str">
        <f t="shared" ref="H2:H1078" si="1">IF(D2&lt;&gt;"",C2 &amp; "@" &amp; D2 &amp; "@" &amp; E2 &amp; "@" &amp; G2,"")</f>
        <v>iShares Treasury Bond 20+ UCITS@COST@@-3.14</v>
      </c>
    </row>
    <row r="3">
      <c r="A3" s="56">
        <f>IFERROR(__xludf.DUMMYFUNCTION("""COMPUTED_VALUE"""),44144.0)</f>
        <v>44144</v>
      </c>
      <c r="B3" t="str">
        <f>IFERROR(__xludf.DUMMYFUNCTION("""COMPUTED_VALUE"""),"Long term US bonds (20-25 year)")</f>
        <v>Long term US bonds (20-25 year)</v>
      </c>
      <c r="C3" s="57" t="str">
        <f>IFERROR(__xludf.DUMMYFUNCTION("""COMPUTED_VALUE"""),"iShares Treasury Bond 20+ UCITS")</f>
        <v>iShares Treasury Bond 20+ UCITS</v>
      </c>
      <c r="D3" s="58" t="str">
        <f>IFERROR(__xludf.DUMMYFUNCTION("""COMPUTED_VALUE"""),"BUY")</f>
        <v>BUY</v>
      </c>
      <c r="E3" s="50">
        <f>IFERROR(__xludf.DUMMYFUNCTION("""COMPUTED_VALUE"""),1160.0)</f>
        <v>1160</v>
      </c>
      <c r="F3" s="59">
        <f>IFERROR(__xludf.DUMMYFUNCTION("""COMPUTED_VALUE"""),4.92)</f>
        <v>4.92</v>
      </c>
      <c r="G3" s="60">
        <f>IFERROR(__xludf.DUMMYFUNCTION("""COMPUTED_VALUE"""),-5707.2)</f>
        <v>-5707.2</v>
      </c>
      <c r="H3" s="61" t="str">
        <f t="shared" si="1"/>
        <v>iShares Treasury Bond 20+ UCITS@BUY@1160@-5707.2</v>
      </c>
    </row>
    <row r="4">
      <c r="A4" s="56">
        <f>IFERROR(__xludf.DUMMYFUNCTION("""COMPUTED_VALUE"""),44144.0)</f>
        <v>44144</v>
      </c>
      <c r="B4" t="str">
        <f>IFERROR(__xludf.DUMMYFUNCTION("""COMPUTED_VALUE"""),"Intermediate US bonds (7-10 year)")</f>
        <v>Intermediate US bonds (7-10 year)</v>
      </c>
      <c r="C4" s="57" t="str">
        <f>IFERROR(__xludf.DUMMYFUNCTION("""COMPUTED_VALUE"""),"iShares Treasury Bond 7-10 UCITS")</f>
        <v>iShares Treasury Bond 7-10 UCITS</v>
      </c>
      <c r="D4" s="58" t="str">
        <f>IFERROR(__xludf.DUMMYFUNCTION("""COMPUTED_VALUE"""),"BUY")</f>
        <v>BUY</v>
      </c>
      <c r="E4" s="50">
        <f>IFERROR(__xludf.DUMMYFUNCTION("""COMPUTED_VALUE"""),6.0)</f>
        <v>6</v>
      </c>
      <c r="F4" s="59">
        <f>IFERROR(__xludf.DUMMYFUNCTION("""COMPUTED_VALUE"""),185.1)</f>
        <v>185.1</v>
      </c>
      <c r="G4" s="60">
        <f>IFERROR(__xludf.DUMMYFUNCTION("""COMPUTED_VALUE"""),-1110.6)</f>
        <v>-1110.6</v>
      </c>
      <c r="H4" s="61" t="str">
        <f t="shared" si="1"/>
        <v>iShares Treasury Bond 7-10 UCITS@BUY@6@-1110.6</v>
      </c>
    </row>
    <row r="5">
      <c r="A5" s="56">
        <f>IFERROR(__xludf.DUMMYFUNCTION("""COMPUTED_VALUE"""),44144.0)</f>
        <v>44144</v>
      </c>
      <c r="B5" t="str">
        <f>IFERROR(__xludf.DUMMYFUNCTION("""COMPUTED_VALUE"""),"Stocks")</f>
        <v>Stocks</v>
      </c>
      <c r="C5" s="57" t="str">
        <f>IFERROR(__xludf.DUMMYFUNCTION("""COMPUTED_VALUE"""),"Vanguard S&amp;P 500 UCITS")</f>
        <v>Vanguard S&amp;P 500 UCITS</v>
      </c>
      <c r="D5" s="58" t="str">
        <f>IFERROR(__xludf.DUMMYFUNCTION("""COMPUTED_VALUE"""),"SELL")</f>
        <v>SELL</v>
      </c>
      <c r="E5" s="50">
        <f>IFERROR(__xludf.DUMMYFUNCTION("""COMPUTED_VALUE"""),-30.0)</f>
        <v>-30</v>
      </c>
      <c r="F5" s="59">
        <f>IFERROR(__xludf.DUMMYFUNCTION("""COMPUTED_VALUE"""),58.68)</f>
        <v>58.68</v>
      </c>
      <c r="G5" s="60">
        <f>IFERROR(__xludf.DUMMYFUNCTION("""COMPUTED_VALUE"""),1760.4)</f>
        <v>1760.4</v>
      </c>
      <c r="H5" s="61" t="str">
        <f t="shared" si="1"/>
        <v>Vanguard S&amp;P 500 UCITS@SELL@-30@1760.4</v>
      </c>
    </row>
    <row r="6">
      <c r="A6" s="56">
        <f>IFERROR(__xludf.DUMMYFUNCTION("""COMPUTED_VALUE"""),44144.0)</f>
        <v>44144</v>
      </c>
      <c r="B6" t="str">
        <f>IFERROR(__xludf.DUMMYFUNCTION("""COMPUTED_VALUE"""),"Stocks")</f>
        <v>Stocks</v>
      </c>
      <c r="C6" s="57" t="str">
        <f>IFERROR(__xludf.DUMMYFUNCTION("""COMPUTED_VALUE"""),"Vanguard S&amp;P 500 UCITS")</f>
        <v>Vanguard S&amp;P 500 UCITS</v>
      </c>
      <c r="D6" s="58" t="str">
        <f>IFERROR(__xludf.DUMMYFUNCTION("""COMPUTED_VALUE"""),"SELL")</f>
        <v>SELL</v>
      </c>
      <c r="E6" s="50">
        <f>IFERROR(__xludf.DUMMYFUNCTION("""COMPUTED_VALUE"""),-28.0)</f>
        <v>-28</v>
      </c>
      <c r="F6" s="59">
        <f>IFERROR(__xludf.DUMMYFUNCTION("""COMPUTED_VALUE"""),58.68)</f>
        <v>58.68</v>
      </c>
      <c r="G6" s="60">
        <f>IFERROR(__xludf.DUMMYFUNCTION("""COMPUTED_VALUE"""),1643.04)</f>
        <v>1643.04</v>
      </c>
      <c r="H6" s="61" t="str">
        <f t="shared" si="1"/>
        <v>Vanguard S&amp;P 500 UCITS@SELL@-28@1643.04</v>
      </c>
    </row>
    <row r="7">
      <c r="A7" s="56">
        <f>IFERROR(__xludf.DUMMYFUNCTION("""COMPUTED_VALUE"""),44144.0)</f>
        <v>44144</v>
      </c>
      <c r="B7" t="str">
        <f>IFERROR(__xludf.DUMMYFUNCTION("""COMPUTED_VALUE"""),"Intermediate US bonds (7-10 year)")</f>
        <v>Intermediate US bonds (7-10 year)</v>
      </c>
      <c r="C7" s="57" t="str">
        <f>IFERROR(__xludf.DUMMYFUNCTION("""COMPUTED_VALUE"""),"iShares Treasury Bond 7-10 UCITS")</f>
        <v>iShares Treasury Bond 7-10 UCITS</v>
      </c>
      <c r="D7" s="58" t="str">
        <f>IFERROR(__xludf.DUMMYFUNCTION("""COMPUTED_VALUE"""),"BUY")</f>
        <v>BUY</v>
      </c>
      <c r="E7" s="50">
        <f>IFERROR(__xludf.DUMMYFUNCTION("""COMPUTED_VALUE"""),6.0)</f>
        <v>6</v>
      </c>
      <c r="F7" s="59">
        <f>IFERROR(__xludf.DUMMYFUNCTION("""COMPUTED_VALUE"""),185.15)</f>
        <v>185.15</v>
      </c>
      <c r="G7" s="60">
        <f>IFERROR(__xludf.DUMMYFUNCTION("""COMPUTED_VALUE"""),-1110.9)</f>
        <v>-1110.9</v>
      </c>
      <c r="H7" s="61" t="str">
        <f t="shared" si="1"/>
        <v>iShares Treasury Bond 7-10 UCITS@BUY@6@-1110.9</v>
      </c>
    </row>
    <row r="8">
      <c r="A8" s="56">
        <f>IFERROR(__xludf.DUMMYFUNCTION("""COMPUTED_VALUE"""),44144.0)</f>
        <v>44144</v>
      </c>
      <c r="B8" t="str">
        <f>IFERROR(__xludf.DUMMYFUNCTION("""COMPUTED_VALUE"""),"Long term US bonds (20-25 year)")</f>
        <v>Long term US bonds (20-25 year)</v>
      </c>
      <c r="C8" s="57" t="str">
        <f>IFERROR(__xludf.DUMMYFUNCTION("""COMPUTED_VALUE"""),"iShares Treasury Bond 20+ UCITS")</f>
        <v>iShares Treasury Bond 20+ UCITS</v>
      </c>
      <c r="D8" s="58" t="str">
        <f>IFERROR(__xludf.DUMMYFUNCTION("""COMPUTED_VALUE"""),"COST")</f>
        <v>COST</v>
      </c>
      <c r="E8" s="50" t="str">
        <f>IFERROR(__xludf.DUMMYFUNCTION("""COMPUTED_VALUE"""),"")</f>
        <v/>
      </c>
      <c r="F8" s="59" t="str">
        <f>IFERROR(__xludf.DUMMYFUNCTION("""COMPUTED_VALUE"""),"")</f>
        <v/>
      </c>
      <c r="G8" s="60">
        <f>IFERROR(__xludf.DUMMYFUNCTION("""COMPUTED_VALUE"""),-1.5)</f>
        <v>-1.5</v>
      </c>
      <c r="H8" s="61" t="str">
        <f t="shared" si="1"/>
        <v>iShares Treasury Bond 20+ UCITS@COST@@-1.5</v>
      </c>
    </row>
    <row r="9">
      <c r="A9" s="56">
        <f>IFERROR(__xludf.DUMMYFUNCTION("""COMPUTED_VALUE"""),44144.0)</f>
        <v>44144</v>
      </c>
      <c r="B9" t="str">
        <f>IFERROR(__xludf.DUMMYFUNCTION("""COMPUTED_VALUE"""),"Long term US bonds (20-25 year)")</f>
        <v>Long term US bonds (20-25 year)</v>
      </c>
      <c r="C9" s="57" t="str">
        <f>IFERROR(__xludf.DUMMYFUNCTION("""COMPUTED_VALUE"""),"iShares Treasury Bond 20+ UCITS")</f>
        <v>iShares Treasury Bond 20+ UCITS</v>
      </c>
      <c r="D9" s="58" t="str">
        <f>IFERROR(__xludf.DUMMYFUNCTION("""COMPUTED_VALUE"""),"BUY")</f>
        <v>BUY</v>
      </c>
      <c r="E9" s="50">
        <f>IFERROR(__xludf.DUMMYFUNCTION("""COMPUTED_VALUE"""),1521.0)</f>
        <v>1521</v>
      </c>
      <c r="F9" s="59">
        <f>IFERROR(__xludf.DUMMYFUNCTION("""COMPUTED_VALUE"""),4.9399999999999995)</f>
        <v>4.94</v>
      </c>
      <c r="G9" s="60">
        <f>IFERROR(__xludf.DUMMYFUNCTION("""COMPUTED_VALUE"""),-7513.74)</f>
        <v>-7513.74</v>
      </c>
      <c r="H9" s="61" t="str">
        <f t="shared" si="1"/>
        <v>iShares Treasury Bond 20+ UCITS@BUY@1521@-7513.74</v>
      </c>
    </row>
    <row r="10">
      <c r="A10" s="56">
        <f>IFERROR(__xludf.DUMMYFUNCTION("""COMPUTED_VALUE"""),44144.0)</f>
        <v>44144</v>
      </c>
      <c r="B10" t="str">
        <f>IFERROR(__xludf.DUMMYFUNCTION("""COMPUTED_VALUE"""),"Stocks")</f>
        <v>Stocks</v>
      </c>
      <c r="C10" s="57" t="str">
        <f>IFERROR(__xludf.DUMMYFUNCTION("""COMPUTED_VALUE"""),"Vanguard S&amp;P 500 UCITS")</f>
        <v>Vanguard S&amp;P 500 UCITS</v>
      </c>
      <c r="D10" s="58" t="str">
        <f>IFERROR(__xludf.DUMMYFUNCTION("""COMPUTED_VALUE"""),"SELL")</f>
        <v>SELL</v>
      </c>
      <c r="E10" s="50">
        <f>IFERROR(__xludf.DUMMYFUNCTION("""COMPUTED_VALUE"""),-64.0)</f>
        <v>-64</v>
      </c>
      <c r="F10" s="59">
        <f>IFERROR(__xludf.DUMMYFUNCTION("""COMPUTED_VALUE"""),58.43)</f>
        <v>58.43</v>
      </c>
      <c r="G10" s="60">
        <f>IFERROR(__xludf.DUMMYFUNCTION("""COMPUTED_VALUE"""),3739.52)</f>
        <v>3739.52</v>
      </c>
      <c r="H10" s="61" t="str">
        <f t="shared" si="1"/>
        <v>Vanguard S&amp;P 500 UCITS@SELL@-64@3739.52</v>
      </c>
    </row>
    <row r="11">
      <c r="A11" s="56">
        <f>IFERROR(__xludf.DUMMYFUNCTION("""COMPUTED_VALUE"""),44144.0)</f>
        <v>44144</v>
      </c>
      <c r="B11" t="str">
        <f>IFERROR(__xludf.DUMMYFUNCTION("""COMPUTED_VALUE"""),"Long term US bonds (20-25 year)")</f>
        <v>Long term US bonds (20-25 year)</v>
      </c>
      <c r="C11" s="57" t="str">
        <f>IFERROR(__xludf.DUMMYFUNCTION("""COMPUTED_VALUE"""),"iShares Treasury Bond 20+ UCITS")</f>
        <v>iShares Treasury Bond 20+ UCITS</v>
      </c>
      <c r="D11" s="58" t="str">
        <f>IFERROR(__xludf.DUMMYFUNCTION("""COMPUTED_VALUE"""),"COST")</f>
        <v>COST</v>
      </c>
      <c r="E11" s="50" t="str">
        <f>IFERROR(__xludf.DUMMYFUNCTION("""COMPUTED_VALUE"""),"")</f>
        <v/>
      </c>
      <c r="F11" s="59" t="str">
        <f>IFERROR(__xludf.DUMMYFUNCTION("""COMPUTED_VALUE"""),"")</f>
        <v/>
      </c>
      <c r="G11" s="60">
        <f>IFERROR(__xludf.DUMMYFUNCTION("""COMPUTED_VALUE"""),-2.11)</f>
        <v>-2.11</v>
      </c>
      <c r="H11" s="61" t="str">
        <f t="shared" si="1"/>
        <v>iShares Treasury Bond 20+ UCITS@COST@@-2.11</v>
      </c>
    </row>
    <row r="12">
      <c r="A12" s="56">
        <f>IFERROR(__xludf.DUMMYFUNCTION("""COMPUTED_VALUE"""),44144.0)</f>
        <v>44144</v>
      </c>
      <c r="B12" t="str">
        <f>IFERROR(__xludf.DUMMYFUNCTION("""COMPUTED_VALUE"""),"Long term US bonds (20-25 year)")</f>
        <v>Long term US bonds (20-25 year)</v>
      </c>
      <c r="C12" s="57" t="str">
        <f>IFERROR(__xludf.DUMMYFUNCTION("""COMPUTED_VALUE"""),"iShares Treasury Bond 20+ UCITS")</f>
        <v>iShares Treasury Bond 20+ UCITS</v>
      </c>
      <c r="D12" s="58" t="str">
        <f>IFERROR(__xludf.DUMMYFUNCTION("""COMPUTED_VALUE"""),"BUY")</f>
        <v>BUY</v>
      </c>
      <c r="E12" s="50">
        <f>IFERROR(__xludf.DUMMYFUNCTION("""COMPUTED_VALUE"""),108.0)</f>
        <v>108</v>
      </c>
      <c r="F12" s="59">
        <f>IFERROR(__xludf.DUMMYFUNCTION("""COMPUTED_VALUE"""),4.91)</f>
        <v>4.91</v>
      </c>
      <c r="G12" s="60">
        <f>IFERROR(__xludf.DUMMYFUNCTION("""COMPUTED_VALUE"""),-530.28)</f>
        <v>-530.28</v>
      </c>
      <c r="H12" s="61" t="str">
        <f t="shared" si="1"/>
        <v>iShares Treasury Bond 20+ UCITS@BUY@108@-530.28</v>
      </c>
    </row>
    <row r="13">
      <c r="A13" s="56">
        <f>IFERROR(__xludf.DUMMYFUNCTION("""COMPUTED_VALUE"""),44144.0)</f>
        <v>44144</v>
      </c>
      <c r="B13" t="str">
        <f>IFERROR(__xludf.DUMMYFUNCTION("""COMPUTED_VALUE"""),"Stocks")</f>
        <v>Stocks</v>
      </c>
      <c r="C13" s="57" t="str">
        <f>IFERROR(__xludf.DUMMYFUNCTION("""COMPUTED_VALUE"""),"Vanguard S&amp;P 500 UCITS")</f>
        <v>Vanguard S&amp;P 500 UCITS</v>
      </c>
      <c r="D13" s="58" t="str">
        <f>IFERROR(__xludf.DUMMYFUNCTION("""COMPUTED_VALUE"""),"SELL")</f>
        <v>SELL</v>
      </c>
      <c r="E13" s="50">
        <f>IFERROR(__xludf.DUMMYFUNCTION("""COMPUTED_VALUE"""),-230.0)</f>
        <v>-230</v>
      </c>
      <c r="F13" s="59">
        <f>IFERROR(__xludf.DUMMYFUNCTION("""COMPUTED_VALUE"""),58.25)</f>
        <v>58.25</v>
      </c>
      <c r="G13" s="60">
        <f>IFERROR(__xludf.DUMMYFUNCTION("""COMPUTED_VALUE"""),13397.5)</f>
        <v>13397.5</v>
      </c>
      <c r="H13" s="61" t="str">
        <f t="shared" si="1"/>
        <v>Vanguard S&amp;P 500 UCITS@SELL@-230@13397.5</v>
      </c>
    </row>
    <row r="14">
      <c r="A14" s="56">
        <f>IFERROR(__xludf.DUMMYFUNCTION("""COMPUTED_VALUE"""),44144.0)</f>
        <v>44144</v>
      </c>
      <c r="B14" t="str">
        <f>IFERROR(__xludf.DUMMYFUNCTION("""COMPUTED_VALUE"""),"Intermediate US bonds (7-10 year)")</f>
        <v>Intermediate US bonds (7-10 year)</v>
      </c>
      <c r="C14" s="57" t="str">
        <f>IFERROR(__xludf.DUMMYFUNCTION("""COMPUTED_VALUE"""),"iShares Treasury Bond 7-10 UCITS")</f>
        <v>iShares Treasury Bond 7-10 UCITS</v>
      </c>
      <c r="D14" s="58" t="str">
        <f>IFERROR(__xludf.DUMMYFUNCTION("""COMPUTED_VALUE"""),"BUY")</f>
        <v>BUY</v>
      </c>
      <c r="E14" s="50">
        <f>IFERROR(__xludf.DUMMYFUNCTION("""COMPUTED_VALUE"""),12.0)</f>
        <v>12</v>
      </c>
      <c r="F14" s="59">
        <f>IFERROR(__xludf.DUMMYFUNCTION("""COMPUTED_VALUE"""),185.35)</f>
        <v>185.35</v>
      </c>
      <c r="G14" s="60">
        <f>IFERROR(__xludf.DUMMYFUNCTION("""COMPUTED_VALUE"""),-2224.2)</f>
        <v>-2224.2</v>
      </c>
      <c r="H14" s="61" t="str">
        <f t="shared" si="1"/>
        <v>iShares Treasury Bond 7-10 UCITS@BUY@12@-2224.2</v>
      </c>
    </row>
    <row r="15">
      <c r="A15" s="56">
        <f>IFERROR(__xludf.DUMMYFUNCTION("""COMPUTED_VALUE"""),44144.0)</f>
        <v>44144</v>
      </c>
      <c r="B15" t="str">
        <f>IFERROR(__xludf.DUMMYFUNCTION("""COMPUTED_VALUE"""),"Long term US bonds (20-25 year)")</f>
        <v>Long term US bonds (20-25 year)</v>
      </c>
      <c r="C15" s="57" t="str">
        <f>IFERROR(__xludf.DUMMYFUNCTION("""COMPUTED_VALUE"""),"iShares Treasury Bond 20+ UCITS")</f>
        <v>iShares Treasury Bond 20+ UCITS</v>
      </c>
      <c r="D15" s="58" t="str">
        <f>IFERROR(__xludf.DUMMYFUNCTION("""COMPUTED_VALUE"""),"COST")</f>
        <v>COST</v>
      </c>
      <c r="E15" s="50" t="str">
        <f>IFERROR(__xludf.DUMMYFUNCTION("""COMPUTED_VALUE"""),"")</f>
        <v/>
      </c>
      <c r="F15" s="59" t="str">
        <f>IFERROR(__xludf.DUMMYFUNCTION("""COMPUTED_VALUE"""),"")</f>
        <v/>
      </c>
      <c r="G15" s="60">
        <f>IFERROR(__xludf.DUMMYFUNCTION("""COMPUTED_VALUE"""),-7.98)</f>
        <v>-7.98</v>
      </c>
      <c r="H15" s="61" t="str">
        <f t="shared" si="1"/>
        <v>iShares Treasury Bond 20+ UCITS@COST@@-7.98</v>
      </c>
    </row>
    <row r="16">
      <c r="A16" s="56">
        <f>IFERROR(__xludf.DUMMYFUNCTION("""COMPUTED_VALUE"""),44144.0)</f>
        <v>44144</v>
      </c>
      <c r="B16" t="str">
        <f>IFERROR(__xludf.DUMMYFUNCTION("""COMPUTED_VALUE"""),"Long term US bonds (20-25 year)")</f>
        <v>Long term US bonds (20-25 year)</v>
      </c>
      <c r="C16" s="57" t="str">
        <f>IFERROR(__xludf.DUMMYFUNCTION("""COMPUTED_VALUE"""),"iShares Treasury Bond 20+ UCITS")</f>
        <v>iShares Treasury Bond 20+ UCITS</v>
      </c>
      <c r="D16" s="58" t="str">
        <f>IFERROR(__xludf.DUMMYFUNCTION("""COMPUTED_VALUE"""),"BUY")</f>
        <v>BUY</v>
      </c>
      <c r="E16" s="50">
        <f>IFERROR(__xludf.DUMMYFUNCTION("""COMPUTED_VALUE"""),6092.0)</f>
        <v>6092</v>
      </c>
      <c r="F16" s="59">
        <f>IFERROR(__xludf.DUMMYFUNCTION("""COMPUTED_VALUE"""),4.91)</f>
        <v>4.91</v>
      </c>
      <c r="G16" s="60">
        <f>IFERROR(__xludf.DUMMYFUNCTION("""COMPUTED_VALUE"""),-29911.72)</f>
        <v>-29911.72</v>
      </c>
      <c r="H16" s="61" t="str">
        <f t="shared" si="1"/>
        <v>iShares Treasury Bond 20+ UCITS@BUY@6092@-29911.72</v>
      </c>
    </row>
    <row r="17">
      <c r="A17" s="56">
        <f>IFERROR(__xludf.DUMMYFUNCTION("""COMPUTED_VALUE"""),44144.0)</f>
        <v>44144</v>
      </c>
      <c r="B17" t="str">
        <f>IFERROR(__xludf.DUMMYFUNCTION("""COMPUTED_VALUE"""),"Stocks")</f>
        <v>Stocks</v>
      </c>
      <c r="C17" s="57" t="str">
        <f>IFERROR(__xludf.DUMMYFUNCTION("""COMPUTED_VALUE"""),"Vanguard S&amp;P 500 UCITS")</f>
        <v>Vanguard S&amp;P 500 UCITS</v>
      </c>
      <c r="D17" s="58" t="str">
        <f>IFERROR(__xludf.DUMMYFUNCTION("""COMPUTED_VALUE"""),"SELL")</f>
        <v>SELL</v>
      </c>
      <c r="E17" s="50">
        <f>IFERROR(__xludf.DUMMYFUNCTION("""COMPUTED_VALUE"""),-760.0)</f>
        <v>-760</v>
      </c>
      <c r="F17" s="59">
        <f>IFERROR(__xludf.DUMMYFUNCTION("""COMPUTED_VALUE"""),58.0)</f>
        <v>58</v>
      </c>
      <c r="G17" s="60">
        <f>IFERROR(__xludf.DUMMYFUNCTION("""COMPUTED_VALUE"""),44080.0)</f>
        <v>44080</v>
      </c>
      <c r="H17" s="61" t="str">
        <f t="shared" si="1"/>
        <v>Vanguard S&amp;P 500 UCITS@SELL@-760@44080</v>
      </c>
    </row>
    <row r="18">
      <c r="A18" s="56">
        <f>IFERROR(__xludf.DUMMYFUNCTION("""COMPUTED_VALUE"""),44144.0)</f>
        <v>44144</v>
      </c>
      <c r="B18" t="str">
        <f>IFERROR(__xludf.DUMMYFUNCTION("""COMPUTED_VALUE"""),"Intermediate US bonds (7-10 year)")</f>
        <v>Intermediate US bonds (7-10 year)</v>
      </c>
      <c r="C18" s="57" t="str">
        <f>IFERROR(__xludf.DUMMYFUNCTION("""COMPUTED_VALUE"""),"iShares Treasury Bond 7-10 UCITS")</f>
        <v>iShares Treasury Bond 7-10 UCITS</v>
      </c>
      <c r="D18" s="58" t="str">
        <f>IFERROR(__xludf.DUMMYFUNCTION("""COMPUTED_VALUE"""),"BUY")</f>
        <v>BUY</v>
      </c>
      <c r="E18" s="50">
        <f>IFERROR(__xludf.DUMMYFUNCTION("""COMPUTED_VALUE"""),6.0)</f>
        <v>6</v>
      </c>
      <c r="F18" s="59">
        <f>IFERROR(__xludf.DUMMYFUNCTION("""COMPUTED_VALUE"""),186.84)</f>
        <v>186.84</v>
      </c>
      <c r="G18" s="60">
        <f>IFERROR(__xludf.DUMMYFUNCTION("""COMPUTED_VALUE"""),-1121.04)</f>
        <v>-1121.04</v>
      </c>
      <c r="H18" s="61" t="str">
        <f t="shared" si="1"/>
        <v>iShares Treasury Bond 7-10 UCITS@BUY@6@-1121.04</v>
      </c>
    </row>
    <row r="19">
      <c r="A19" s="56">
        <f>IFERROR(__xludf.DUMMYFUNCTION("""COMPUTED_VALUE"""),44144.0)</f>
        <v>44144</v>
      </c>
      <c r="B19" t="str">
        <f>IFERROR(__xludf.DUMMYFUNCTION("""COMPUTED_VALUE"""),"Long term US bonds (20-25 year)")</f>
        <v>Long term US bonds (20-25 year)</v>
      </c>
      <c r="C19" s="57" t="str">
        <f>IFERROR(__xludf.DUMMYFUNCTION("""COMPUTED_VALUE"""),"iShares Treasury Bond 20+ UCITS")</f>
        <v>iShares Treasury Bond 20+ UCITS</v>
      </c>
      <c r="D19" s="58" t="str">
        <f>IFERROR(__xludf.DUMMYFUNCTION("""COMPUTED_VALUE"""),"COST")</f>
        <v>COST</v>
      </c>
      <c r="E19" s="50" t="str">
        <f>IFERROR(__xludf.DUMMYFUNCTION("""COMPUTED_VALUE"""),"")</f>
        <v/>
      </c>
      <c r="F19" s="59" t="str">
        <f>IFERROR(__xludf.DUMMYFUNCTION("""COMPUTED_VALUE"""),"")</f>
        <v/>
      </c>
      <c r="G19" s="60">
        <f>IFERROR(__xludf.DUMMYFUNCTION("""COMPUTED_VALUE"""),-6.86)</f>
        <v>-6.86</v>
      </c>
      <c r="H19" s="61" t="str">
        <f t="shared" si="1"/>
        <v>iShares Treasury Bond 20+ UCITS@COST@@-6.86</v>
      </c>
    </row>
    <row r="20">
      <c r="A20" s="56">
        <f>IFERROR(__xludf.DUMMYFUNCTION("""COMPUTED_VALUE"""),44144.0)</f>
        <v>44144</v>
      </c>
      <c r="B20" t="str">
        <f>IFERROR(__xludf.DUMMYFUNCTION("""COMPUTED_VALUE"""),"Long term US bonds (20-25 year)")</f>
        <v>Long term US bonds (20-25 year)</v>
      </c>
      <c r="C20" s="57" t="str">
        <f>IFERROR(__xludf.DUMMYFUNCTION("""COMPUTED_VALUE"""),"iShares Treasury Bond 20+ UCITS")</f>
        <v>iShares Treasury Bond 20+ UCITS</v>
      </c>
      <c r="D20" s="58" t="str">
        <f>IFERROR(__xludf.DUMMYFUNCTION("""COMPUTED_VALUE"""),"BUY")</f>
        <v>BUY</v>
      </c>
      <c r="E20" s="50">
        <f>IFERROR(__xludf.DUMMYFUNCTION("""COMPUTED_VALUE"""),4813.0)</f>
        <v>4813</v>
      </c>
      <c r="F20" s="59">
        <f>IFERROR(__xludf.DUMMYFUNCTION("""COMPUTED_VALUE"""),5.050000000000001)</f>
        <v>5.05</v>
      </c>
      <c r="G20" s="60">
        <f>IFERROR(__xludf.DUMMYFUNCTION("""COMPUTED_VALUE"""),-24305.65)</f>
        <v>-24305.65</v>
      </c>
      <c r="H20" s="61" t="str">
        <f t="shared" si="1"/>
        <v>iShares Treasury Bond 20+ UCITS@BUY@4813@-24305.65</v>
      </c>
    </row>
    <row r="21">
      <c r="A21" s="56">
        <f>IFERROR(__xludf.DUMMYFUNCTION("""COMPUTED_VALUE"""),44144.0)</f>
        <v>44144</v>
      </c>
      <c r="B21" t="str">
        <f>IFERROR(__xludf.DUMMYFUNCTION("""COMPUTED_VALUE"""),"Intermediate US bonds (7-10 year)")</f>
        <v>Intermediate US bonds (7-10 year)</v>
      </c>
      <c r="C21" s="57" t="str">
        <f>IFERROR(__xludf.DUMMYFUNCTION("""COMPUTED_VALUE"""),"iShares Treasury Bond 7-10 UCITS")</f>
        <v>iShares Treasury Bond 7-10 UCITS</v>
      </c>
      <c r="D21" s="58" t="str">
        <f>IFERROR(__xludf.DUMMYFUNCTION("""COMPUTED_VALUE"""),"BUY")</f>
        <v>BUY</v>
      </c>
      <c r="E21" s="50">
        <f>IFERROR(__xludf.DUMMYFUNCTION("""COMPUTED_VALUE"""),14.0)</f>
        <v>14</v>
      </c>
      <c r="F21" s="59">
        <f>IFERROR(__xludf.DUMMYFUNCTION("""COMPUTED_VALUE"""),186.84)</f>
        <v>186.84</v>
      </c>
      <c r="G21" s="60">
        <f>IFERROR(__xludf.DUMMYFUNCTION("""COMPUTED_VALUE"""),-2615.76)</f>
        <v>-2615.76</v>
      </c>
      <c r="H21" s="61" t="str">
        <f t="shared" si="1"/>
        <v>iShares Treasury Bond 7-10 UCITS@BUY@14@-2615.76</v>
      </c>
    </row>
    <row r="22">
      <c r="A22" s="56">
        <f>IFERROR(__xludf.DUMMYFUNCTION("""COMPUTED_VALUE"""),44141.0)</f>
        <v>44141</v>
      </c>
      <c r="B22" t="str">
        <f>IFERROR(__xludf.DUMMYFUNCTION("""COMPUTED_VALUE"""),"Long term US bonds (20-25 year)")</f>
        <v>Long term US bonds (20-25 year)</v>
      </c>
      <c r="C22" s="57" t="str">
        <f>IFERROR(__xludf.DUMMYFUNCTION("""COMPUTED_VALUE"""),"iShares Treasury Bond 20+ UCITS")</f>
        <v>iShares Treasury Bond 20+ UCITS</v>
      </c>
      <c r="D22" s="58" t="str">
        <f>IFERROR(__xludf.DUMMYFUNCTION("""COMPUTED_VALUE"""),"COST")</f>
        <v>COST</v>
      </c>
      <c r="E22" s="50" t="str">
        <f>IFERROR(__xludf.DUMMYFUNCTION("""COMPUTED_VALUE"""),"")</f>
        <v/>
      </c>
      <c r="F22" s="59" t="str">
        <f>IFERROR(__xludf.DUMMYFUNCTION("""COMPUTED_VALUE"""),"")</f>
        <v/>
      </c>
      <c r="G22" s="60">
        <f>IFERROR(__xludf.DUMMYFUNCTION("""COMPUTED_VALUE"""),-3.02)</f>
        <v>-3.02</v>
      </c>
      <c r="H22" s="61" t="str">
        <f t="shared" si="1"/>
        <v>iShares Treasury Bond 20+ UCITS@COST@@-3.02</v>
      </c>
    </row>
    <row r="23">
      <c r="A23" s="56">
        <f>IFERROR(__xludf.DUMMYFUNCTION("""COMPUTED_VALUE"""),44141.0)</f>
        <v>44141</v>
      </c>
      <c r="B23" t="str">
        <f>IFERROR(__xludf.DUMMYFUNCTION("""COMPUTED_VALUE"""),"Long term US bonds (20-25 year)")</f>
        <v>Long term US bonds (20-25 year)</v>
      </c>
      <c r="C23" s="57" t="str">
        <f>IFERROR(__xludf.DUMMYFUNCTION("""COMPUTED_VALUE"""),"iShares Treasury Bond 20+ UCITS")</f>
        <v>iShares Treasury Bond 20+ UCITS</v>
      </c>
      <c r="D23" s="58" t="str">
        <f>IFERROR(__xludf.DUMMYFUNCTION("""COMPUTED_VALUE"""),"BUY")</f>
        <v>BUY</v>
      </c>
      <c r="E23" s="50">
        <f>IFERROR(__xludf.DUMMYFUNCTION("""COMPUTED_VALUE"""),1000.0)</f>
        <v>1000</v>
      </c>
      <c r="F23" s="59">
        <f>IFERROR(__xludf.DUMMYFUNCTION("""COMPUTED_VALUE"""),5.092)</f>
        <v>5.092</v>
      </c>
      <c r="G23" s="60">
        <f>IFERROR(__xludf.DUMMYFUNCTION("""COMPUTED_VALUE"""),-5092.0)</f>
        <v>-5092</v>
      </c>
      <c r="H23" s="61" t="str">
        <f t="shared" si="1"/>
        <v>iShares Treasury Bond 20+ UCITS@BUY@1000@-5092</v>
      </c>
    </row>
    <row r="24">
      <c r="A24" s="56">
        <f>IFERROR(__xludf.DUMMYFUNCTION("""COMPUTED_VALUE"""),44141.0)</f>
        <v>44141</v>
      </c>
      <c r="B24" t="str">
        <f>IFERROR(__xludf.DUMMYFUNCTION("""COMPUTED_VALUE"""),"Intermediate US bonds (7-10 year)")</f>
        <v>Intermediate US bonds (7-10 year)</v>
      </c>
      <c r="C24" s="57" t="str">
        <f>IFERROR(__xludf.DUMMYFUNCTION("""COMPUTED_VALUE"""),"iShares Treasury Bond 7-10 UCITS")</f>
        <v>iShares Treasury Bond 7-10 UCITS</v>
      </c>
      <c r="D24" s="58" t="str">
        <f>IFERROR(__xludf.DUMMYFUNCTION("""COMPUTED_VALUE"""),"BUY")</f>
        <v>BUY</v>
      </c>
      <c r="E24" s="50">
        <f>IFERROR(__xludf.DUMMYFUNCTION("""COMPUTED_VALUE"""),6.0)</f>
        <v>6</v>
      </c>
      <c r="F24" s="59">
        <f>IFERROR(__xludf.DUMMYFUNCTION("""COMPUTED_VALUE"""),187.25)</f>
        <v>187.25</v>
      </c>
      <c r="G24" s="60">
        <f>IFERROR(__xludf.DUMMYFUNCTION("""COMPUTED_VALUE"""),-1123.5)</f>
        <v>-1123.5</v>
      </c>
      <c r="H24" s="61" t="str">
        <f t="shared" si="1"/>
        <v>iShares Treasury Bond 7-10 UCITS@BUY@6@-1123.5</v>
      </c>
    </row>
    <row r="25">
      <c r="A25" s="56">
        <f>IFERROR(__xludf.DUMMYFUNCTION("""COMPUTED_VALUE"""),44141.0)</f>
        <v>44141</v>
      </c>
      <c r="B25" t="str">
        <f>IFERROR(__xludf.DUMMYFUNCTION("""COMPUTED_VALUE"""),"")</f>
        <v/>
      </c>
      <c r="C25" s="57" t="str">
        <f>IFERROR(__xludf.DUMMYFUNCTION("""COMPUTED_VALUE"""),"")</f>
        <v/>
      </c>
      <c r="D25" s="58" t="str">
        <f>IFERROR(__xludf.DUMMYFUNCTION("""COMPUTED_VALUE"""),"COST")</f>
        <v>COST</v>
      </c>
      <c r="E25" s="50" t="str">
        <f>IFERROR(__xludf.DUMMYFUNCTION("""COMPUTED_VALUE"""),"")</f>
        <v/>
      </c>
      <c r="F25" s="59" t="str">
        <f>IFERROR(__xludf.DUMMYFUNCTION("""COMPUTED_VALUE"""),"")</f>
        <v/>
      </c>
      <c r="G25" s="60" t="str">
        <f>IFERROR(__xludf.DUMMYFUNCTION("""COMPUTED_VALUE"""),"")</f>
        <v/>
      </c>
      <c r="H25" s="61" t="str">
        <f t="shared" si="1"/>
        <v>@COST@@</v>
      </c>
    </row>
    <row r="26">
      <c r="A26" s="56">
        <f>IFERROR(__xludf.DUMMYFUNCTION("""COMPUTED_VALUE"""),44140.0)</f>
        <v>44140</v>
      </c>
      <c r="B26" t="str">
        <f>IFERROR(__xludf.DUMMYFUNCTION("""COMPUTED_VALUE"""),"Intermediate US bonds (7-10 year)")</f>
        <v>Intermediate US bonds (7-10 year)</v>
      </c>
      <c r="C26" s="57" t="str">
        <f>IFERROR(__xludf.DUMMYFUNCTION("""COMPUTED_VALUE"""),"iShares Treasury Bond 7-10 UCITS")</f>
        <v>iShares Treasury Bond 7-10 UCITS</v>
      </c>
      <c r="D26" s="58" t="str">
        <f>IFERROR(__xludf.DUMMYFUNCTION("""COMPUTED_VALUE"""),"BUY")</f>
        <v>BUY</v>
      </c>
      <c r="E26" s="50">
        <f>IFERROR(__xludf.DUMMYFUNCTION("""COMPUTED_VALUE"""),56.0)</f>
        <v>56</v>
      </c>
      <c r="F26" s="59">
        <f>IFERROR(__xludf.DUMMYFUNCTION("""COMPUTED_VALUE"""),188.75)</f>
        <v>188.75</v>
      </c>
      <c r="G26" s="60">
        <f>IFERROR(__xludf.DUMMYFUNCTION("""COMPUTED_VALUE"""),-10570.0)</f>
        <v>-10570</v>
      </c>
      <c r="H26" s="61" t="str">
        <f t="shared" si="1"/>
        <v>iShares Treasury Bond 7-10 UCITS@BUY@56@-10570</v>
      </c>
    </row>
    <row r="27">
      <c r="A27" s="56">
        <f>IFERROR(__xludf.DUMMYFUNCTION("""COMPUTED_VALUE"""),44140.0)</f>
        <v>44140</v>
      </c>
      <c r="B27" t="str">
        <f>IFERROR(__xludf.DUMMYFUNCTION("""COMPUTED_VALUE"""),"Stocks")</f>
        <v>Stocks</v>
      </c>
      <c r="C27" s="57" t="str">
        <f>IFERROR(__xludf.DUMMYFUNCTION("""COMPUTED_VALUE"""),"Vanguard S&amp;P 500 UCITS")</f>
        <v>Vanguard S&amp;P 500 UCITS</v>
      </c>
      <c r="D27" s="58" t="str">
        <f>IFERROR(__xludf.DUMMYFUNCTION("""COMPUTED_VALUE"""),"SELL")</f>
        <v>SELL</v>
      </c>
      <c r="E27" s="50">
        <f>IFERROR(__xludf.DUMMYFUNCTION("""COMPUTED_VALUE"""),-450.0)</f>
        <v>-450</v>
      </c>
      <c r="F27" s="59">
        <f>IFERROR(__xludf.DUMMYFUNCTION("""COMPUTED_VALUE"""),56.35)</f>
        <v>56.35</v>
      </c>
      <c r="G27" s="60">
        <f>IFERROR(__xludf.DUMMYFUNCTION("""COMPUTED_VALUE"""),25357.5)</f>
        <v>25357.5</v>
      </c>
      <c r="H27" s="61" t="str">
        <f t="shared" si="1"/>
        <v>Vanguard S&amp;P 500 UCITS@SELL@-450@25357.5</v>
      </c>
    </row>
    <row r="28">
      <c r="A28" s="56">
        <f>IFERROR(__xludf.DUMMYFUNCTION("""COMPUTED_VALUE"""),44140.0)</f>
        <v>44140</v>
      </c>
      <c r="B28" t="str">
        <f>IFERROR(__xludf.DUMMYFUNCTION("""COMPUTED_VALUE"""),"")</f>
        <v/>
      </c>
      <c r="C28" s="57" t="str">
        <f>IFERROR(__xludf.DUMMYFUNCTION("""COMPUTED_VALUE"""),"")</f>
        <v/>
      </c>
      <c r="D28" s="58" t="str">
        <f>IFERROR(__xludf.DUMMYFUNCTION("""COMPUTED_VALUE"""),"COST")</f>
        <v>COST</v>
      </c>
      <c r="E28" s="50" t="str">
        <f>IFERROR(__xludf.DUMMYFUNCTION("""COMPUTED_VALUE"""),"")</f>
        <v/>
      </c>
      <c r="F28" s="59" t="str">
        <f>IFERROR(__xludf.DUMMYFUNCTION("""COMPUTED_VALUE"""),"")</f>
        <v/>
      </c>
      <c r="G28" s="60" t="str">
        <f>IFERROR(__xludf.DUMMYFUNCTION("""COMPUTED_VALUE"""),"")</f>
        <v/>
      </c>
      <c r="H28" s="61" t="str">
        <f t="shared" si="1"/>
        <v>@COST@@</v>
      </c>
    </row>
    <row r="29">
      <c r="A29" s="56">
        <f>IFERROR(__xludf.DUMMYFUNCTION("""COMPUTED_VALUE"""),44140.0)</f>
        <v>44140</v>
      </c>
      <c r="B29" t="str">
        <f>IFERROR(__xludf.DUMMYFUNCTION("""COMPUTED_VALUE"""),"")</f>
        <v/>
      </c>
      <c r="C29" s="57" t="str">
        <f>IFERROR(__xludf.DUMMYFUNCTION("""COMPUTED_VALUE"""),"")</f>
        <v/>
      </c>
      <c r="D29" s="58" t="str">
        <f>IFERROR(__xludf.DUMMYFUNCTION("""COMPUTED_VALUE"""),"APPROVISIONNEMENT")</f>
        <v>APPROVISIONNEMENT</v>
      </c>
      <c r="E29" s="50" t="str">
        <f>IFERROR(__xludf.DUMMYFUNCTION("""COMPUTED_VALUE"""),"")</f>
        <v/>
      </c>
      <c r="F29" s="59" t="str">
        <f>IFERROR(__xludf.DUMMYFUNCTION("""COMPUTED_VALUE"""),"")</f>
        <v/>
      </c>
      <c r="G29" s="60">
        <f>IFERROR(__xludf.DUMMYFUNCTION("""COMPUTED_VALUE"""),-1800.0)</f>
        <v>-1800</v>
      </c>
      <c r="H29" s="61" t="str">
        <f t="shared" si="1"/>
        <v>@APPROVISIONNEMENT@@-1800</v>
      </c>
    </row>
    <row r="30">
      <c r="A30" s="56">
        <f>IFERROR(__xludf.DUMMYFUNCTION("""COMPUTED_VALUE"""),44139.0)</f>
        <v>44139</v>
      </c>
      <c r="B30" t="str">
        <f>IFERROR(__xludf.DUMMYFUNCTION("""COMPUTED_VALUE"""),"")</f>
        <v/>
      </c>
      <c r="C30" s="57" t="str">
        <f>IFERROR(__xludf.DUMMYFUNCTION("""COMPUTED_VALUE"""),"")</f>
        <v/>
      </c>
      <c r="D30" s="58" t="str">
        <f>IFERROR(__xludf.DUMMYFUNCTION("""COMPUTED_VALUE"""),"COST")</f>
        <v>COST</v>
      </c>
      <c r="E30" s="50" t="str">
        <f>IFERROR(__xludf.DUMMYFUNCTION("""COMPUTED_VALUE"""),"")</f>
        <v/>
      </c>
      <c r="F30" s="59" t="str">
        <f>IFERROR(__xludf.DUMMYFUNCTION("""COMPUTED_VALUE"""),"")</f>
        <v/>
      </c>
      <c r="G30" s="60" t="str">
        <f>IFERROR(__xludf.DUMMYFUNCTION("""COMPUTED_VALUE"""),"")</f>
        <v/>
      </c>
      <c r="H30" s="61" t="str">
        <f t="shared" si="1"/>
        <v>@COST@@</v>
      </c>
    </row>
    <row r="31">
      <c r="A31" s="56">
        <f>IFERROR(__xludf.DUMMYFUNCTION("""COMPUTED_VALUE"""),44139.0)</f>
        <v>44139</v>
      </c>
      <c r="B31" t="str">
        <f>IFERROR(__xludf.DUMMYFUNCTION("""COMPUTED_VALUE"""),"")</f>
        <v/>
      </c>
      <c r="C31" s="57" t="str">
        <f>IFERROR(__xludf.DUMMYFUNCTION("""COMPUTED_VALUE"""),"")</f>
        <v/>
      </c>
      <c r="D31" s="58" t="str">
        <f>IFERROR(__xludf.DUMMYFUNCTION("""COMPUTED_VALUE"""),"APPROVISIONNEMENT")</f>
        <v>APPROVISIONNEMENT</v>
      </c>
      <c r="E31" s="50" t="str">
        <f>IFERROR(__xludf.DUMMYFUNCTION("""COMPUTED_VALUE"""),"")</f>
        <v/>
      </c>
      <c r="F31" s="59" t="str">
        <f>IFERROR(__xludf.DUMMYFUNCTION("""COMPUTED_VALUE"""),"")</f>
        <v/>
      </c>
      <c r="G31" s="60">
        <f>IFERROR(__xludf.DUMMYFUNCTION("""COMPUTED_VALUE"""),1000.0)</f>
        <v>1000</v>
      </c>
      <c r="H31" s="61" t="str">
        <f t="shared" si="1"/>
        <v>@APPROVISIONNEMENT@@1000</v>
      </c>
    </row>
    <row r="32">
      <c r="A32" s="56">
        <f>IFERROR(__xludf.DUMMYFUNCTION("""COMPUTED_VALUE"""),44137.0)</f>
        <v>44137</v>
      </c>
      <c r="B32" t="str">
        <f>IFERROR(__xludf.DUMMYFUNCTION("""COMPUTED_VALUE"""),"")</f>
        <v/>
      </c>
      <c r="C32" s="57" t="str">
        <f>IFERROR(__xludf.DUMMYFUNCTION("""COMPUTED_VALUE"""),"")</f>
        <v/>
      </c>
      <c r="D32" s="58" t="str">
        <f>IFERROR(__xludf.DUMMYFUNCTION("""COMPUTED_VALUE"""),"COST")</f>
        <v>COST</v>
      </c>
      <c r="E32" s="50" t="str">
        <f>IFERROR(__xludf.DUMMYFUNCTION("""COMPUTED_VALUE"""),"")</f>
        <v/>
      </c>
      <c r="F32" s="59" t="str">
        <f>IFERROR(__xludf.DUMMYFUNCTION("""COMPUTED_VALUE"""),"")</f>
        <v/>
      </c>
      <c r="G32" s="60" t="str">
        <f>IFERROR(__xludf.DUMMYFUNCTION("""COMPUTED_VALUE"""),"")</f>
        <v/>
      </c>
      <c r="H32" s="61" t="str">
        <f t="shared" si="1"/>
        <v>@COST@@</v>
      </c>
    </row>
    <row r="33">
      <c r="A33" s="56">
        <f>IFERROR(__xludf.DUMMYFUNCTION("""COMPUTED_VALUE"""),44138.0)</f>
        <v>44138</v>
      </c>
      <c r="B33" t="str">
        <f>IFERROR(__xludf.DUMMYFUNCTION("""COMPUTED_VALUE"""),"")</f>
        <v/>
      </c>
      <c r="C33" s="57" t="str">
        <f>IFERROR(__xludf.DUMMYFUNCTION("""COMPUTED_VALUE"""),"")</f>
        <v/>
      </c>
      <c r="D33" s="58" t="str">
        <f>IFERROR(__xludf.DUMMYFUNCTION("""COMPUTED_VALUE"""),"COST")</f>
        <v>COST</v>
      </c>
      <c r="E33" s="50" t="str">
        <f>IFERROR(__xludf.DUMMYFUNCTION("""COMPUTED_VALUE"""),"")</f>
        <v/>
      </c>
      <c r="F33" s="59" t="str">
        <f>IFERROR(__xludf.DUMMYFUNCTION("""COMPUTED_VALUE"""),"")</f>
        <v/>
      </c>
      <c r="G33" s="60" t="str">
        <f>IFERROR(__xludf.DUMMYFUNCTION("""COMPUTED_VALUE"""),"")</f>
        <v/>
      </c>
      <c r="H33" s="61" t="str">
        <f t="shared" si="1"/>
        <v>@COST@@</v>
      </c>
    </row>
    <row r="34">
      <c r="A34" s="56">
        <f>IFERROR(__xludf.DUMMYFUNCTION("""COMPUTED_VALUE"""),44138.0)</f>
        <v>44138</v>
      </c>
      <c r="B34" t="str">
        <f>IFERROR(__xludf.DUMMYFUNCTION("""COMPUTED_VALUE"""),"")</f>
        <v/>
      </c>
      <c r="C34" s="57" t="str">
        <f>IFERROR(__xludf.DUMMYFUNCTION("""COMPUTED_VALUE"""),"")</f>
        <v/>
      </c>
      <c r="D34" s="58" t="str">
        <f>IFERROR(__xludf.DUMMYFUNCTION("""COMPUTED_VALUE"""),"APPROVISIONNEMENT")</f>
        <v>APPROVISIONNEMENT</v>
      </c>
      <c r="E34" s="50" t="str">
        <f>IFERROR(__xludf.DUMMYFUNCTION("""COMPUTED_VALUE"""),"")</f>
        <v/>
      </c>
      <c r="F34" s="59" t="str">
        <f>IFERROR(__xludf.DUMMYFUNCTION("""COMPUTED_VALUE"""),"")</f>
        <v/>
      </c>
      <c r="G34" s="60">
        <f>IFERROR(__xludf.DUMMYFUNCTION("""COMPUTED_VALUE"""),-1000.0)</f>
        <v>-1000</v>
      </c>
      <c r="H34" s="61" t="str">
        <f t="shared" si="1"/>
        <v>@APPROVISIONNEMENT@@-1000</v>
      </c>
    </row>
    <row r="35">
      <c r="A35" s="56">
        <f>IFERROR(__xludf.DUMMYFUNCTION("""COMPUTED_VALUE"""),44135.0)</f>
        <v>44135</v>
      </c>
      <c r="B35" t="str">
        <f>IFERROR(__xludf.DUMMYFUNCTION("""COMPUTED_VALUE"""),"")</f>
        <v/>
      </c>
      <c r="C35" s="57" t="str">
        <f>IFERROR(__xludf.DUMMYFUNCTION("""COMPUTED_VALUE"""),"")</f>
        <v/>
      </c>
      <c r="D35" s="58" t="str">
        <f>IFERROR(__xludf.DUMMYFUNCTION("""COMPUTED_VALUE"""),"COST")</f>
        <v>COST</v>
      </c>
      <c r="E35" s="50" t="str">
        <f>IFERROR(__xludf.DUMMYFUNCTION("""COMPUTED_VALUE"""),"")</f>
        <v/>
      </c>
      <c r="F35" s="59" t="str">
        <f>IFERROR(__xludf.DUMMYFUNCTION("""COMPUTED_VALUE"""),"")</f>
        <v/>
      </c>
      <c r="G35" s="60">
        <f>IFERROR(__xludf.DUMMYFUNCTION("""COMPUTED_VALUE"""),-1397.65)</f>
        <v>-1397.65</v>
      </c>
      <c r="H35" s="61" t="str">
        <f t="shared" si="1"/>
        <v>@COST@@-1397.65</v>
      </c>
    </row>
    <row r="36">
      <c r="A36" s="56">
        <f>IFERROR(__xludf.DUMMYFUNCTION("""COMPUTED_VALUE"""),44125.0)</f>
        <v>44125</v>
      </c>
      <c r="B36" t="str">
        <f>IFERROR(__xludf.DUMMYFUNCTION("""COMPUTED_VALUE"""),"Long term US bonds (20-25 year)")</f>
        <v>Long term US bonds (20-25 year)</v>
      </c>
      <c r="C36" s="57" t="str">
        <f>IFERROR(__xludf.DUMMYFUNCTION("""COMPUTED_VALUE"""),"iShares Treasury Bond 20+ UCITS")</f>
        <v>iShares Treasury Bond 20+ UCITS</v>
      </c>
      <c r="D36" s="58" t="str">
        <f>IFERROR(__xludf.DUMMYFUNCTION("""COMPUTED_VALUE"""),"COST")</f>
        <v>COST</v>
      </c>
      <c r="E36" s="50" t="str">
        <f>IFERROR(__xludf.DUMMYFUNCTION("""COMPUTED_VALUE"""),"")</f>
        <v/>
      </c>
      <c r="F36" s="59" t="str">
        <f>IFERROR(__xludf.DUMMYFUNCTION("""COMPUTED_VALUE"""),"")</f>
        <v/>
      </c>
      <c r="G36" s="60">
        <f>IFERROR(__xludf.DUMMYFUNCTION("""COMPUTED_VALUE"""),-3.62)</f>
        <v>-3.62</v>
      </c>
      <c r="H36" s="61" t="str">
        <f t="shared" si="1"/>
        <v>iShares Treasury Bond 20+ UCITS@COST@@-3.62</v>
      </c>
    </row>
    <row r="37">
      <c r="A37" s="56">
        <f>IFERROR(__xludf.DUMMYFUNCTION("""COMPUTED_VALUE"""),44125.0)</f>
        <v>44125</v>
      </c>
      <c r="B37" t="str">
        <f>IFERROR(__xludf.DUMMYFUNCTION("""COMPUTED_VALUE"""),"Long term US bonds (20-25 year)")</f>
        <v>Long term US bonds (20-25 year)</v>
      </c>
      <c r="C37" s="57" t="str">
        <f>IFERROR(__xludf.DUMMYFUNCTION("""COMPUTED_VALUE"""),"iShares Treasury Bond 20+ UCITS")</f>
        <v>iShares Treasury Bond 20+ UCITS</v>
      </c>
      <c r="D37" s="58" t="str">
        <f>IFERROR(__xludf.DUMMYFUNCTION("""COMPUTED_VALUE"""),"BUY")</f>
        <v>BUY</v>
      </c>
      <c r="E37" s="50">
        <f>IFERROR(__xludf.DUMMYFUNCTION("""COMPUTED_VALUE"""),1616.0)</f>
        <v>1616</v>
      </c>
      <c r="F37" s="59">
        <f>IFERROR(__xludf.DUMMYFUNCTION("""COMPUTED_VALUE"""),5.018001237623762)</f>
        <v>5.018001238</v>
      </c>
      <c r="G37" s="60">
        <f>IFERROR(__xludf.DUMMYFUNCTION("""COMPUTED_VALUE"""),-8109.09)</f>
        <v>-8109.09</v>
      </c>
      <c r="H37" s="61" t="str">
        <f t="shared" si="1"/>
        <v>iShares Treasury Bond 20+ UCITS@BUY@1616@-8109.09</v>
      </c>
    </row>
    <row r="38">
      <c r="A38" s="56">
        <f>IFERROR(__xludf.DUMMYFUNCTION("""COMPUTED_VALUE"""),44125.0)</f>
        <v>44125</v>
      </c>
      <c r="B38" t="str">
        <f>IFERROR(__xludf.DUMMYFUNCTION("""COMPUTED_VALUE"""),"Stocks")</f>
        <v>Stocks</v>
      </c>
      <c r="C38" s="57" t="str">
        <f>IFERROR(__xludf.DUMMYFUNCTION("""COMPUTED_VALUE"""),"Vanguard S&amp;P 500 UCITS")</f>
        <v>Vanguard S&amp;P 500 UCITS</v>
      </c>
      <c r="D38" s="58" t="str">
        <f>IFERROR(__xludf.DUMMYFUNCTION("""COMPUTED_VALUE"""),"SELL")</f>
        <v>SELL</v>
      </c>
      <c r="E38" s="50">
        <f>IFERROR(__xludf.DUMMYFUNCTION("""COMPUTED_VALUE"""),-114.0)</f>
        <v>-114</v>
      </c>
      <c r="F38" s="59">
        <f>IFERROR(__xludf.DUMMYFUNCTION("""COMPUTED_VALUE"""),54.985)</f>
        <v>54.985</v>
      </c>
      <c r="G38" s="60">
        <f>IFERROR(__xludf.DUMMYFUNCTION("""COMPUTED_VALUE"""),6268.29)</f>
        <v>6268.29</v>
      </c>
      <c r="H38" s="61" t="str">
        <f t="shared" si="1"/>
        <v>Vanguard S&amp;P 500 UCITS@SELL@-114@6268.29</v>
      </c>
    </row>
    <row r="39">
      <c r="A39" s="56">
        <f>IFERROR(__xludf.DUMMYFUNCTION("""COMPUTED_VALUE"""),44125.0)</f>
        <v>44125</v>
      </c>
      <c r="B39" t="str">
        <f>IFERROR(__xludf.DUMMYFUNCTION("""COMPUTED_VALUE"""),"Stocks")</f>
        <v>Stocks</v>
      </c>
      <c r="C39" s="57" t="str">
        <f>IFERROR(__xludf.DUMMYFUNCTION("""COMPUTED_VALUE"""),"Vanguard S&amp;P 500 UCITS")</f>
        <v>Vanguard S&amp;P 500 UCITS</v>
      </c>
      <c r="D39" s="58" t="str">
        <f>IFERROR(__xludf.DUMMYFUNCTION("""COMPUTED_VALUE"""),"SELL")</f>
        <v>SELL</v>
      </c>
      <c r="E39" s="50">
        <f>IFERROR(__xludf.DUMMYFUNCTION("""COMPUTED_VALUE"""),-20.0)</f>
        <v>-20</v>
      </c>
      <c r="F39" s="59">
        <f>IFERROR(__xludf.DUMMYFUNCTION("""COMPUTED_VALUE"""),55.085)</f>
        <v>55.085</v>
      </c>
      <c r="G39" s="60">
        <f>IFERROR(__xludf.DUMMYFUNCTION("""COMPUTED_VALUE"""),1101.7)</f>
        <v>1101.7</v>
      </c>
      <c r="H39" s="61" t="str">
        <f t="shared" si="1"/>
        <v>Vanguard S&amp;P 500 UCITS@SELL@-20@1101.7</v>
      </c>
    </row>
    <row r="40">
      <c r="A40" s="56">
        <f>IFERROR(__xludf.DUMMYFUNCTION("""COMPUTED_VALUE"""),44125.0)</f>
        <v>44125</v>
      </c>
      <c r="B40" t="str">
        <f>IFERROR(__xludf.DUMMYFUNCTION("""COMPUTED_VALUE"""),"Stocks")</f>
        <v>Stocks</v>
      </c>
      <c r="C40" s="57" t="str">
        <f>IFERROR(__xludf.DUMMYFUNCTION("""COMPUTED_VALUE"""),"Vanguard S&amp;P 500 UCITS")</f>
        <v>Vanguard S&amp;P 500 UCITS</v>
      </c>
      <c r="D40" s="58" t="str">
        <f>IFERROR(__xludf.DUMMYFUNCTION("""COMPUTED_VALUE"""),"SELL")</f>
        <v>SELL</v>
      </c>
      <c r="E40" s="50">
        <f>IFERROR(__xludf.DUMMYFUNCTION("""COMPUTED_VALUE"""),-228.0)</f>
        <v>-228</v>
      </c>
      <c r="F40" s="59">
        <f>IFERROR(__xludf.DUMMYFUNCTION("""COMPUTED_VALUE"""),55.099999999999994)</f>
        <v>55.1</v>
      </c>
      <c r="G40" s="60">
        <f>IFERROR(__xludf.DUMMYFUNCTION("""COMPUTED_VALUE"""),12562.8)</f>
        <v>12562.8</v>
      </c>
      <c r="H40" s="61" t="str">
        <f t="shared" si="1"/>
        <v>Vanguard S&amp;P 500 UCITS@SELL@-228@12562.8</v>
      </c>
    </row>
    <row r="41">
      <c r="A41" s="56">
        <f>IFERROR(__xludf.DUMMYFUNCTION("""COMPUTED_VALUE"""),44125.0)</f>
        <v>44125</v>
      </c>
      <c r="B41" t="str">
        <f>IFERROR(__xludf.DUMMYFUNCTION("""COMPUTED_VALUE"""),"Stocks")</f>
        <v>Stocks</v>
      </c>
      <c r="C41" s="57" t="str">
        <f>IFERROR(__xludf.DUMMYFUNCTION("""COMPUTED_VALUE"""),"Vanguard S&amp;P 500 UCITS")</f>
        <v>Vanguard S&amp;P 500 UCITS</v>
      </c>
      <c r="D41" s="58" t="str">
        <f>IFERROR(__xludf.DUMMYFUNCTION("""COMPUTED_VALUE"""),"SELL")</f>
        <v>SELL</v>
      </c>
      <c r="E41" s="50">
        <f>IFERROR(__xludf.DUMMYFUNCTION("""COMPUTED_VALUE"""),-228.0)</f>
        <v>-228</v>
      </c>
      <c r="F41" s="59">
        <f>IFERROR(__xludf.DUMMYFUNCTION("""COMPUTED_VALUE"""),55.06999999999999)</f>
        <v>55.07</v>
      </c>
      <c r="G41" s="60">
        <f>IFERROR(__xludf.DUMMYFUNCTION("""COMPUTED_VALUE"""),12555.96)</f>
        <v>12555.96</v>
      </c>
      <c r="H41" s="61" t="str">
        <f t="shared" si="1"/>
        <v>Vanguard S&amp;P 500 UCITS@SELL@-228@12555.96</v>
      </c>
    </row>
    <row r="42">
      <c r="A42" s="56">
        <f>IFERROR(__xludf.DUMMYFUNCTION("""COMPUTED_VALUE"""),44124.0)</f>
        <v>44124</v>
      </c>
      <c r="B42" t="str">
        <f>IFERROR(__xludf.DUMMYFUNCTION("""COMPUTED_VALUE"""),"Long term US bonds (20-25 year)")</f>
        <v>Long term US bonds (20-25 year)</v>
      </c>
      <c r="C42" s="57" t="str">
        <f>IFERROR(__xludf.DUMMYFUNCTION("""COMPUTED_VALUE"""),"iShares Treasury Bond 20+ UCITS")</f>
        <v>iShares Treasury Bond 20+ UCITS</v>
      </c>
      <c r="D42" s="58" t="str">
        <f>IFERROR(__xludf.DUMMYFUNCTION("""COMPUTED_VALUE"""),"COST")</f>
        <v>COST</v>
      </c>
      <c r="E42" s="50" t="str">
        <f>IFERROR(__xludf.DUMMYFUNCTION("""COMPUTED_VALUE"""),"")</f>
        <v/>
      </c>
      <c r="F42" s="59" t="str">
        <f>IFERROR(__xludf.DUMMYFUNCTION("""COMPUTED_VALUE"""),"")</f>
        <v/>
      </c>
      <c r="G42" s="60">
        <f>IFERROR(__xludf.DUMMYFUNCTION("""COMPUTED_VALUE"""),-18.71)</f>
        <v>-18.71</v>
      </c>
      <c r="H42" s="61" t="str">
        <f t="shared" si="1"/>
        <v>iShares Treasury Bond 20+ UCITS@COST@@-18.71</v>
      </c>
    </row>
    <row r="43">
      <c r="A43" s="56">
        <f>IFERROR(__xludf.DUMMYFUNCTION("""COMPUTED_VALUE"""),44124.0)</f>
        <v>44124</v>
      </c>
      <c r="B43" t="str">
        <f>IFERROR(__xludf.DUMMYFUNCTION("""COMPUTED_VALUE"""),"Long term US bonds (20-25 year)")</f>
        <v>Long term US bonds (20-25 year)</v>
      </c>
      <c r="C43" s="57" t="str">
        <f>IFERROR(__xludf.DUMMYFUNCTION("""COMPUTED_VALUE"""),"iShares Treasury Bond 20+ UCITS")</f>
        <v>iShares Treasury Bond 20+ UCITS</v>
      </c>
      <c r="D43" s="58" t="str">
        <f>IFERROR(__xludf.DUMMYFUNCTION("""COMPUTED_VALUE"""),"BUY")</f>
        <v>BUY</v>
      </c>
      <c r="E43" s="50">
        <f>IFERROR(__xludf.DUMMYFUNCTION("""COMPUTED_VALUE"""),16500.0)</f>
        <v>16500</v>
      </c>
      <c r="F43" s="59">
        <f>IFERROR(__xludf.DUMMYFUNCTION("""COMPUTED_VALUE"""),5.065)</f>
        <v>5.065</v>
      </c>
      <c r="G43" s="60">
        <f>IFERROR(__xludf.DUMMYFUNCTION("""COMPUTED_VALUE"""),-83572.5)</f>
        <v>-83572.5</v>
      </c>
      <c r="H43" s="61" t="str">
        <f t="shared" si="1"/>
        <v>iShares Treasury Bond 20+ UCITS@BUY@16500@-83572.5</v>
      </c>
    </row>
    <row r="44">
      <c r="A44" s="56">
        <f>IFERROR(__xludf.DUMMYFUNCTION("""COMPUTED_VALUE"""),44118.0)</f>
        <v>44118</v>
      </c>
      <c r="B44" t="str">
        <f>IFERROR(__xludf.DUMMYFUNCTION("""COMPUTED_VALUE"""),"Intermediate US bonds (7-10 year)")</f>
        <v>Intermediate US bonds (7-10 year)</v>
      </c>
      <c r="C44" s="57" t="str">
        <f>IFERROR(__xludf.DUMMYFUNCTION("""COMPUTED_VALUE"""),"iShares Treasury Bond 7-10 UCITS")</f>
        <v>iShares Treasury Bond 7-10 UCITS</v>
      </c>
      <c r="D44" s="58" t="str">
        <f>IFERROR(__xludf.DUMMYFUNCTION("""COMPUTED_VALUE"""),"BUY")</f>
        <v>BUY</v>
      </c>
      <c r="E44" s="50">
        <f>IFERROR(__xludf.DUMMYFUNCTION("""COMPUTED_VALUE"""),7.0)</f>
        <v>7</v>
      </c>
      <c r="F44" s="59">
        <f>IFERROR(__xludf.DUMMYFUNCTION("""COMPUTED_VALUE"""),190.25)</f>
        <v>190.25</v>
      </c>
      <c r="G44" s="60">
        <f>IFERROR(__xludf.DUMMYFUNCTION("""COMPUTED_VALUE"""),-1331.75)</f>
        <v>-1331.75</v>
      </c>
      <c r="H44" s="61" t="str">
        <f t="shared" si="1"/>
        <v>iShares Treasury Bond 7-10 UCITS@BUY@7@-1331.75</v>
      </c>
    </row>
    <row r="45">
      <c r="A45" s="56">
        <f>IFERROR(__xludf.DUMMYFUNCTION("""COMPUTED_VALUE"""),44116.0)</f>
        <v>44116</v>
      </c>
      <c r="B45" t="str">
        <f>IFERROR(__xludf.DUMMYFUNCTION("""COMPUTED_VALUE"""),"Intermediate US bonds (7-10 year)")</f>
        <v>Intermediate US bonds (7-10 year)</v>
      </c>
      <c r="C45" s="57" t="str">
        <f>IFERROR(__xludf.DUMMYFUNCTION("""COMPUTED_VALUE"""),"iShares Treasury Bond 7-10 UCITS")</f>
        <v>iShares Treasury Bond 7-10 UCITS</v>
      </c>
      <c r="D45" s="58" t="str">
        <f>IFERROR(__xludf.DUMMYFUNCTION("""COMPUTED_VALUE"""),"BUY")</f>
        <v>BUY</v>
      </c>
      <c r="E45" s="50">
        <f>IFERROR(__xludf.DUMMYFUNCTION("""COMPUTED_VALUE"""),12.0)</f>
        <v>12</v>
      </c>
      <c r="F45" s="59">
        <f>IFERROR(__xludf.DUMMYFUNCTION("""COMPUTED_VALUE"""),188.35)</f>
        <v>188.35</v>
      </c>
      <c r="G45" s="60">
        <f>IFERROR(__xludf.DUMMYFUNCTION("""COMPUTED_VALUE"""),-2260.2)</f>
        <v>-2260.2</v>
      </c>
      <c r="H45" s="61" t="str">
        <f t="shared" si="1"/>
        <v>iShares Treasury Bond 7-10 UCITS@BUY@12@-2260.2</v>
      </c>
    </row>
    <row r="46">
      <c r="A46" s="56" t="str">
        <f>IFERROR(__xludf.DUMMYFUNCTION("""COMPUTED_VALUE"""),"")</f>
        <v/>
      </c>
      <c r="B46" t="str">
        <f>IFERROR(__xludf.DUMMYFUNCTION("""COMPUTED_VALUE"""),"")</f>
        <v/>
      </c>
      <c r="C46" s="57" t="str">
        <f>IFERROR(__xludf.DUMMYFUNCTION("""COMPUTED_VALUE"""),"")</f>
        <v/>
      </c>
      <c r="D46" s="58" t="str">
        <f>IFERROR(__xludf.DUMMYFUNCTION("""COMPUTED_VALUE"""),"")</f>
        <v/>
      </c>
      <c r="E46" s="50" t="str">
        <f>IFERROR(__xludf.DUMMYFUNCTION("""COMPUTED_VALUE"""),"")</f>
        <v/>
      </c>
      <c r="F46" s="59" t="str">
        <f>IFERROR(__xludf.DUMMYFUNCTION("""COMPUTED_VALUE"""),"")</f>
        <v/>
      </c>
      <c r="G46" s="60" t="str">
        <f>IFERROR(__xludf.DUMMYFUNCTION("""COMPUTED_VALUE"""),"")</f>
        <v/>
      </c>
      <c r="H46" s="61" t="str">
        <f t="shared" si="1"/>
        <v/>
      </c>
    </row>
    <row r="47">
      <c r="A47" s="56"/>
      <c r="C47" s="57"/>
      <c r="D47" s="58"/>
      <c r="E47" s="50"/>
      <c r="F47" s="59"/>
      <c r="G47" s="60"/>
      <c r="H47" s="61" t="str">
        <f t="shared" si="1"/>
        <v/>
      </c>
    </row>
    <row r="48">
      <c r="A48" s="56"/>
      <c r="C48" s="57"/>
      <c r="D48" s="58"/>
      <c r="E48" s="50"/>
      <c r="F48" s="59"/>
      <c r="G48" s="60"/>
      <c r="H48" s="61" t="str">
        <f t="shared" si="1"/>
        <v/>
      </c>
    </row>
    <row r="49">
      <c r="A49" s="56"/>
      <c r="C49" s="57"/>
      <c r="D49" s="58"/>
      <c r="E49" s="50"/>
      <c r="F49" s="59"/>
      <c r="G49" s="60"/>
      <c r="H49" s="61" t="str">
        <f t="shared" si="1"/>
        <v/>
      </c>
    </row>
    <row r="50">
      <c r="A50" s="56"/>
      <c r="C50" s="57"/>
      <c r="D50" s="58"/>
      <c r="E50" s="50"/>
      <c r="F50" s="59"/>
      <c r="G50" s="60"/>
      <c r="H50" s="61" t="str">
        <f t="shared" si="1"/>
        <v/>
      </c>
    </row>
    <row r="51">
      <c r="A51" s="56"/>
      <c r="C51" s="57"/>
      <c r="D51" s="58"/>
      <c r="E51" s="50"/>
      <c r="F51" s="59"/>
      <c r="G51" s="60"/>
      <c r="H51" s="61" t="str">
        <f t="shared" si="1"/>
        <v/>
      </c>
    </row>
    <row r="52">
      <c r="A52" s="56"/>
      <c r="C52" s="57"/>
      <c r="D52" s="58"/>
      <c r="E52" s="50"/>
      <c r="F52" s="59"/>
      <c r="G52" s="60"/>
      <c r="H52" s="61" t="str">
        <f t="shared" si="1"/>
        <v/>
      </c>
    </row>
    <row r="53">
      <c r="A53" s="56"/>
      <c r="C53" s="57"/>
      <c r="D53" s="58"/>
      <c r="E53" s="50"/>
      <c r="F53" s="59"/>
      <c r="G53" s="60"/>
      <c r="H53" s="61" t="str">
        <f t="shared" si="1"/>
        <v/>
      </c>
    </row>
    <row r="54">
      <c r="A54" s="56"/>
      <c r="C54" s="57"/>
      <c r="D54" s="58"/>
      <c r="E54" s="50"/>
      <c r="F54" s="59"/>
      <c r="G54" s="60"/>
      <c r="H54" s="61" t="str">
        <f t="shared" si="1"/>
        <v/>
      </c>
    </row>
    <row r="55">
      <c r="A55" s="56"/>
      <c r="C55" s="57"/>
      <c r="D55" s="58"/>
      <c r="E55" s="50"/>
      <c r="F55" s="59"/>
      <c r="G55" s="60"/>
      <c r="H55" s="61" t="str">
        <f t="shared" si="1"/>
        <v/>
      </c>
    </row>
    <row r="56">
      <c r="A56" s="56"/>
      <c r="C56" s="57"/>
      <c r="D56" s="58"/>
      <c r="E56" s="50"/>
      <c r="F56" s="59"/>
      <c r="G56" s="60"/>
      <c r="H56" s="61" t="str">
        <f t="shared" si="1"/>
        <v/>
      </c>
    </row>
    <row r="57">
      <c r="A57" s="56"/>
      <c r="C57" s="57"/>
      <c r="D57" s="58"/>
      <c r="E57" s="50"/>
      <c r="F57" s="59"/>
      <c r="G57" s="60"/>
      <c r="H57" s="61" t="str">
        <f t="shared" si="1"/>
        <v/>
      </c>
    </row>
    <row r="58">
      <c r="A58" s="56"/>
      <c r="C58" s="57"/>
      <c r="D58" s="58"/>
      <c r="E58" s="50"/>
      <c r="F58" s="59"/>
      <c r="G58" s="60"/>
      <c r="H58" s="61" t="str">
        <f t="shared" si="1"/>
        <v/>
      </c>
    </row>
    <row r="59">
      <c r="A59" s="56"/>
      <c r="C59" s="57"/>
      <c r="D59" s="58"/>
      <c r="E59" s="50"/>
      <c r="F59" s="59"/>
      <c r="G59" s="60"/>
      <c r="H59" s="61" t="str">
        <f t="shared" si="1"/>
        <v/>
      </c>
    </row>
    <row r="60">
      <c r="A60" s="56"/>
      <c r="C60" s="57"/>
      <c r="D60" s="58"/>
      <c r="E60" s="50"/>
      <c r="F60" s="59"/>
      <c r="G60" s="60"/>
      <c r="H60" s="61" t="str">
        <f t="shared" si="1"/>
        <v/>
      </c>
    </row>
    <row r="61">
      <c r="A61" s="56"/>
      <c r="C61" s="57"/>
      <c r="D61" s="58"/>
      <c r="E61" s="50"/>
      <c r="F61" s="59"/>
      <c r="G61" s="60"/>
      <c r="H61" s="61" t="str">
        <f t="shared" si="1"/>
        <v/>
      </c>
    </row>
    <row r="62">
      <c r="A62" s="56"/>
      <c r="C62" s="57"/>
      <c r="D62" s="58"/>
      <c r="E62" s="50"/>
      <c r="F62" s="59"/>
      <c r="G62" s="60"/>
      <c r="H62" s="61" t="str">
        <f t="shared" si="1"/>
        <v/>
      </c>
    </row>
    <row r="63">
      <c r="A63" s="56"/>
      <c r="C63" s="57"/>
      <c r="D63" s="58"/>
      <c r="E63" s="50"/>
      <c r="F63" s="59"/>
      <c r="G63" s="60"/>
      <c r="H63" s="61" t="str">
        <f t="shared" si="1"/>
        <v/>
      </c>
    </row>
    <row r="64">
      <c r="A64" s="56"/>
      <c r="C64" s="57"/>
      <c r="D64" s="58"/>
      <c r="E64" s="50"/>
      <c r="F64" s="59"/>
      <c r="G64" s="60"/>
      <c r="H64" s="61" t="str">
        <f t="shared" si="1"/>
        <v/>
      </c>
    </row>
    <row r="65">
      <c r="A65" s="56"/>
      <c r="C65" s="57"/>
      <c r="D65" s="58"/>
      <c r="E65" s="50"/>
      <c r="F65" s="59"/>
      <c r="G65" s="60"/>
      <c r="H65" s="61" t="str">
        <f t="shared" si="1"/>
        <v/>
      </c>
    </row>
    <row r="66">
      <c r="A66" s="56"/>
      <c r="C66" s="57"/>
      <c r="D66" s="58"/>
      <c r="E66" s="50"/>
      <c r="F66" s="59"/>
      <c r="G66" s="60"/>
      <c r="H66" s="61" t="str">
        <f t="shared" si="1"/>
        <v/>
      </c>
    </row>
    <row r="67">
      <c r="A67" s="56"/>
      <c r="C67" s="57"/>
      <c r="D67" s="58"/>
      <c r="E67" s="50"/>
      <c r="F67" s="59"/>
      <c r="G67" s="60"/>
      <c r="H67" s="61" t="str">
        <f t="shared" si="1"/>
        <v/>
      </c>
    </row>
    <row r="68">
      <c r="A68" s="56"/>
      <c r="C68" s="57"/>
      <c r="D68" s="58"/>
      <c r="E68" s="50"/>
      <c r="F68" s="59"/>
      <c r="G68" s="60"/>
      <c r="H68" s="61" t="str">
        <f t="shared" si="1"/>
        <v/>
      </c>
    </row>
    <row r="69">
      <c r="A69" s="56"/>
      <c r="C69" s="57"/>
      <c r="D69" s="58"/>
      <c r="E69" s="50"/>
      <c r="F69" s="59"/>
      <c r="G69" s="60"/>
      <c r="H69" s="61" t="str">
        <f t="shared" si="1"/>
        <v/>
      </c>
    </row>
    <row r="70">
      <c r="A70" s="56"/>
      <c r="C70" s="57"/>
      <c r="D70" s="58"/>
      <c r="E70" s="50"/>
      <c r="F70" s="59"/>
      <c r="G70" s="60"/>
      <c r="H70" s="61" t="str">
        <f t="shared" si="1"/>
        <v/>
      </c>
    </row>
    <row r="71">
      <c r="A71" s="56"/>
      <c r="C71" s="57"/>
      <c r="D71" s="58"/>
      <c r="E71" s="50"/>
      <c r="F71" s="59"/>
      <c r="G71" s="60"/>
      <c r="H71" s="61" t="str">
        <f t="shared" si="1"/>
        <v/>
      </c>
    </row>
    <row r="72">
      <c r="A72" s="56"/>
      <c r="C72" s="57"/>
      <c r="D72" s="58"/>
      <c r="E72" s="50"/>
      <c r="F72" s="59"/>
      <c r="G72" s="60"/>
      <c r="H72" s="61" t="str">
        <f t="shared" si="1"/>
        <v/>
      </c>
    </row>
    <row r="73">
      <c r="A73" s="56"/>
      <c r="C73" s="57"/>
      <c r="D73" s="58"/>
      <c r="E73" s="50"/>
      <c r="F73" s="59"/>
      <c r="G73" s="60"/>
      <c r="H73" s="61" t="str">
        <f t="shared" si="1"/>
        <v/>
      </c>
    </row>
    <row r="74">
      <c r="A74" s="56"/>
      <c r="C74" s="57"/>
      <c r="D74" s="58"/>
      <c r="E74" s="50"/>
      <c r="F74" s="59"/>
      <c r="G74" s="60"/>
      <c r="H74" s="61" t="str">
        <f t="shared" si="1"/>
        <v/>
      </c>
    </row>
    <row r="75">
      <c r="A75" s="56"/>
      <c r="C75" s="57"/>
      <c r="D75" s="58"/>
      <c r="E75" s="50"/>
      <c r="F75" s="59"/>
      <c r="G75" s="60"/>
      <c r="H75" s="61" t="str">
        <f t="shared" si="1"/>
        <v/>
      </c>
    </row>
    <row r="76">
      <c r="A76" s="56"/>
      <c r="C76" s="57"/>
      <c r="D76" s="58"/>
      <c r="E76" s="50"/>
      <c r="F76" s="59"/>
      <c r="G76" s="60"/>
      <c r="H76" s="61" t="str">
        <f t="shared" si="1"/>
        <v/>
      </c>
    </row>
    <row r="77">
      <c r="A77" s="56"/>
      <c r="C77" s="57"/>
      <c r="D77" s="58"/>
      <c r="E77" s="50"/>
      <c r="F77" s="59"/>
      <c r="G77" s="60"/>
      <c r="H77" s="61" t="str">
        <f t="shared" si="1"/>
        <v/>
      </c>
    </row>
    <row r="78">
      <c r="A78" s="56"/>
      <c r="C78" s="57"/>
      <c r="D78" s="58"/>
      <c r="E78" s="50"/>
      <c r="F78" s="59"/>
      <c r="G78" s="60"/>
      <c r="H78" s="61" t="str">
        <f t="shared" si="1"/>
        <v/>
      </c>
    </row>
    <row r="79">
      <c r="A79" s="56"/>
      <c r="C79" s="57"/>
      <c r="D79" s="58"/>
      <c r="E79" s="50"/>
      <c r="F79" s="59"/>
      <c r="G79" s="60"/>
      <c r="H79" s="61" t="str">
        <f t="shared" si="1"/>
        <v/>
      </c>
    </row>
    <row r="80">
      <c r="A80" s="56"/>
      <c r="C80" s="57"/>
      <c r="D80" s="58"/>
      <c r="E80" s="50"/>
      <c r="F80" s="59"/>
      <c r="G80" s="60"/>
      <c r="H80" s="61" t="str">
        <f t="shared" si="1"/>
        <v/>
      </c>
    </row>
    <row r="81">
      <c r="A81" s="56"/>
      <c r="C81" s="57"/>
      <c r="D81" s="58"/>
      <c r="E81" s="50"/>
      <c r="F81" s="59"/>
      <c r="G81" s="60"/>
      <c r="H81" s="61" t="str">
        <f t="shared" si="1"/>
        <v/>
      </c>
    </row>
    <row r="82">
      <c r="A82" s="56"/>
      <c r="C82" s="57"/>
      <c r="D82" s="58"/>
      <c r="E82" s="50"/>
      <c r="F82" s="59"/>
      <c r="G82" s="60"/>
      <c r="H82" s="61" t="str">
        <f t="shared" si="1"/>
        <v/>
      </c>
    </row>
    <row r="83">
      <c r="A83" s="56"/>
      <c r="C83" s="57"/>
      <c r="D83" s="58"/>
      <c r="E83" s="50"/>
      <c r="F83" s="59"/>
      <c r="G83" s="60"/>
      <c r="H83" s="61" t="str">
        <f t="shared" si="1"/>
        <v/>
      </c>
    </row>
    <row r="84">
      <c r="A84" s="56"/>
      <c r="C84" s="57"/>
      <c r="D84" s="58"/>
      <c r="E84" s="50"/>
      <c r="F84" s="59"/>
      <c r="G84" s="60"/>
      <c r="H84" s="61" t="str">
        <f t="shared" si="1"/>
        <v/>
      </c>
    </row>
    <row r="85">
      <c r="A85" s="56"/>
      <c r="C85" s="57"/>
      <c r="D85" s="58"/>
      <c r="E85" s="50"/>
      <c r="F85" s="59"/>
      <c r="G85" s="60"/>
      <c r="H85" s="61" t="str">
        <f t="shared" si="1"/>
        <v/>
      </c>
    </row>
    <row r="86">
      <c r="A86" s="56"/>
      <c r="C86" s="57"/>
      <c r="D86" s="58"/>
      <c r="E86" s="50"/>
      <c r="F86" s="59"/>
      <c r="G86" s="60"/>
      <c r="H86" s="61" t="str">
        <f t="shared" si="1"/>
        <v/>
      </c>
    </row>
    <row r="87">
      <c r="A87" s="56"/>
      <c r="C87" s="57"/>
      <c r="D87" s="58"/>
      <c r="E87" s="50"/>
      <c r="F87" s="59"/>
      <c r="G87" s="60"/>
      <c r="H87" s="61" t="str">
        <f t="shared" si="1"/>
        <v/>
      </c>
    </row>
    <row r="88">
      <c r="A88" s="56"/>
      <c r="C88" s="57"/>
      <c r="D88" s="58"/>
      <c r="E88" s="50"/>
      <c r="F88" s="59"/>
      <c r="G88" s="60"/>
      <c r="H88" s="61" t="str">
        <f t="shared" si="1"/>
        <v/>
      </c>
    </row>
    <row r="89">
      <c r="A89" s="56"/>
      <c r="C89" s="57"/>
      <c r="D89" s="58"/>
      <c r="E89" s="50"/>
      <c r="F89" s="59"/>
      <c r="G89" s="60"/>
      <c r="H89" s="61" t="str">
        <f t="shared" si="1"/>
        <v/>
      </c>
    </row>
    <row r="90">
      <c r="A90" s="56"/>
      <c r="C90" s="57"/>
      <c r="D90" s="58"/>
      <c r="E90" s="50"/>
      <c r="F90" s="59"/>
      <c r="G90" s="60"/>
      <c r="H90" s="61" t="str">
        <f t="shared" si="1"/>
        <v/>
      </c>
    </row>
    <row r="91">
      <c r="A91" s="56"/>
      <c r="C91" s="57"/>
      <c r="D91" s="58"/>
      <c r="E91" s="50"/>
      <c r="F91" s="59"/>
      <c r="G91" s="60"/>
      <c r="H91" s="61" t="str">
        <f t="shared" si="1"/>
        <v/>
      </c>
    </row>
    <row r="92">
      <c r="A92" s="56"/>
      <c r="C92" s="57"/>
      <c r="D92" s="58"/>
      <c r="E92" s="50"/>
      <c r="F92" s="59"/>
      <c r="G92" s="60"/>
      <c r="H92" s="61" t="str">
        <f t="shared" si="1"/>
        <v/>
      </c>
    </row>
    <row r="93">
      <c r="A93" s="56"/>
      <c r="C93" s="57"/>
      <c r="D93" s="58"/>
      <c r="E93" s="50"/>
      <c r="F93" s="59"/>
      <c r="G93" s="60"/>
      <c r="H93" s="61" t="str">
        <f t="shared" si="1"/>
        <v/>
      </c>
    </row>
    <row r="94">
      <c r="A94" s="56"/>
      <c r="C94" s="57"/>
      <c r="D94" s="58"/>
      <c r="E94" s="50"/>
      <c r="F94" s="59"/>
      <c r="G94" s="60"/>
      <c r="H94" s="61" t="str">
        <f t="shared" si="1"/>
        <v/>
      </c>
    </row>
    <row r="95">
      <c r="A95" s="56"/>
      <c r="C95" s="57"/>
      <c r="D95" s="58"/>
      <c r="E95" s="50"/>
      <c r="F95" s="59"/>
      <c r="G95" s="60"/>
      <c r="H95" s="61" t="str">
        <f t="shared" si="1"/>
        <v/>
      </c>
    </row>
    <row r="96">
      <c r="A96" s="56"/>
      <c r="C96" s="57"/>
      <c r="D96" s="58"/>
      <c r="E96" s="50"/>
      <c r="F96" s="59"/>
      <c r="G96" s="60"/>
      <c r="H96" s="61" t="str">
        <f t="shared" si="1"/>
        <v/>
      </c>
    </row>
    <row r="97">
      <c r="A97" s="56"/>
      <c r="C97" s="57"/>
      <c r="D97" s="58"/>
      <c r="E97" s="50"/>
      <c r="F97" s="59"/>
      <c r="G97" s="60"/>
      <c r="H97" s="61" t="str">
        <f t="shared" si="1"/>
        <v/>
      </c>
    </row>
    <row r="98">
      <c r="A98" s="56"/>
      <c r="C98" s="57"/>
      <c r="D98" s="58"/>
      <c r="E98" s="50"/>
      <c r="F98" s="59"/>
      <c r="G98" s="60"/>
      <c r="H98" s="61" t="str">
        <f t="shared" si="1"/>
        <v/>
      </c>
    </row>
    <row r="99">
      <c r="A99" s="56"/>
      <c r="C99" s="57"/>
      <c r="D99" s="58"/>
      <c r="E99" s="50"/>
      <c r="F99" s="59"/>
      <c r="G99" s="60"/>
      <c r="H99" s="61" t="str">
        <f t="shared" si="1"/>
        <v/>
      </c>
    </row>
    <row r="100">
      <c r="A100" s="56"/>
      <c r="C100" s="57"/>
      <c r="D100" s="58"/>
      <c r="E100" s="50"/>
      <c r="F100" s="59"/>
      <c r="G100" s="60"/>
      <c r="H100" s="61" t="str">
        <f t="shared" si="1"/>
        <v/>
      </c>
    </row>
    <row r="101">
      <c r="A101" s="56"/>
      <c r="C101" s="57"/>
      <c r="D101" s="58"/>
      <c r="E101" s="50"/>
      <c r="F101" s="59"/>
      <c r="G101" s="60"/>
      <c r="H101" s="61" t="str">
        <f t="shared" si="1"/>
        <v/>
      </c>
    </row>
    <row r="102">
      <c r="A102" s="56"/>
      <c r="C102" s="57"/>
      <c r="D102" s="58"/>
      <c r="E102" s="50"/>
      <c r="F102" s="59"/>
      <c r="G102" s="60"/>
      <c r="H102" s="61" t="str">
        <f t="shared" si="1"/>
        <v/>
      </c>
    </row>
    <row r="103">
      <c r="A103" s="56"/>
      <c r="C103" s="57"/>
      <c r="D103" s="58"/>
      <c r="E103" s="50"/>
      <c r="F103" s="59"/>
      <c r="G103" s="60"/>
      <c r="H103" s="61" t="str">
        <f t="shared" si="1"/>
        <v/>
      </c>
    </row>
    <row r="104">
      <c r="A104" s="56"/>
      <c r="C104" s="57"/>
      <c r="D104" s="58"/>
      <c r="E104" s="50"/>
      <c r="F104" s="59"/>
      <c r="G104" s="60"/>
      <c r="H104" s="61" t="str">
        <f t="shared" si="1"/>
        <v/>
      </c>
    </row>
    <row r="105">
      <c r="A105" s="56"/>
      <c r="C105" s="57"/>
      <c r="D105" s="58"/>
      <c r="E105" s="50"/>
      <c r="F105" s="59"/>
      <c r="G105" s="60"/>
      <c r="H105" s="61" t="str">
        <f t="shared" si="1"/>
        <v/>
      </c>
    </row>
    <row r="106">
      <c r="A106" s="56"/>
      <c r="C106" s="57"/>
      <c r="D106" s="58"/>
      <c r="E106" s="50"/>
      <c r="F106" s="59"/>
      <c r="G106" s="60"/>
      <c r="H106" s="61" t="str">
        <f t="shared" si="1"/>
        <v/>
      </c>
    </row>
    <row r="107">
      <c r="A107" s="56"/>
      <c r="C107" s="57"/>
      <c r="D107" s="58"/>
      <c r="E107" s="50"/>
      <c r="F107" s="59"/>
      <c r="G107" s="60"/>
      <c r="H107" s="61" t="str">
        <f t="shared" si="1"/>
        <v/>
      </c>
    </row>
    <row r="108">
      <c r="A108" s="56"/>
      <c r="C108" s="57"/>
      <c r="D108" s="58"/>
      <c r="E108" s="50"/>
      <c r="F108" s="59"/>
      <c r="G108" s="60"/>
      <c r="H108" s="61" t="str">
        <f t="shared" si="1"/>
        <v/>
      </c>
    </row>
    <row r="109">
      <c r="A109" s="56"/>
      <c r="C109" s="57"/>
      <c r="D109" s="58"/>
      <c r="E109" s="50"/>
      <c r="F109" s="59"/>
      <c r="G109" s="60"/>
      <c r="H109" s="61" t="str">
        <f t="shared" si="1"/>
        <v/>
      </c>
    </row>
    <row r="110">
      <c r="A110" s="56"/>
      <c r="C110" s="57"/>
      <c r="D110" s="58"/>
      <c r="E110" s="50"/>
      <c r="F110" s="59"/>
      <c r="G110" s="60"/>
      <c r="H110" s="61" t="str">
        <f t="shared" si="1"/>
        <v/>
      </c>
    </row>
    <row r="111">
      <c r="A111" s="56"/>
      <c r="C111" s="57"/>
      <c r="D111" s="58"/>
      <c r="E111" s="50"/>
      <c r="F111" s="59"/>
      <c r="G111" s="60"/>
      <c r="H111" s="61" t="str">
        <f t="shared" si="1"/>
        <v/>
      </c>
    </row>
    <row r="112">
      <c r="A112" s="56"/>
      <c r="C112" s="57"/>
      <c r="D112" s="58"/>
      <c r="E112" s="50"/>
      <c r="F112" s="59"/>
      <c r="G112" s="60"/>
      <c r="H112" s="61" t="str">
        <f t="shared" si="1"/>
        <v/>
      </c>
    </row>
    <row r="113">
      <c r="A113" s="56"/>
      <c r="C113" s="57"/>
      <c r="D113" s="58"/>
      <c r="E113" s="50"/>
      <c r="F113" s="59"/>
      <c r="G113" s="60"/>
      <c r="H113" s="61" t="str">
        <f t="shared" si="1"/>
        <v/>
      </c>
    </row>
    <row r="114">
      <c r="A114" s="56"/>
      <c r="C114" s="57"/>
      <c r="D114" s="58"/>
      <c r="E114" s="50"/>
      <c r="F114" s="59"/>
      <c r="G114" s="60"/>
      <c r="H114" s="61" t="str">
        <f t="shared" si="1"/>
        <v/>
      </c>
    </row>
    <row r="115">
      <c r="A115" s="56"/>
      <c r="C115" s="57"/>
      <c r="D115" s="58"/>
      <c r="E115" s="50"/>
      <c r="F115" s="59"/>
      <c r="G115" s="60"/>
      <c r="H115" s="61" t="str">
        <f t="shared" si="1"/>
        <v/>
      </c>
    </row>
    <row r="116">
      <c r="A116" s="56"/>
      <c r="C116" s="57"/>
      <c r="D116" s="58"/>
      <c r="E116" s="50"/>
      <c r="F116" s="59"/>
      <c r="G116" s="60"/>
      <c r="H116" s="61" t="str">
        <f t="shared" si="1"/>
        <v/>
      </c>
    </row>
    <row r="117">
      <c r="A117" s="56"/>
      <c r="C117" s="57"/>
      <c r="D117" s="58"/>
      <c r="E117" s="50"/>
      <c r="F117" s="59"/>
      <c r="G117" s="60"/>
      <c r="H117" s="61" t="str">
        <f t="shared" si="1"/>
        <v/>
      </c>
    </row>
    <row r="118">
      <c r="A118" s="56"/>
      <c r="C118" s="57"/>
      <c r="D118" s="58"/>
      <c r="E118" s="50"/>
      <c r="F118" s="59"/>
      <c r="G118" s="60"/>
      <c r="H118" s="61" t="str">
        <f t="shared" si="1"/>
        <v/>
      </c>
    </row>
    <row r="119">
      <c r="A119" s="56"/>
      <c r="C119" s="57"/>
      <c r="D119" s="58"/>
      <c r="E119" s="50"/>
      <c r="F119" s="59"/>
      <c r="G119" s="60"/>
      <c r="H119" s="61" t="str">
        <f t="shared" si="1"/>
        <v/>
      </c>
    </row>
    <row r="120">
      <c r="A120" s="56"/>
      <c r="C120" s="57"/>
      <c r="D120" s="58"/>
      <c r="E120" s="50"/>
      <c r="F120" s="59"/>
      <c r="G120" s="60"/>
      <c r="H120" s="61" t="str">
        <f t="shared" si="1"/>
        <v/>
      </c>
    </row>
    <row r="121">
      <c r="A121" s="56"/>
      <c r="C121" s="57"/>
      <c r="D121" s="58"/>
      <c r="E121" s="50"/>
      <c r="F121" s="59"/>
      <c r="G121" s="60"/>
      <c r="H121" s="61" t="str">
        <f t="shared" si="1"/>
        <v/>
      </c>
    </row>
    <row r="122">
      <c r="A122" s="56"/>
      <c r="C122" s="57"/>
      <c r="D122" s="58"/>
      <c r="E122" s="50"/>
      <c r="F122" s="59"/>
      <c r="G122" s="60"/>
      <c r="H122" s="61" t="str">
        <f t="shared" si="1"/>
        <v/>
      </c>
    </row>
    <row r="123">
      <c r="A123" s="56"/>
      <c r="C123" s="57"/>
      <c r="D123" s="58"/>
      <c r="E123" s="50"/>
      <c r="F123" s="59"/>
      <c r="G123" s="60"/>
      <c r="H123" s="61" t="str">
        <f t="shared" si="1"/>
        <v/>
      </c>
    </row>
    <row r="124">
      <c r="A124" s="56"/>
      <c r="C124" s="57"/>
      <c r="D124" s="58"/>
      <c r="E124" s="50"/>
      <c r="F124" s="59"/>
      <c r="G124" s="60"/>
      <c r="H124" s="61" t="str">
        <f t="shared" si="1"/>
        <v/>
      </c>
    </row>
    <row r="125">
      <c r="A125" s="56"/>
      <c r="C125" s="57"/>
      <c r="D125" s="58"/>
      <c r="E125" s="50"/>
      <c r="F125" s="59"/>
      <c r="G125" s="60"/>
      <c r="H125" s="61" t="str">
        <f t="shared" si="1"/>
        <v/>
      </c>
    </row>
    <row r="126">
      <c r="A126" s="56"/>
      <c r="C126" s="57"/>
      <c r="D126" s="58"/>
      <c r="E126" s="50"/>
      <c r="F126" s="59"/>
      <c r="G126" s="60"/>
      <c r="H126" s="61" t="str">
        <f t="shared" si="1"/>
        <v/>
      </c>
    </row>
    <row r="127">
      <c r="A127" s="56"/>
      <c r="C127" s="57"/>
      <c r="D127" s="58"/>
      <c r="E127" s="50"/>
      <c r="F127" s="59"/>
      <c r="G127" s="60"/>
      <c r="H127" s="61" t="str">
        <f t="shared" si="1"/>
        <v/>
      </c>
    </row>
    <row r="128">
      <c r="A128" s="56"/>
      <c r="C128" s="57"/>
      <c r="D128" s="58"/>
      <c r="E128" s="50"/>
      <c r="F128" s="59"/>
      <c r="G128" s="60"/>
      <c r="H128" s="61" t="str">
        <f t="shared" si="1"/>
        <v/>
      </c>
    </row>
    <row r="129">
      <c r="A129" s="56"/>
      <c r="C129" s="57"/>
      <c r="D129" s="58"/>
      <c r="E129" s="50"/>
      <c r="F129" s="59"/>
      <c r="G129" s="60"/>
      <c r="H129" s="61" t="str">
        <f t="shared" si="1"/>
        <v/>
      </c>
    </row>
    <row r="130">
      <c r="A130" s="56"/>
      <c r="C130" s="57"/>
      <c r="D130" s="58"/>
      <c r="E130" s="50"/>
      <c r="F130" s="59"/>
      <c r="G130" s="60"/>
      <c r="H130" s="61" t="str">
        <f t="shared" si="1"/>
        <v/>
      </c>
    </row>
    <row r="131">
      <c r="A131" s="56"/>
      <c r="C131" s="57"/>
      <c r="D131" s="58"/>
      <c r="E131" s="50"/>
      <c r="F131" s="59"/>
      <c r="G131" s="60"/>
      <c r="H131" s="61" t="str">
        <f t="shared" si="1"/>
        <v/>
      </c>
    </row>
    <row r="132">
      <c r="A132" s="56"/>
      <c r="C132" s="57"/>
      <c r="D132" s="58"/>
      <c r="E132" s="50"/>
      <c r="F132" s="59"/>
      <c r="G132" s="60"/>
      <c r="H132" s="61" t="str">
        <f t="shared" si="1"/>
        <v/>
      </c>
    </row>
    <row r="133">
      <c r="A133" s="56"/>
      <c r="C133" s="57"/>
      <c r="D133" s="58"/>
      <c r="E133" s="50"/>
      <c r="F133" s="59"/>
      <c r="G133" s="60"/>
      <c r="H133" s="61" t="str">
        <f t="shared" si="1"/>
        <v/>
      </c>
    </row>
    <row r="134">
      <c r="A134" s="56"/>
      <c r="C134" s="57"/>
      <c r="D134" s="58"/>
      <c r="E134" s="50"/>
      <c r="F134" s="59"/>
      <c r="G134" s="60"/>
      <c r="H134" s="61" t="str">
        <f t="shared" si="1"/>
        <v/>
      </c>
    </row>
    <row r="135">
      <c r="A135" s="56"/>
      <c r="C135" s="57"/>
      <c r="D135" s="58"/>
      <c r="E135" s="50"/>
      <c r="F135" s="59"/>
      <c r="G135" s="60"/>
      <c r="H135" s="61" t="str">
        <f t="shared" si="1"/>
        <v/>
      </c>
    </row>
    <row r="136">
      <c r="A136" s="56"/>
      <c r="C136" s="57"/>
      <c r="D136" s="58"/>
      <c r="E136" s="50"/>
      <c r="F136" s="59"/>
      <c r="G136" s="60"/>
      <c r="H136" s="61" t="str">
        <f t="shared" si="1"/>
        <v/>
      </c>
    </row>
    <row r="137">
      <c r="A137" s="56"/>
      <c r="C137" s="57"/>
      <c r="D137" s="58"/>
      <c r="E137" s="50"/>
      <c r="F137" s="59"/>
      <c r="G137" s="60"/>
      <c r="H137" s="61" t="str">
        <f t="shared" si="1"/>
        <v/>
      </c>
    </row>
    <row r="138">
      <c r="A138" s="56"/>
      <c r="C138" s="57"/>
      <c r="D138" s="58"/>
      <c r="E138" s="50"/>
      <c r="F138" s="59"/>
      <c r="G138" s="60"/>
      <c r="H138" s="61" t="str">
        <f t="shared" si="1"/>
        <v/>
      </c>
    </row>
    <row r="139">
      <c r="A139" s="56"/>
      <c r="C139" s="57"/>
      <c r="D139" s="58"/>
      <c r="E139" s="50"/>
      <c r="F139" s="59"/>
      <c r="G139" s="60"/>
      <c r="H139" s="61" t="str">
        <f t="shared" si="1"/>
        <v/>
      </c>
    </row>
    <row r="140">
      <c r="A140" s="56"/>
      <c r="C140" s="57"/>
      <c r="D140" s="58"/>
      <c r="E140" s="50"/>
      <c r="F140" s="59"/>
      <c r="G140" s="60"/>
      <c r="H140" s="61" t="str">
        <f t="shared" si="1"/>
        <v/>
      </c>
    </row>
    <row r="141">
      <c r="A141" s="56"/>
      <c r="C141" s="57"/>
      <c r="D141" s="58"/>
      <c r="E141" s="50"/>
      <c r="F141" s="59"/>
      <c r="G141" s="60"/>
      <c r="H141" s="61" t="str">
        <f t="shared" si="1"/>
        <v/>
      </c>
    </row>
    <row r="142">
      <c r="A142" s="56"/>
      <c r="C142" s="57"/>
      <c r="D142" s="58"/>
      <c r="E142" s="50"/>
      <c r="F142" s="59"/>
      <c r="G142" s="60"/>
      <c r="H142" s="61" t="str">
        <f t="shared" si="1"/>
        <v/>
      </c>
    </row>
    <row r="143">
      <c r="A143" s="56"/>
      <c r="C143" s="57"/>
      <c r="D143" s="58"/>
      <c r="E143" s="50"/>
      <c r="F143" s="59"/>
      <c r="G143" s="60"/>
      <c r="H143" s="61" t="str">
        <f t="shared" si="1"/>
        <v/>
      </c>
    </row>
    <row r="144">
      <c r="A144" s="56"/>
      <c r="C144" s="57"/>
      <c r="D144" s="58"/>
      <c r="E144" s="50"/>
      <c r="F144" s="59"/>
      <c r="G144" s="60"/>
      <c r="H144" s="61" t="str">
        <f t="shared" si="1"/>
        <v/>
      </c>
    </row>
    <row r="145">
      <c r="A145" s="56"/>
      <c r="C145" s="57"/>
      <c r="D145" s="58"/>
      <c r="E145" s="50"/>
      <c r="F145" s="59"/>
      <c r="G145" s="60"/>
      <c r="H145" s="61" t="str">
        <f t="shared" si="1"/>
        <v/>
      </c>
    </row>
    <row r="146">
      <c r="A146" s="56"/>
      <c r="C146" s="57"/>
      <c r="D146" s="58"/>
      <c r="E146" s="50"/>
      <c r="F146" s="59"/>
      <c r="G146" s="60"/>
      <c r="H146" s="61" t="str">
        <f t="shared" si="1"/>
        <v/>
      </c>
    </row>
    <row r="147">
      <c r="A147" s="56"/>
      <c r="C147" s="57"/>
      <c r="D147" s="58"/>
      <c r="E147" s="50"/>
      <c r="F147" s="59"/>
      <c r="G147" s="60"/>
      <c r="H147" s="61" t="str">
        <f t="shared" si="1"/>
        <v/>
      </c>
    </row>
    <row r="148">
      <c r="A148" s="56"/>
      <c r="C148" s="57"/>
      <c r="D148" s="58"/>
      <c r="E148" s="50"/>
      <c r="F148" s="59"/>
      <c r="G148" s="60"/>
      <c r="H148" s="61" t="str">
        <f t="shared" si="1"/>
        <v/>
      </c>
    </row>
    <row r="149">
      <c r="A149" s="56"/>
      <c r="C149" s="57"/>
      <c r="D149" s="58"/>
      <c r="E149" s="50"/>
      <c r="F149" s="59"/>
      <c r="G149" s="60"/>
      <c r="H149" s="61" t="str">
        <f t="shared" si="1"/>
        <v/>
      </c>
    </row>
    <row r="150">
      <c r="A150" s="56"/>
      <c r="C150" s="57"/>
      <c r="D150" s="58"/>
      <c r="E150" s="50"/>
      <c r="F150" s="59"/>
      <c r="G150" s="60"/>
      <c r="H150" s="61" t="str">
        <f t="shared" si="1"/>
        <v/>
      </c>
    </row>
    <row r="151">
      <c r="A151" s="56"/>
      <c r="C151" s="57"/>
      <c r="D151" s="58"/>
      <c r="E151" s="50"/>
      <c r="F151" s="59"/>
      <c r="G151" s="60"/>
      <c r="H151" s="61" t="str">
        <f t="shared" si="1"/>
        <v/>
      </c>
    </row>
    <row r="152">
      <c r="A152" s="56"/>
      <c r="C152" s="57"/>
      <c r="D152" s="58"/>
      <c r="E152" s="50"/>
      <c r="F152" s="59"/>
      <c r="G152" s="60"/>
      <c r="H152" s="61" t="str">
        <f t="shared" si="1"/>
        <v/>
      </c>
    </row>
    <row r="153">
      <c r="A153" s="56"/>
      <c r="C153" s="57"/>
      <c r="D153" s="58"/>
      <c r="E153" s="50"/>
      <c r="F153" s="59"/>
      <c r="G153" s="60"/>
      <c r="H153" s="61" t="str">
        <f t="shared" si="1"/>
        <v/>
      </c>
    </row>
    <row r="154">
      <c r="A154" s="56"/>
      <c r="C154" s="57"/>
      <c r="D154" s="58"/>
      <c r="E154" s="50"/>
      <c r="F154" s="59"/>
      <c r="G154" s="60"/>
      <c r="H154" s="61" t="str">
        <f t="shared" si="1"/>
        <v/>
      </c>
    </row>
    <row r="155">
      <c r="A155" s="56"/>
      <c r="C155" s="57"/>
      <c r="D155" s="58"/>
      <c r="E155" s="50"/>
      <c r="F155" s="59"/>
      <c r="G155" s="60"/>
      <c r="H155" s="61" t="str">
        <f t="shared" si="1"/>
        <v/>
      </c>
    </row>
    <row r="156">
      <c r="A156" s="56"/>
      <c r="C156" s="57"/>
      <c r="D156" s="58"/>
      <c r="E156" s="50"/>
      <c r="F156" s="59"/>
      <c r="G156" s="60"/>
      <c r="H156" s="61" t="str">
        <f t="shared" si="1"/>
        <v/>
      </c>
    </row>
    <row r="157">
      <c r="A157" s="56"/>
      <c r="C157" s="57"/>
      <c r="D157" s="58"/>
      <c r="E157" s="50"/>
      <c r="F157" s="59"/>
      <c r="G157" s="60"/>
      <c r="H157" s="61" t="str">
        <f t="shared" si="1"/>
        <v/>
      </c>
    </row>
    <row r="158">
      <c r="A158" s="56"/>
      <c r="C158" s="57"/>
      <c r="D158" s="58"/>
      <c r="E158" s="50"/>
      <c r="F158" s="59"/>
      <c r="G158" s="60"/>
      <c r="H158" s="61" t="str">
        <f t="shared" si="1"/>
        <v/>
      </c>
    </row>
    <row r="159">
      <c r="A159" s="56"/>
      <c r="C159" s="57"/>
      <c r="D159" s="58"/>
      <c r="E159" s="50"/>
      <c r="F159" s="59"/>
      <c r="G159" s="60"/>
      <c r="H159" s="61" t="str">
        <f t="shared" si="1"/>
        <v/>
      </c>
    </row>
    <row r="160">
      <c r="A160" s="56"/>
      <c r="C160" s="57"/>
      <c r="D160" s="58"/>
      <c r="E160" s="50"/>
      <c r="F160" s="59"/>
      <c r="G160" s="60"/>
      <c r="H160" s="61" t="str">
        <f t="shared" si="1"/>
        <v/>
      </c>
    </row>
    <row r="161">
      <c r="A161" s="56"/>
      <c r="C161" s="57"/>
      <c r="D161" s="58"/>
      <c r="E161" s="50"/>
      <c r="F161" s="59"/>
      <c r="G161" s="60"/>
      <c r="H161" s="61" t="str">
        <f t="shared" si="1"/>
        <v/>
      </c>
    </row>
    <row r="162">
      <c r="A162" s="56"/>
      <c r="C162" s="57"/>
      <c r="D162" s="58"/>
      <c r="E162" s="50"/>
      <c r="F162" s="59"/>
      <c r="G162" s="60"/>
      <c r="H162" s="61" t="str">
        <f t="shared" si="1"/>
        <v/>
      </c>
    </row>
    <row r="163">
      <c r="A163" s="56"/>
      <c r="C163" s="57"/>
      <c r="D163" s="58"/>
      <c r="E163" s="50"/>
      <c r="F163" s="59"/>
      <c r="G163" s="60"/>
      <c r="H163" s="61" t="str">
        <f t="shared" si="1"/>
        <v/>
      </c>
    </row>
    <row r="164">
      <c r="A164" s="56"/>
      <c r="C164" s="57"/>
      <c r="D164" s="58"/>
      <c r="E164" s="50"/>
      <c r="F164" s="59"/>
      <c r="G164" s="60"/>
      <c r="H164" s="61" t="str">
        <f t="shared" si="1"/>
        <v/>
      </c>
    </row>
    <row r="165">
      <c r="A165" s="56"/>
      <c r="C165" s="57"/>
      <c r="D165" s="58"/>
      <c r="E165" s="50"/>
      <c r="F165" s="59"/>
      <c r="G165" s="60"/>
      <c r="H165" s="61" t="str">
        <f t="shared" si="1"/>
        <v/>
      </c>
    </row>
    <row r="166">
      <c r="A166" s="56"/>
      <c r="C166" s="57"/>
      <c r="D166" s="58"/>
      <c r="E166" s="50"/>
      <c r="F166" s="59"/>
      <c r="G166" s="60"/>
      <c r="H166" s="61" t="str">
        <f t="shared" si="1"/>
        <v/>
      </c>
    </row>
    <row r="167">
      <c r="A167" s="56"/>
      <c r="C167" s="57"/>
      <c r="D167" s="58"/>
      <c r="E167" s="50"/>
      <c r="F167" s="59"/>
      <c r="G167" s="60"/>
      <c r="H167" s="61" t="str">
        <f t="shared" si="1"/>
        <v/>
      </c>
    </row>
    <row r="168">
      <c r="A168" s="56"/>
      <c r="C168" s="57"/>
      <c r="D168" s="58"/>
      <c r="E168" s="50"/>
      <c r="F168" s="59"/>
      <c r="G168" s="60"/>
      <c r="H168" s="61" t="str">
        <f t="shared" si="1"/>
        <v/>
      </c>
    </row>
    <row r="169">
      <c r="A169" s="56"/>
      <c r="C169" s="57"/>
      <c r="D169" s="58"/>
      <c r="E169" s="50"/>
      <c r="F169" s="59"/>
      <c r="G169" s="60"/>
      <c r="H169" s="61" t="str">
        <f t="shared" si="1"/>
        <v/>
      </c>
    </row>
    <row r="170">
      <c r="A170" s="56"/>
      <c r="C170" s="57"/>
      <c r="D170" s="58"/>
      <c r="E170" s="50"/>
      <c r="F170" s="59"/>
      <c r="G170" s="60"/>
      <c r="H170" s="61" t="str">
        <f t="shared" si="1"/>
        <v/>
      </c>
    </row>
    <row r="171">
      <c r="A171" s="56"/>
      <c r="C171" s="57"/>
      <c r="D171" s="58"/>
      <c r="E171" s="50"/>
      <c r="F171" s="59"/>
      <c r="G171" s="60"/>
      <c r="H171" s="61" t="str">
        <f t="shared" si="1"/>
        <v/>
      </c>
    </row>
    <row r="172">
      <c r="A172" s="56"/>
      <c r="C172" s="57"/>
      <c r="D172" s="58"/>
      <c r="E172" s="50"/>
      <c r="F172" s="59"/>
      <c r="G172" s="60"/>
      <c r="H172" s="61" t="str">
        <f t="shared" si="1"/>
        <v/>
      </c>
    </row>
    <row r="173">
      <c r="A173" s="56"/>
      <c r="C173" s="57"/>
      <c r="D173" s="58"/>
      <c r="E173" s="50"/>
      <c r="F173" s="59"/>
      <c r="G173" s="60"/>
      <c r="H173" s="61" t="str">
        <f t="shared" si="1"/>
        <v/>
      </c>
    </row>
    <row r="174">
      <c r="A174" s="56"/>
      <c r="C174" s="57"/>
      <c r="D174" s="58"/>
      <c r="E174" s="50"/>
      <c r="F174" s="59"/>
      <c r="G174" s="60"/>
      <c r="H174" s="61" t="str">
        <f t="shared" si="1"/>
        <v/>
      </c>
    </row>
    <row r="175">
      <c r="A175" s="56"/>
      <c r="C175" s="57"/>
      <c r="D175" s="58"/>
      <c r="E175" s="50"/>
      <c r="F175" s="59"/>
      <c r="G175" s="60"/>
      <c r="H175" s="61" t="str">
        <f t="shared" si="1"/>
        <v/>
      </c>
    </row>
    <row r="176">
      <c r="A176" s="56"/>
      <c r="C176" s="57"/>
      <c r="D176" s="58"/>
      <c r="E176" s="50"/>
      <c r="F176" s="59"/>
      <c r="G176" s="60"/>
      <c r="H176" s="61" t="str">
        <f t="shared" si="1"/>
        <v/>
      </c>
    </row>
    <row r="177">
      <c r="A177" s="56"/>
      <c r="C177" s="57"/>
      <c r="D177" s="58"/>
      <c r="E177" s="50"/>
      <c r="F177" s="59"/>
      <c r="G177" s="60"/>
      <c r="H177" s="61" t="str">
        <f t="shared" si="1"/>
        <v/>
      </c>
    </row>
    <row r="178">
      <c r="A178" s="56"/>
      <c r="C178" s="57"/>
      <c r="D178" s="58"/>
      <c r="E178" s="50"/>
      <c r="F178" s="59"/>
      <c r="G178" s="60"/>
      <c r="H178" s="61" t="str">
        <f t="shared" si="1"/>
        <v/>
      </c>
    </row>
    <row r="179">
      <c r="A179" s="56"/>
      <c r="C179" s="57"/>
      <c r="D179" s="58"/>
      <c r="E179" s="50"/>
      <c r="F179" s="59"/>
      <c r="G179" s="60"/>
      <c r="H179" s="61" t="str">
        <f t="shared" si="1"/>
        <v/>
      </c>
    </row>
    <row r="180">
      <c r="A180" s="56"/>
      <c r="C180" s="57"/>
      <c r="D180" s="58"/>
      <c r="E180" s="50"/>
      <c r="F180" s="59"/>
      <c r="G180" s="60"/>
      <c r="H180" s="61" t="str">
        <f t="shared" si="1"/>
        <v/>
      </c>
    </row>
    <row r="181">
      <c r="A181" s="56"/>
      <c r="C181" s="57"/>
      <c r="D181" s="58"/>
      <c r="E181" s="50"/>
      <c r="F181" s="59"/>
      <c r="G181" s="60"/>
      <c r="H181" s="61" t="str">
        <f t="shared" si="1"/>
        <v/>
      </c>
    </row>
    <row r="182">
      <c r="A182" s="56"/>
      <c r="C182" s="57"/>
      <c r="D182" s="58"/>
      <c r="E182" s="50"/>
      <c r="F182" s="59"/>
      <c r="G182" s="60"/>
      <c r="H182" s="61" t="str">
        <f t="shared" si="1"/>
        <v/>
      </c>
    </row>
    <row r="183">
      <c r="A183" s="56"/>
      <c r="C183" s="57"/>
      <c r="D183" s="58"/>
      <c r="E183" s="50"/>
      <c r="F183" s="59"/>
      <c r="G183" s="60"/>
      <c r="H183" s="61" t="str">
        <f t="shared" si="1"/>
        <v/>
      </c>
    </row>
    <row r="184">
      <c r="A184" s="56"/>
      <c r="C184" s="57"/>
      <c r="D184" s="58"/>
      <c r="E184" s="50"/>
      <c r="F184" s="59"/>
      <c r="G184" s="60"/>
      <c r="H184" s="61" t="str">
        <f t="shared" si="1"/>
        <v/>
      </c>
    </row>
    <row r="185">
      <c r="A185" s="56"/>
      <c r="C185" s="57"/>
      <c r="D185" s="58"/>
      <c r="E185" s="50"/>
      <c r="F185" s="59"/>
      <c r="G185" s="60"/>
      <c r="H185" s="61" t="str">
        <f t="shared" si="1"/>
        <v/>
      </c>
    </row>
    <row r="186">
      <c r="A186" s="56"/>
      <c r="C186" s="57"/>
      <c r="D186" s="58"/>
      <c r="E186" s="50"/>
      <c r="F186" s="59"/>
      <c r="G186" s="60"/>
      <c r="H186" s="61" t="str">
        <f t="shared" si="1"/>
        <v/>
      </c>
    </row>
    <row r="187">
      <c r="A187" s="56"/>
      <c r="C187" s="57"/>
      <c r="D187" s="58"/>
      <c r="E187" s="50"/>
      <c r="F187" s="59"/>
      <c r="G187" s="60"/>
      <c r="H187" s="61" t="str">
        <f t="shared" si="1"/>
        <v/>
      </c>
    </row>
    <row r="188">
      <c r="A188" s="56"/>
      <c r="C188" s="57"/>
      <c r="D188" s="58"/>
      <c r="E188" s="50"/>
      <c r="F188" s="59"/>
      <c r="G188" s="60"/>
      <c r="H188" s="61" t="str">
        <f t="shared" si="1"/>
        <v/>
      </c>
    </row>
    <row r="189">
      <c r="A189" s="56"/>
      <c r="C189" s="57"/>
      <c r="D189" s="58"/>
      <c r="E189" s="50"/>
      <c r="F189" s="59"/>
      <c r="G189" s="60"/>
      <c r="H189" s="61" t="str">
        <f t="shared" si="1"/>
        <v/>
      </c>
    </row>
    <row r="190">
      <c r="A190" s="56"/>
      <c r="C190" s="57"/>
      <c r="D190" s="58"/>
      <c r="E190" s="50"/>
      <c r="F190" s="59"/>
      <c r="G190" s="60"/>
      <c r="H190" s="61" t="str">
        <f t="shared" si="1"/>
        <v/>
      </c>
    </row>
    <row r="191">
      <c r="A191" s="56"/>
      <c r="C191" s="57"/>
      <c r="D191" s="58"/>
      <c r="E191" s="50"/>
      <c r="F191" s="59"/>
      <c r="G191" s="60"/>
      <c r="H191" s="61" t="str">
        <f t="shared" si="1"/>
        <v/>
      </c>
    </row>
    <row r="192">
      <c r="A192" s="56"/>
      <c r="C192" s="57"/>
      <c r="D192" s="58"/>
      <c r="E192" s="50"/>
      <c r="F192" s="59"/>
      <c r="G192" s="60"/>
      <c r="H192" s="61" t="str">
        <f t="shared" si="1"/>
        <v/>
      </c>
    </row>
    <row r="193">
      <c r="A193" s="56"/>
      <c r="C193" s="57"/>
      <c r="D193" s="58"/>
      <c r="E193" s="50"/>
      <c r="F193" s="59"/>
      <c r="G193" s="60"/>
      <c r="H193" s="61" t="str">
        <f t="shared" si="1"/>
        <v/>
      </c>
    </row>
    <row r="194">
      <c r="A194" s="56"/>
      <c r="C194" s="57"/>
      <c r="D194" s="58"/>
      <c r="E194" s="50"/>
      <c r="F194" s="59"/>
      <c r="G194" s="60"/>
      <c r="H194" s="61" t="str">
        <f t="shared" si="1"/>
        <v/>
      </c>
    </row>
    <row r="195">
      <c r="A195" s="56"/>
      <c r="C195" s="57"/>
      <c r="D195" s="58"/>
      <c r="E195" s="50"/>
      <c r="F195" s="59"/>
      <c r="G195" s="60"/>
      <c r="H195" s="61" t="str">
        <f t="shared" si="1"/>
        <v/>
      </c>
    </row>
    <row r="196">
      <c r="A196" s="56"/>
      <c r="C196" s="57"/>
      <c r="D196" s="58"/>
      <c r="E196" s="50"/>
      <c r="F196" s="59"/>
      <c r="G196" s="60"/>
      <c r="H196" s="61" t="str">
        <f t="shared" si="1"/>
        <v/>
      </c>
    </row>
    <row r="197">
      <c r="A197" s="56"/>
      <c r="C197" s="57"/>
      <c r="D197" s="58"/>
      <c r="E197" s="50"/>
      <c r="F197" s="59"/>
      <c r="G197" s="60"/>
      <c r="H197" s="61" t="str">
        <f t="shared" si="1"/>
        <v/>
      </c>
    </row>
    <row r="198">
      <c r="A198" s="56"/>
      <c r="C198" s="57"/>
      <c r="D198" s="58"/>
      <c r="E198" s="50"/>
      <c r="F198" s="59"/>
      <c r="G198" s="60"/>
      <c r="H198" s="61" t="str">
        <f t="shared" si="1"/>
        <v/>
      </c>
    </row>
    <row r="199">
      <c r="A199" s="56"/>
      <c r="C199" s="57"/>
      <c r="D199" s="58"/>
      <c r="E199" s="50"/>
      <c r="F199" s="59"/>
      <c r="G199" s="60"/>
      <c r="H199" s="61" t="str">
        <f t="shared" si="1"/>
        <v/>
      </c>
    </row>
    <row r="200">
      <c r="A200" s="56"/>
      <c r="C200" s="57"/>
      <c r="D200" s="58"/>
      <c r="E200" s="50"/>
      <c r="F200" s="59"/>
      <c r="G200" s="60"/>
      <c r="H200" s="61" t="str">
        <f t="shared" si="1"/>
        <v/>
      </c>
    </row>
    <row r="201">
      <c r="A201" s="56"/>
      <c r="C201" s="57"/>
      <c r="D201" s="58"/>
      <c r="E201" s="50"/>
      <c r="F201" s="59"/>
      <c r="G201" s="60"/>
      <c r="H201" s="61" t="str">
        <f t="shared" si="1"/>
        <v/>
      </c>
    </row>
    <row r="202">
      <c r="A202" s="56"/>
      <c r="C202" s="57"/>
      <c r="D202" s="58"/>
      <c r="E202" s="50"/>
      <c r="F202" s="59"/>
      <c r="G202" s="60"/>
      <c r="H202" s="61" t="str">
        <f t="shared" si="1"/>
        <v/>
      </c>
    </row>
    <row r="203">
      <c r="A203" s="56"/>
      <c r="C203" s="57"/>
      <c r="D203" s="58"/>
      <c r="E203" s="50"/>
      <c r="F203" s="59"/>
      <c r="G203" s="60"/>
      <c r="H203" s="61" t="str">
        <f t="shared" si="1"/>
        <v/>
      </c>
    </row>
    <row r="204">
      <c r="A204" s="56"/>
      <c r="C204" s="57"/>
      <c r="D204" s="58"/>
      <c r="E204" s="50"/>
      <c r="F204" s="59"/>
      <c r="G204" s="60"/>
      <c r="H204" s="61" t="str">
        <f t="shared" si="1"/>
        <v/>
      </c>
    </row>
    <row r="205">
      <c r="A205" s="56"/>
      <c r="C205" s="57"/>
      <c r="D205" s="58"/>
      <c r="E205" s="50"/>
      <c r="F205" s="59"/>
      <c r="G205" s="60"/>
      <c r="H205" s="61" t="str">
        <f t="shared" si="1"/>
        <v/>
      </c>
    </row>
    <row r="206">
      <c r="A206" s="56"/>
      <c r="C206" s="57"/>
      <c r="D206" s="58"/>
      <c r="E206" s="50"/>
      <c r="F206" s="59"/>
      <c r="G206" s="60"/>
      <c r="H206" s="61" t="str">
        <f t="shared" si="1"/>
        <v/>
      </c>
    </row>
    <row r="207">
      <c r="A207" s="56"/>
      <c r="C207" s="57"/>
      <c r="D207" s="58"/>
      <c r="E207" s="50"/>
      <c r="F207" s="59"/>
      <c r="G207" s="60"/>
      <c r="H207" s="61" t="str">
        <f t="shared" si="1"/>
        <v/>
      </c>
    </row>
    <row r="208">
      <c r="A208" s="56"/>
      <c r="C208" s="57"/>
      <c r="D208" s="58"/>
      <c r="E208" s="50"/>
      <c r="F208" s="59"/>
      <c r="G208" s="60"/>
      <c r="H208" s="61" t="str">
        <f t="shared" si="1"/>
        <v/>
      </c>
    </row>
    <row r="209">
      <c r="A209" s="56"/>
      <c r="C209" s="57"/>
      <c r="D209" s="58"/>
      <c r="E209" s="50"/>
      <c r="F209" s="59"/>
      <c r="G209" s="60"/>
      <c r="H209" s="61" t="str">
        <f t="shared" si="1"/>
        <v/>
      </c>
    </row>
    <row r="210">
      <c r="A210" s="56"/>
      <c r="C210" s="57"/>
      <c r="D210" s="58"/>
      <c r="E210" s="50"/>
      <c r="F210" s="59"/>
      <c r="G210" s="60"/>
      <c r="H210" s="61" t="str">
        <f t="shared" si="1"/>
        <v/>
      </c>
    </row>
    <row r="211">
      <c r="A211" s="56"/>
      <c r="C211" s="57"/>
      <c r="D211" s="58"/>
      <c r="E211" s="50"/>
      <c r="F211" s="59"/>
      <c r="G211" s="60"/>
      <c r="H211" s="61" t="str">
        <f t="shared" si="1"/>
        <v/>
      </c>
    </row>
    <row r="212">
      <c r="A212" s="56"/>
      <c r="C212" s="57"/>
      <c r="D212" s="58"/>
      <c r="E212" s="50"/>
      <c r="F212" s="59"/>
      <c r="G212" s="60"/>
      <c r="H212" s="61" t="str">
        <f t="shared" si="1"/>
        <v/>
      </c>
    </row>
    <row r="213">
      <c r="A213" s="56"/>
      <c r="C213" s="57"/>
      <c r="D213" s="58"/>
      <c r="E213" s="50"/>
      <c r="F213" s="59"/>
      <c r="G213" s="60"/>
      <c r="H213" s="61" t="str">
        <f t="shared" si="1"/>
        <v/>
      </c>
    </row>
    <row r="214">
      <c r="A214" s="56"/>
      <c r="C214" s="57"/>
      <c r="D214" s="58"/>
      <c r="E214" s="50"/>
      <c r="F214" s="59"/>
      <c r="G214" s="60"/>
      <c r="H214" s="61" t="str">
        <f t="shared" si="1"/>
        <v/>
      </c>
    </row>
    <row r="215">
      <c r="A215" s="56"/>
      <c r="C215" s="57"/>
      <c r="D215" s="58"/>
      <c r="E215" s="50"/>
      <c r="F215" s="59"/>
      <c r="G215" s="60"/>
      <c r="H215" s="61" t="str">
        <f t="shared" si="1"/>
        <v/>
      </c>
    </row>
    <row r="216">
      <c r="A216" s="56"/>
      <c r="C216" s="57"/>
      <c r="D216" s="58"/>
      <c r="E216" s="50"/>
      <c r="F216" s="59"/>
      <c r="G216" s="60"/>
      <c r="H216" s="61" t="str">
        <f t="shared" si="1"/>
        <v/>
      </c>
    </row>
    <row r="217">
      <c r="A217" s="56"/>
      <c r="C217" s="57"/>
      <c r="D217" s="58"/>
      <c r="E217" s="50"/>
      <c r="F217" s="59"/>
      <c r="G217" s="60"/>
      <c r="H217" s="61" t="str">
        <f t="shared" si="1"/>
        <v/>
      </c>
    </row>
    <row r="218">
      <c r="A218" s="56"/>
      <c r="C218" s="57"/>
      <c r="D218" s="58"/>
      <c r="E218" s="50"/>
      <c r="F218" s="59"/>
      <c r="G218" s="60"/>
      <c r="H218" s="61" t="str">
        <f t="shared" si="1"/>
        <v/>
      </c>
    </row>
    <row r="219">
      <c r="A219" s="56"/>
      <c r="C219" s="57"/>
      <c r="D219" s="58"/>
      <c r="E219" s="50"/>
      <c r="F219" s="59"/>
      <c r="G219" s="60"/>
      <c r="H219" s="61" t="str">
        <f t="shared" si="1"/>
        <v/>
      </c>
    </row>
    <row r="220">
      <c r="A220" s="56"/>
      <c r="C220" s="57"/>
      <c r="D220" s="58"/>
      <c r="E220" s="50"/>
      <c r="F220" s="59"/>
      <c r="G220" s="60"/>
      <c r="H220" s="61" t="str">
        <f t="shared" si="1"/>
        <v/>
      </c>
    </row>
    <row r="221">
      <c r="A221" s="56"/>
      <c r="C221" s="57"/>
      <c r="D221" s="58"/>
      <c r="E221" s="50"/>
      <c r="F221" s="59"/>
      <c r="G221" s="60"/>
      <c r="H221" s="61" t="str">
        <f t="shared" si="1"/>
        <v/>
      </c>
    </row>
    <row r="222">
      <c r="A222" s="56"/>
      <c r="C222" s="57"/>
      <c r="D222" s="58"/>
      <c r="E222" s="50"/>
      <c r="F222" s="59"/>
      <c r="G222" s="60"/>
      <c r="H222" s="61" t="str">
        <f t="shared" si="1"/>
        <v/>
      </c>
    </row>
    <row r="223">
      <c r="A223" s="56"/>
      <c r="C223" s="57"/>
      <c r="D223" s="58"/>
      <c r="E223" s="50"/>
      <c r="F223" s="59"/>
      <c r="G223" s="60"/>
      <c r="H223" s="61" t="str">
        <f t="shared" si="1"/>
        <v/>
      </c>
    </row>
    <row r="224">
      <c r="A224" s="56"/>
      <c r="C224" s="57"/>
      <c r="D224" s="58"/>
      <c r="E224" s="50"/>
      <c r="F224" s="59"/>
      <c r="G224" s="60"/>
      <c r="H224" s="61" t="str">
        <f t="shared" si="1"/>
        <v/>
      </c>
    </row>
    <row r="225">
      <c r="A225" s="56"/>
      <c r="C225" s="57"/>
      <c r="D225" s="58"/>
      <c r="E225" s="50"/>
      <c r="F225" s="59"/>
      <c r="G225" s="60"/>
      <c r="H225" s="61" t="str">
        <f t="shared" si="1"/>
        <v/>
      </c>
    </row>
    <row r="226">
      <c r="A226" s="56"/>
      <c r="C226" s="57"/>
      <c r="D226" s="58"/>
      <c r="E226" s="50"/>
      <c r="F226" s="59"/>
      <c r="G226" s="60"/>
      <c r="H226" s="61" t="str">
        <f t="shared" si="1"/>
        <v/>
      </c>
    </row>
    <row r="227">
      <c r="A227" s="56"/>
      <c r="C227" s="57"/>
      <c r="D227" s="58"/>
      <c r="E227" s="50"/>
      <c r="F227" s="59"/>
      <c r="G227" s="60"/>
      <c r="H227" s="61" t="str">
        <f t="shared" si="1"/>
        <v/>
      </c>
    </row>
    <row r="228">
      <c r="A228" s="56"/>
      <c r="C228" s="57"/>
      <c r="D228" s="58"/>
      <c r="E228" s="50"/>
      <c r="F228" s="59"/>
      <c r="G228" s="60"/>
      <c r="H228" s="61" t="str">
        <f t="shared" si="1"/>
        <v/>
      </c>
    </row>
    <row r="229">
      <c r="A229" s="56"/>
      <c r="C229" s="57"/>
      <c r="D229" s="58"/>
      <c r="E229" s="50"/>
      <c r="F229" s="59"/>
      <c r="G229" s="60"/>
      <c r="H229" s="61" t="str">
        <f t="shared" si="1"/>
        <v/>
      </c>
    </row>
    <row r="230">
      <c r="A230" s="56"/>
      <c r="C230" s="57"/>
      <c r="D230" s="58"/>
      <c r="E230" s="50"/>
      <c r="F230" s="59"/>
      <c r="G230" s="60"/>
      <c r="H230" s="61" t="str">
        <f t="shared" si="1"/>
        <v/>
      </c>
    </row>
    <row r="231">
      <c r="A231" s="56"/>
      <c r="C231" s="57"/>
      <c r="D231" s="58"/>
      <c r="E231" s="50"/>
      <c r="F231" s="59"/>
      <c r="G231" s="60"/>
      <c r="H231" s="61" t="str">
        <f t="shared" si="1"/>
        <v/>
      </c>
    </row>
    <row r="232">
      <c r="A232" s="56"/>
      <c r="C232" s="57"/>
      <c r="D232" s="58"/>
      <c r="E232" s="50"/>
      <c r="F232" s="59"/>
      <c r="G232" s="60"/>
      <c r="H232" s="61" t="str">
        <f t="shared" si="1"/>
        <v/>
      </c>
    </row>
    <row r="233">
      <c r="A233" s="56"/>
      <c r="C233" s="57"/>
      <c r="D233" s="58"/>
      <c r="E233" s="50"/>
      <c r="F233" s="59"/>
      <c r="G233" s="60"/>
      <c r="H233" s="61" t="str">
        <f t="shared" si="1"/>
        <v/>
      </c>
    </row>
    <row r="234">
      <c r="A234" s="56"/>
      <c r="C234" s="57"/>
      <c r="D234" s="58"/>
      <c r="E234" s="50"/>
      <c r="F234" s="59"/>
      <c r="G234" s="60"/>
      <c r="H234" s="61" t="str">
        <f t="shared" si="1"/>
        <v/>
      </c>
    </row>
    <row r="235">
      <c r="A235" s="56"/>
      <c r="C235" s="57"/>
      <c r="D235" s="58"/>
      <c r="E235" s="50"/>
      <c r="F235" s="59"/>
      <c r="G235" s="60"/>
      <c r="H235" s="61" t="str">
        <f t="shared" si="1"/>
        <v/>
      </c>
    </row>
    <row r="236">
      <c r="A236" s="56"/>
      <c r="C236" s="57"/>
      <c r="D236" s="58"/>
      <c r="E236" s="50"/>
      <c r="F236" s="59"/>
      <c r="G236" s="60"/>
      <c r="H236" s="61" t="str">
        <f t="shared" si="1"/>
        <v/>
      </c>
    </row>
    <row r="237">
      <c r="A237" s="56"/>
      <c r="C237" s="57"/>
      <c r="D237" s="58"/>
      <c r="E237" s="50"/>
      <c r="F237" s="59"/>
      <c r="G237" s="60"/>
      <c r="H237" s="61" t="str">
        <f t="shared" si="1"/>
        <v/>
      </c>
    </row>
    <row r="238">
      <c r="A238" s="56"/>
      <c r="C238" s="57"/>
      <c r="D238" s="58"/>
      <c r="E238" s="50"/>
      <c r="F238" s="59"/>
      <c r="G238" s="60"/>
      <c r="H238" s="61" t="str">
        <f t="shared" si="1"/>
        <v/>
      </c>
    </row>
    <row r="239">
      <c r="A239" s="56"/>
      <c r="C239" s="57"/>
      <c r="D239" s="58"/>
      <c r="E239" s="50"/>
      <c r="F239" s="59"/>
      <c r="G239" s="60"/>
      <c r="H239" s="61" t="str">
        <f t="shared" si="1"/>
        <v/>
      </c>
    </row>
    <row r="240">
      <c r="A240" s="56"/>
      <c r="C240" s="57"/>
      <c r="D240" s="58"/>
      <c r="E240" s="50"/>
      <c r="F240" s="59"/>
      <c r="G240" s="60"/>
      <c r="H240" s="61" t="str">
        <f t="shared" si="1"/>
        <v/>
      </c>
    </row>
    <row r="241">
      <c r="A241" s="56"/>
      <c r="C241" s="57"/>
      <c r="D241" s="58"/>
      <c r="E241" s="50"/>
      <c r="F241" s="59"/>
      <c r="G241" s="60"/>
      <c r="H241" s="61" t="str">
        <f t="shared" si="1"/>
        <v/>
      </c>
    </row>
    <row r="242">
      <c r="A242" s="56"/>
      <c r="C242" s="57"/>
      <c r="D242" s="58"/>
      <c r="E242" s="50"/>
      <c r="F242" s="59"/>
      <c r="G242" s="60"/>
      <c r="H242" s="61" t="str">
        <f t="shared" si="1"/>
        <v/>
      </c>
    </row>
    <row r="243">
      <c r="A243" s="56"/>
      <c r="C243" s="57"/>
      <c r="D243" s="58"/>
      <c r="E243" s="50"/>
      <c r="F243" s="59"/>
      <c r="G243" s="60"/>
      <c r="H243" s="61" t="str">
        <f t="shared" si="1"/>
        <v/>
      </c>
    </row>
    <row r="244">
      <c r="A244" s="56"/>
      <c r="C244" s="57"/>
      <c r="D244" s="58"/>
      <c r="E244" s="50"/>
      <c r="F244" s="59"/>
      <c r="G244" s="60"/>
      <c r="H244" s="61" t="str">
        <f t="shared" si="1"/>
        <v/>
      </c>
    </row>
    <row r="245">
      <c r="A245" s="56"/>
      <c r="C245" s="57"/>
      <c r="D245" s="58"/>
      <c r="E245" s="50"/>
      <c r="F245" s="59"/>
      <c r="G245" s="60"/>
      <c r="H245" s="61" t="str">
        <f t="shared" si="1"/>
        <v/>
      </c>
    </row>
    <row r="246">
      <c r="A246" s="56"/>
      <c r="C246" s="57"/>
      <c r="D246" s="58"/>
      <c r="E246" s="50"/>
      <c r="F246" s="59"/>
      <c r="G246" s="60"/>
      <c r="H246" s="61" t="str">
        <f t="shared" si="1"/>
        <v/>
      </c>
    </row>
    <row r="247">
      <c r="A247" s="56"/>
      <c r="C247" s="57"/>
      <c r="D247" s="58"/>
      <c r="E247" s="50"/>
      <c r="F247" s="59"/>
      <c r="G247" s="60"/>
      <c r="H247" s="61" t="str">
        <f t="shared" si="1"/>
        <v/>
      </c>
    </row>
    <row r="248">
      <c r="A248" s="56"/>
      <c r="C248" s="57"/>
      <c r="D248" s="58"/>
      <c r="E248" s="50"/>
      <c r="F248" s="59"/>
      <c r="G248" s="60"/>
      <c r="H248" s="61" t="str">
        <f t="shared" si="1"/>
        <v/>
      </c>
    </row>
    <row r="249">
      <c r="A249" s="56"/>
      <c r="C249" s="57"/>
      <c r="D249" s="58"/>
      <c r="E249" s="50"/>
      <c r="F249" s="59"/>
      <c r="G249" s="60"/>
      <c r="H249" s="61" t="str">
        <f t="shared" si="1"/>
        <v/>
      </c>
    </row>
    <row r="250">
      <c r="A250" s="56"/>
      <c r="C250" s="57"/>
      <c r="D250" s="58"/>
      <c r="E250" s="50"/>
      <c r="F250" s="59"/>
      <c r="G250" s="60"/>
      <c r="H250" s="61" t="str">
        <f t="shared" si="1"/>
        <v/>
      </c>
    </row>
    <row r="251">
      <c r="A251" s="56"/>
      <c r="C251" s="57"/>
      <c r="D251" s="58"/>
      <c r="E251" s="50"/>
      <c r="F251" s="59"/>
      <c r="G251" s="60"/>
      <c r="H251" s="61" t="str">
        <f t="shared" si="1"/>
        <v/>
      </c>
    </row>
    <row r="252">
      <c r="A252" s="56"/>
      <c r="C252" s="57"/>
      <c r="D252" s="58"/>
      <c r="E252" s="50"/>
      <c r="F252" s="59"/>
      <c r="G252" s="60"/>
      <c r="H252" s="61" t="str">
        <f t="shared" si="1"/>
        <v/>
      </c>
    </row>
    <row r="253">
      <c r="A253" s="56"/>
      <c r="C253" s="57"/>
      <c r="D253" s="58"/>
      <c r="E253" s="50"/>
      <c r="F253" s="59"/>
      <c r="G253" s="60"/>
      <c r="H253" s="61" t="str">
        <f t="shared" si="1"/>
        <v/>
      </c>
    </row>
    <row r="254">
      <c r="A254" s="56"/>
      <c r="C254" s="57"/>
      <c r="D254" s="58"/>
      <c r="E254" s="50"/>
      <c r="F254" s="59"/>
      <c r="G254" s="60"/>
      <c r="H254" s="61" t="str">
        <f t="shared" si="1"/>
        <v/>
      </c>
    </row>
    <row r="255">
      <c r="A255" s="56"/>
      <c r="C255" s="57"/>
      <c r="D255" s="58"/>
      <c r="E255" s="50"/>
      <c r="F255" s="59"/>
      <c r="G255" s="60"/>
      <c r="H255" s="61" t="str">
        <f t="shared" si="1"/>
        <v/>
      </c>
    </row>
    <row r="256">
      <c r="A256" s="56"/>
      <c r="C256" s="57"/>
      <c r="D256" s="58"/>
      <c r="E256" s="50"/>
      <c r="F256" s="59"/>
      <c r="G256" s="60"/>
      <c r="H256" s="61" t="str">
        <f t="shared" si="1"/>
        <v/>
      </c>
    </row>
    <row r="257">
      <c r="A257" s="56"/>
      <c r="C257" s="57"/>
      <c r="D257" s="58"/>
      <c r="E257" s="50"/>
      <c r="F257" s="59"/>
      <c r="G257" s="60"/>
      <c r="H257" s="61" t="str">
        <f t="shared" si="1"/>
        <v/>
      </c>
    </row>
    <row r="258">
      <c r="A258" s="56"/>
      <c r="C258" s="57"/>
      <c r="D258" s="58"/>
      <c r="E258" s="50"/>
      <c r="F258" s="59"/>
      <c r="G258" s="60"/>
      <c r="H258" s="61" t="str">
        <f t="shared" si="1"/>
        <v/>
      </c>
    </row>
    <row r="259">
      <c r="A259" s="56"/>
      <c r="C259" s="57"/>
      <c r="D259" s="58"/>
      <c r="E259" s="50"/>
      <c r="F259" s="59"/>
      <c r="G259" s="60"/>
      <c r="H259" s="61" t="str">
        <f t="shared" si="1"/>
        <v/>
      </c>
    </row>
    <row r="260">
      <c r="A260" s="56"/>
      <c r="C260" s="57"/>
      <c r="D260" s="58"/>
      <c r="E260" s="50"/>
      <c r="F260" s="59"/>
      <c r="G260" s="60"/>
      <c r="H260" s="61" t="str">
        <f t="shared" si="1"/>
        <v/>
      </c>
    </row>
    <row r="261">
      <c r="A261" s="56"/>
      <c r="C261" s="57"/>
      <c r="D261" s="58"/>
      <c r="E261" s="50"/>
      <c r="F261" s="59"/>
      <c r="G261" s="60"/>
      <c r="H261" s="61" t="str">
        <f t="shared" si="1"/>
        <v/>
      </c>
    </row>
    <row r="262">
      <c r="A262" s="56"/>
      <c r="C262" s="57"/>
      <c r="D262" s="58"/>
      <c r="E262" s="50"/>
      <c r="F262" s="59"/>
      <c r="G262" s="60"/>
      <c r="H262" s="61" t="str">
        <f t="shared" si="1"/>
        <v/>
      </c>
    </row>
    <row r="263">
      <c r="A263" s="56"/>
      <c r="C263" s="57"/>
      <c r="D263" s="58"/>
      <c r="E263" s="50"/>
      <c r="F263" s="59"/>
      <c r="G263" s="60"/>
      <c r="H263" s="61" t="str">
        <f t="shared" si="1"/>
        <v/>
      </c>
    </row>
    <row r="264">
      <c r="A264" s="56"/>
      <c r="C264" s="57"/>
      <c r="D264" s="58"/>
      <c r="E264" s="50"/>
      <c r="F264" s="59"/>
      <c r="G264" s="60"/>
      <c r="H264" s="61" t="str">
        <f t="shared" si="1"/>
        <v/>
      </c>
    </row>
    <row r="265">
      <c r="A265" s="56"/>
      <c r="C265" s="57"/>
      <c r="D265" s="58"/>
      <c r="E265" s="50"/>
      <c r="F265" s="59"/>
      <c r="G265" s="60"/>
      <c r="H265" s="61" t="str">
        <f t="shared" si="1"/>
        <v/>
      </c>
    </row>
    <row r="266">
      <c r="A266" s="56"/>
      <c r="C266" s="57"/>
      <c r="D266" s="58"/>
      <c r="E266" s="50"/>
      <c r="F266" s="59"/>
      <c r="G266" s="60"/>
      <c r="H266" s="61" t="str">
        <f t="shared" si="1"/>
        <v/>
      </c>
    </row>
    <row r="267">
      <c r="A267" s="56"/>
      <c r="C267" s="57"/>
      <c r="D267" s="58"/>
      <c r="E267" s="50"/>
      <c r="F267" s="59"/>
      <c r="G267" s="60"/>
      <c r="H267" s="61" t="str">
        <f t="shared" si="1"/>
        <v/>
      </c>
    </row>
    <row r="268">
      <c r="A268" s="56"/>
      <c r="C268" s="57"/>
      <c r="D268" s="58"/>
      <c r="E268" s="50"/>
      <c r="F268" s="59"/>
      <c r="G268" s="60"/>
      <c r="H268" s="61" t="str">
        <f t="shared" si="1"/>
        <v/>
      </c>
    </row>
    <row r="269">
      <c r="A269" s="56"/>
      <c r="C269" s="57"/>
      <c r="D269" s="58"/>
      <c r="E269" s="50"/>
      <c r="F269" s="59"/>
      <c r="G269" s="60"/>
      <c r="H269" s="61" t="str">
        <f t="shared" si="1"/>
        <v/>
      </c>
    </row>
    <row r="270">
      <c r="A270" s="56"/>
      <c r="C270" s="57"/>
      <c r="D270" s="58"/>
      <c r="E270" s="50"/>
      <c r="F270" s="59"/>
      <c r="G270" s="60"/>
      <c r="H270" s="61" t="str">
        <f t="shared" si="1"/>
        <v/>
      </c>
    </row>
    <row r="271">
      <c r="A271" s="56"/>
      <c r="C271" s="57"/>
      <c r="D271" s="58"/>
      <c r="E271" s="50"/>
      <c r="F271" s="59"/>
      <c r="G271" s="60"/>
      <c r="H271" s="61" t="str">
        <f t="shared" si="1"/>
        <v/>
      </c>
    </row>
    <row r="272">
      <c r="A272" s="56"/>
      <c r="C272" s="57"/>
      <c r="D272" s="58"/>
      <c r="E272" s="50"/>
      <c r="F272" s="59"/>
      <c r="G272" s="60"/>
      <c r="H272" s="61" t="str">
        <f t="shared" si="1"/>
        <v/>
      </c>
    </row>
    <row r="273">
      <c r="A273" s="56"/>
      <c r="C273" s="57"/>
      <c r="D273" s="58"/>
      <c r="E273" s="50"/>
      <c r="F273" s="59"/>
      <c r="G273" s="60"/>
      <c r="H273" s="61" t="str">
        <f t="shared" si="1"/>
        <v/>
      </c>
    </row>
    <row r="274">
      <c r="A274" s="56"/>
      <c r="C274" s="57"/>
      <c r="D274" s="58"/>
      <c r="E274" s="50"/>
      <c r="F274" s="59"/>
      <c r="G274" s="60"/>
      <c r="H274" s="61" t="str">
        <f t="shared" si="1"/>
        <v/>
      </c>
    </row>
    <row r="275">
      <c r="A275" s="56"/>
      <c r="C275" s="57"/>
      <c r="D275" s="58"/>
      <c r="E275" s="50"/>
      <c r="F275" s="59"/>
      <c r="G275" s="60"/>
      <c r="H275" s="61" t="str">
        <f t="shared" si="1"/>
        <v/>
      </c>
    </row>
    <row r="276">
      <c r="A276" s="56"/>
      <c r="C276" s="57"/>
      <c r="D276" s="58"/>
      <c r="E276" s="50"/>
      <c r="F276" s="59"/>
      <c r="G276" s="60"/>
      <c r="H276" s="61" t="str">
        <f t="shared" si="1"/>
        <v/>
      </c>
    </row>
    <row r="277">
      <c r="A277" s="56"/>
      <c r="C277" s="57"/>
      <c r="D277" s="58"/>
      <c r="E277" s="50"/>
      <c r="F277" s="59"/>
      <c r="G277" s="60"/>
      <c r="H277" s="61" t="str">
        <f t="shared" si="1"/>
        <v/>
      </c>
    </row>
    <row r="278">
      <c r="A278" s="56"/>
      <c r="C278" s="57"/>
      <c r="D278" s="58"/>
      <c r="E278" s="50"/>
      <c r="F278" s="59"/>
      <c r="G278" s="60"/>
      <c r="H278" s="61" t="str">
        <f t="shared" si="1"/>
        <v/>
      </c>
    </row>
    <row r="279">
      <c r="A279" s="56"/>
      <c r="C279" s="57"/>
      <c r="D279" s="58"/>
      <c r="E279" s="50"/>
      <c r="F279" s="59"/>
      <c r="G279" s="60"/>
      <c r="H279" s="61" t="str">
        <f t="shared" si="1"/>
        <v/>
      </c>
    </row>
    <row r="280">
      <c r="A280" s="56"/>
      <c r="C280" s="57"/>
      <c r="D280" s="58"/>
      <c r="E280" s="50"/>
      <c r="F280" s="59"/>
      <c r="G280" s="60"/>
      <c r="H280" s="61" t="str">
        <f t="shared" si="1"/>
        <v/>
      </c>
    </row>
    <row r="281">
      <c r="A281" s="56"/>
      <c r="C281" s="57"/>
      <c r="D281" s="58"/>
      <c r="E281" s="50"/>
      <c r="F281" s="59"/>
      <c r="G281" s="60"/>
      <c r="H281" s="61" t="str">
        <f t="shared" si="1"/>
        <v/>
      </c>
    </row>
    <row r="282">
      <c r="A282" s="56"/>
      <c r="C282" s="57"/>
      <c r="D282" s="58"/>
      <c r="E282" s="50"/>
      <c r="F282" s="59"/>
      <c r="G282" s="60"/>
      <c r="H282" s="61" t="str">
        <f t="shared" si="1"/>
        <v/>
      </c>
    </row>
    <row r="283">
      <c r="A283" s="56"/>
      <c r="C283" s="57"/>
      <c r="D283" s="58"/>
      <c r="E283" s="50"/>
      <c r="F283" s="59"/>
      <c r="G283" s="60"/>
      <c r="H283" s="61" t="str">
        <f t="shared" si="1"/>
        <v/>
      </c>
    </row>
    <row r="284">
      <c r="A284" s="56"/>
      <c r="C284" s="57"/>
      <c r="D284" s="58"/>
      <c r="E284" s="50"/>
      <c r="F284" s="59"/>
      <c r="G284" s="60"/>
      <c r="H284" s="61" t="str">
        <f t="shared" si="1"/>
        <v/>
      </c>
    </row>
    <row r="285">
      <c r="A285" s="56"/>
      <c r="C285" s="57"/>
      <c r="D285" s="58"/>
      <c r="E285" s="50"/>
      <c r="F285" s="59"/>
      <c r="G285" s="60"/>
      <c r="H285" s="61" t="str">
        <f t="shared" si="1"/>
        <v/>
      </c>
    </row>
    <row r="286">
      <c r="A286" s="56"/>
      <c r="C286" s="57"/>
      <c r="D286" s="58"/>
      <c r="E286" s="50"/>
      <c r="F286" s="59"/>
      <c r="G286" s="60"/>
      <c r="H286" s="61" t="str">
        <f t="shared" si="1"/>
        <v/>
      </c>
    </row>
    <row r="287">
      <c r="A287" s="56"/>
      <c r="C287" s="57"/>
      <c r="D287" s="58"/>
      <c r="E287" s="50"/>
      <c r="F287" s="59"/>
      <c r="G287" s="60"/>
      <c r="H287" s="61" t="str">
        <f t="shared" si="1"/>
        <v/>
      </c>
    </row>
    <row r="288">
      <c r="A288" s="56"/>
      <c r="C288" s="57"/>
      <c r="D288" s="58"/>
      <c r="E288" s="50"/>
      <c r="F288" s="59"/>
      <c r="G288" s="60"/>
      <c r="H288" s="61" t="str">
        <f t="shared" si="1"/>
        <v/>
      </c>
    </row>
    <row r="289">
      <c r="A289" s="56"/>
      <c r="C289" s="57"/>
      <c r="D289" s="58"/>
      <c r="E289" s="50"/>
      <c r="F289" s="59"/>
      <c r="G289" s="60"/>
      <c r="H289" s="61" t="str">
        <f t="shared" si="1"/>
        <v/>
      </c>
    </row>
    <row r="290">
      <c r="A290" s="56"/>
      <c r="C290" s="57"/>
      <c r="D290" s="58"/>
      <c r="E290" s="50"/>
      <c r="F290" s="59"/>
      <c r="G290" s="60"/>
      <c r="H290" s="61" t="str">
        <f t="shared" si="1"/>
        <v/>
      </c>
    </row>
    <row r="291">
      <c r="A291" s="56"/>
      <c r="C291" s="57"/>
      <c r="D291" s="58"/>
      <c r="E291" s="50"/>
      <c r="F291" s="59"/>
      <c r="G291" s="60"/>
      <c r="H291" s="61" t="str">
        <f t="shared" si="1"/>
        <v/>
      </c>
    </row>
    <row r="292">
      <c r="A292" s="56"/>
      <c r="C292" s="57"/>
      <c r="D292" s="58"/>
      <c r="E292" s="50"/>
      <c r="F292" s="59"/>
      <c r="G292" s="60"/>
      <c r="H292" s="61" t="str">
        <f t="shared" si="1"/>
        <v/>
      </c>
    </row>
    <row r="293">
      <c r="A293" s="56"/>
      <c r="C293" s="57"/>
      <c r="D293" s="58"/>
      <c r="E293" s="50"/>
      <c r="F293" s="59"/>
      <c r="G293" s="60"/>
      <c r="H293" s="61" t="str">
        <f t="shared" si="1"/>
        <v/>
      </c>
    </row>
    <row r="294">
      <c r="A294" s="56"/>
      <c r="C294" s="57"/>
      <c r="D294" s="58"/>
      <c r="E294" s="50"/>
      <c r="F294" s="59"/>
      <c r="G294" s="60"/>
      <c r="H294" s="61" t="str">
        <f t="shared" si="1"/>
        <v/>
      </c>
    </row>
    <row r="295">
      <c r="A295" s="56"/>
      <c r="C295" s="57"/>
      <c r="D295" s="58"/>
      <c r="E295" s="50"/>
      <c r="F295" s="59"/>
      <c r="G295" s="60"/>
      <c r="H295" s="61" t="str">
        <f t="shared" si="1"/>
        <v/>
      </c>
    </row>
    <row r="296">
      <c r="A296" s="56"/>
      <c r="C296" s="57"/>
      <c r="D296" s="58"/>
      <c r="E296" s="50"/>
      <c r="F296" s="59"/>
      <c r="G296" s="60"/>
      <c r="H296" s="61" t="str">
        <f t="shared" si="1"/>
        <v/>
      </c>
    </row>
    <row r="297">
      <c r="A297" s="56"/>
      <c r="C297" s="57"/>
      <c r="D297" s="58"/>
      <c r="E297" s="50"/>
      <c r="F297" s="59"/>
      <c r="G297" s="60"/>
      <c r="H297" s="61" t="str">
        <f t="shared" si="1"/>
        <v/>
      </c>
    </row>
    <row r="298">
      <c r="A298" s="56"/>
      <c r="C298" s="57"/>
      <c r="D298" s="58"/>
      <c r="E298" s="50"/>
      <c r="F298" s="59"/>
      <c r="G298" s="60"/>
      <c r="H298" s="61" t="str">
        <f t="shared" si="1"/>
        <v/>
      </c>
    </row>
    <row r="299">
      <c r="A299" s="56"/>
      <c r="C299" s="57"/>
      <c r="D299" s="58"/>
      <c r="E299" s="50"/>
      <c r="F299" s="59"/>
      <c r="G299" s="60"/>
      <c r="H299" s="61" t="str">
        <f t="shared" si="1"/>
        <v/>
      </c>
    </row>
    <row r="300">
      <c r="A300" s="56"/>
      <c r="C300" s="57"/>
      <c r="D300" s="58"/>
      <c r="E300" s="50"/>
      <c r="F300" s="59"/>
      <c r="G300" s="60"/>
      <c r="H300" s="61" t="str">
        <f t="shared" si="1"/>
        <v/>
      </c>
    </row>
    <row r="301">
      <c r="A301" s="56"/>
      <c r="C301" s="57"/>
      <c r="D301" s="58"/>
      <c r="E301" s="50"/>
      <c r="F301" s="59"/>
      <c r="G301" s="60"/>
      <c r="H301" s="61" t="str">
        <f t="shared" si="1"/>
        <v/>
      </c>
    </row>
    <row r="302">
      <c r="A302" s="56"/>
      <c r="C302" s="57"/>
      <c r="D302" s="58"/>
      <c r="E302" s="50"/>
      <c r="F302" s="59"/>
      <c r="G302" s="60"/>
      <c r="H302" s="61" t="str">
        <f t="shared" si="1"/>
        <v/>
      </c>
    </row>
    <row r="303">
      <c r="A303" s="56"/>
      <c r="C303" s="57"/>
      <c r="D303" s="58"/>
      <c r="E303" s="50"/>
      <c r="F303" s="59"/>
      <c r="G303" s="60"/>
      <c r="H303" s="61" t="str">
        <f t="shared" si="1"/>
        <v/>
      </c>
    </row>
    <row r="304">
      <c r="A304" s="56"/>
      <c r="C304" s="57"/>
      <c r="D304" s="58"/>
      <c r="E304" s="50"/>
      <c r="F304" s="59"/>
      <c r="G304" s="60"/>
      <c r="H304" s="61" t="str">
        <f t="shared" si="1"/>
        <v/>
      </c>
    </row>
    <row r="305">
      <c r="A305" s="56"/>
      <c r="C305" s="57"/>
      <c r="D305" s="58"/>
      <c r="E305" s="50"/>
      <c r="F305" s="59"/>
      <c r="G305" s="60"/>
      <c r="H305" s="61" t="str">
        <f t="shared" si="1"/>
        <v/>
      </c>
    </row>
    <row r="306">
      <c r="A306" s="56"/>
      <c r="C306" s="57"/>
      <c r="D306" s="58"/>
      <c r="E306" s="50"/>
      <c r="F306" s="59"/>
      <c r="G306" s="60"/>
      <c r="H306" s="61" t="str">
        <f t="shared" si="1"/>
        <v/>
      </c>
    </row>
    <row r="307">
      <c r="A307" s="56"/>
      <c r="C307" s="57"/>
      <c r="D307" s="58"/>
      <c r="E307" s="50"/>
      <c r="F307" s="59"/>
      <c r="G307" s="60"/>
      <c r="H307" s="61" t="str">
        <f t="shared" si="1"/>
        <v/>
      </c>
    </row>
    <row r="308">
      <c r="A308" s="56"/>
      <c r="C308" s="57"/>
      <c r="D308" s="58"/>
      <c r="E308" s="50"/>
      <c r="F308" s="59"/>
      <c r="G308" s="60"/>
      <c r="H308" s="61" t="str">
        <f t="shared" si="1"/>
        <v/>
      </c>
    </row>
    <row r="309">
      <c r="A309" s="56"/>
      <c r="C309" s="57"/>
      <c r="D309" s="58"/>
      <c r="E309" s="50"/>
      <c r="F309" s="59"/>
      <c r="G309" s="60"/>
      <c r="H309" s="61" t="str">
        <f t="shared" si="1"/>
        <v/>
      </c>
    </row>
    <row r="310">
      <c r="A310" s="56"/>
      <c r="C310" s="57"/>
      <c r="D310" s="58"/>
      <c r="E310" s="50"/>
      <c r="F310" s="59"/>
      <c r="G310" s="60"/>
      <c r="H310" s="61" t="str">
        <f t="shared" si="1"/>
        <v/>
      </c>
    </row>
    <row r="311">
      <c r="A311" s="56"/>
      <c r="C311" s="57"/>
      <c r="D311" s="58"/>
      <c r="E311" s="50"/>
      <c r="F311" s="59"/>
      <c r="G311" s="60"/>
      <c r="H311" s="61" t="str">
        <f t="shared" si="1"/>
        <v/>
      </c>
    </row>
    <row r="312">
      <c r="A312" s="56"/>
      <c r="C312" s="57"/>
      <c r="D312" s="58"/>
      <c r="E312" s="50"/>
      <c r="F312" s="59"/>
      <c r="G312" s="60"/>
      <c r="H312" s="61" t="str">
        <f t="shared" si="1"/>
        <v/>
      </c>
    </row>
    <row r="313">
      <c r="A313" s="56"/>
      <c r="C313" s="57"/>
      <c r="D313" s="58"/>
      <c r="E313" s="50"/>
      <c r="F313" s="59"/>
      <c r="G313" s="60"/>
      <c r="H313" s="61" t="str">
        <f t="shared" si="1"/>
        <v/>
      </c>
    </row>
    <row r="314">
      <c r="A314" s="56"/>
      <c r="C314" s="57"/>
      <c r="D314" s="58"/>
      <c r="E314" s="50"/>
      <c r="F314" s="59"/>
      <c r="G314" s="60"/>
      <c r="H314" s="61" t="str">
        <f t="shared" si="1"/>
        <v/>
      </c>
    </row>
    <row r="315">
      <c r="A315" s="56"/>
      <c r="C315" s="57"/>
      <c r="D315" s="58"/>
      <c r="E315" s="50"/>
      <c r="F315" s="59"/>
      <c r="G315" s="60"/>
      <c r="H315" s="61" t="str">
        <f t="shared" si="1"/>
        <v/>
      </c>
    </row>
    <row r="316">
      <c r="A316" s="56"/>
      <c r="C316" s="57"/>
      <c r="D316" s="58"/>
      <c r="E316" s="50"/>
      <c r="F316" s="59"/>
      <c r="G316" s="60"/>
      <c r="H316" s="61" t="str">
        <f t="shared" si="1"/>
        <v/>
      </c>
    </row>
    <row r="317">
      <c r="A317" s="56"/>
      <c r="C317" s="57"/>
      <c r="D317" s="58"/>
      <c r="E317" s="50"/>
      <c r="F317" s="59"/>
      <c r="G317" s="60"/>
      <c r="H317" s="61" t="str">
        <f t="shared" si="1"/>
        <v/>
      </c>
    </row>
    <row r="318">
      <c r="A318" s="56"/>
      <c r="C318" s="57"/>
      <c r="D318" s="58"/>
      <c r="E318" s="50"/>
      <c r="F318" s="59"/>
      <c r="G318" s="60"/>
      <c r="H318" s="61" t="str">
        <f t="shared" si="1"/>
        <v/>
      </c>
    </row>
    <row r="319">
      <c r="A319" s="56"/>
      <c r="C319" s="57"/>
      <c r="D319" s="58"/>
      <c r="E319" s="50"/>
      <c r="F319" s="59"/>
      <c r="G319" s="60"/>
      <c r="H319" s="61" t="str">
        <f t="shared" si="1"/>
        <v/>
      </c>
    </row>
    <row r="320">
      <c r="A320" s="56"/>
      <c r="C320" s="57"/>
      <c r="D320" s="58"/>
      <c r="E320" s="50"/>
      <c r="F320" s="59"/>
      <c r="G320" s="60"/>
      <c r="H320" s="61" t="str">
        <f t="shared" si="1"/>
        <v/>
      </c>
    </row>
    <row r="321">
      <c r="A321" s="56"/>
      <c r="C321" s="57"/>
      <c r="D321" s="58"/>
      <c r="E321" s="50"/>
      <c r="F321" s="59"/>
      <c r="G321" s="60"/>
      <c r="H321" s="61" t="str">
        <f t="shared" si="1"/>
        <v/>
      </c>
    </row>
    <row r="322">
      <c r="A322" s="56"/>
      <c r="C322" s="57"/>
      <c r="D322" s="58"/>
      <c r="E322" s="50"/>
      <c r="F322" s="59"/>
      <c r="G322" s="60"/>
      <c r="H322" s="61" t="str">
        <f t="shared" si="1"/>
        <v/>
      </c>
    </row>
    <row r="323">
      <c r="A323" s="56"/>
      <c r="C323" s="57"/>
      <c r="D323" s="58"/>
      <c r="E323" s="50"/>
      <c r="F323" s="59"/>
      <c r="G323" s="60"/>
      <c r="H323" s="61" t="str">
        <f t="shared" si="1"/>
        <v/>
      </c>
    </row>
    <row r="324">
      <c r="A324" s="56"/>
      <c r="C324" s="57"/>
      <c r="D324" s="58"/>
      <c r="E324" s="50"/>
      <c r="F324" s="59"/>
      <c r="G324" s="60"/>
      <c r="H324" s="61" t="str">
        <f t="shared" si="1"/>
        <v/>
      </c>
    </row>
    <row r="325">
      <c r="A325" s="56"/>
      <c r="C325" s="57"/>
      <c r="D325" s="58"/>
      <c r="E325" s="50"/>
      <c r="F325" s="59"/>
      <c r="G325" s="60"/>
      <c r="H325" s="61" t="str">
        <f t="shared" si="1"/>
        <v/>
      </c>
    </row>
    <row r="326">
      <c r="A326" s="56"/>
      <c r="C326" s="57"/>
      <c r="D326" s="58"/>
      <c r="E326" s="50"/>
      <c r="F326" s="59"/>
      <c r="G326" s="60"/>
      <c r="H326" s="61" t="str">
        <f t="shared" si="1"/>
        <v/>
      </c>
    </row>
    <row r="327">
      <c r="A327" s="56"/>
      <c r="C327" s="57"/>
      <c r="D327" s="58"/>
      <c r="E327" s="50"/>
      <c r="F327" s="59"/>
      <c r="G327" s="60"/>
      <c r="H327" s="61" t="str">
        <f t="shared" si="1"/>
        <v/>
      </c>
    </row>
    <row r="328">
      <c r="A328" s="56"/>
      <c r="C328" s="57"/>
      <c r="D328" s="58"/>
      <c r="E328" s="50"/>
      <c r="F328" s="59"/>
      <c r="G328" s="60"/>
      <c r="H328" s="61" t="str">
        <f t="shared" si="1"/>
        <v/>
      </c>
    </row>
    <row r="329">
      <c r="A329" s="56"/>
      <c r="C329" s="57"/>
      <c r="D329" s="58"/>
      <c r="E329" s="50"/>
      <c r="F329" s="59"/>
      <c r="G329" s="60"/>
      <c r="H329" s="61" t="str">
        <f t="shared" si="1"/>
        <v/>
      </c>
    </row>
    <row r="330">
      <c r="A330" s="56"/>
      <c r="C330" s="57"/>
      <c r="D330" s="58"/>
      <c r="E330" s="50"/>
      <c r="F330" s="59"/>
      <c r="G330" s="60"/>
      <c r="H330" s="61" t="str">
        <f t="shared" si="1"/>
        <v/>
      </c>
    </row>
    <row r="331">
      <c r="A331" s="56"/>
      <c r="C331" s="57"/>
      <c r="D331" s="58"/>
      <c r="E331" s="50"/>
      <c r="F331" s="59"/>
      <c r="G331" s="60"/>
      <c r="H331" s="61" t="str">
        <f t="shared" si="1"/>
        <v/>
      </c>
    </row>
    <row r="332">
      <c r="A332" s="56"/>
      <c r="C332" s="57"/>
      <c r="D332" s="58"/>
      <c r="E332" s="50"/>
      <c r="F332" s="59"/>
      <c r="G332" s="60"/>
      <c r="H332" s="61" t="str">
        <f t="shared" si="1"/>
        <v/>
      </c>
    </row>
    <row r="333">
      <c r="A333" s="56"/>
      <c r="C333" s="57"/>
      <c r="D333" s="58"/>
      <c r="E333" s="50"/>
      <c r="F333" s="59"/>
      <c r="G333" s="60"/>
      <c r="H333" s="61" t="str">
        <f t="shared" si="1"/>
        <v/>
      </c>
    </row>
    <row r="334">
      <c r="A334" s="56"/>
      <c r="C334" s="57"/>
      <c r="D334" s="58"/>
      <c r="E334" s="50"/>
      <c r="F334" s="59"/>
      <c r="G334" s="60"/>
      <c r="H334" s="61" t="str">
        <f t="shared" si="1"/>
        <v/>
      </c>
    </row>
    <row r="335">
      <c r="A335" s="56"/>
      <c r="C335" s="57"/>
      <c r="D335" s="58"/>
      <c r="E335" s="50"/>
      <c r="F335" s="59"/>
      <c r="G335" s="60"/>
      <c r="H335" s="61" t="str">
        <f t="shared" si="1"/>
        <v/>
      </c>
    </row>
    <row r="336">
      <c r="A336" s="56"/>
      <c r="C336" s="57"/>
      <c r="D336" s="58"/>
      <c r="E336" s="50"/>
      <c r="F336" s="59"/>
      <c r="G336" s="60"/>
      <c r="H336" s="61" t="str">
        <f t="shared" si="1"/>
        <v/>
      </c>
    </row>
    <row r="337">
      <c r="A337" s="56"/>
      <c r="C337" s="57"/>
      <c r="D337" s="58"/>
      <c r="E337" s="50"/>
      <c r="F337" s="59"/>
      <c r="G337" s="60"/>
      <c r="H337" s="61" t="str">
        <f t="shared" si="1"/>
        <v/>
      </c>
    </row>
    <row r="338">
      <c r="A338" s="56"/>
      <c r="C338" s="57"/>
      <c r="D338" s="58"/>
      <c r="E338" s="50"/>
      <c r="F338" s="59"/>
      <c r="G338" s="60"/>
      <c r="H338" s="61" t="str">
        <f t="shared" si="1"/>
        <v/>
      </c>
    </row>
    <row r="339">
      <c r="A339" s="56"/>
      <c r="C339" s="57"/>
      <c r="D339" s="58"/>
      <c r="E339" s="50"/>
      <c r="F339" s="59"/>
      <c r="G339" s="60"/>
      <c r="H339" s="61" t="str">
        <f t="shared" si="1"/>
        <v/>
      </c>
    </row>
    <row r="340">
      <c r="A340" s="56"/>
      <c r="C340" s="57"/>
      <c r="D340" s="58"/>
      <c r="E340" s="50"/>
      <c r="F340" s="59"/>
      <c r="G340" s="60"/>
      <c r="H340" s="61" t="str">
        <f t="shared" si="1"/>
        <v/>
      </c>
    </row>
    <row r="341">
      <c r="A341" s="56"/>
      <c r="C341" s="57"/>
      <c r="D341" s="58"/>
      <c r="E341" s="50"/>
      <c r="F341" s="59"/>
      <c r="G341" s="60"/>
      <c r="H341" s="61" t="str">
        <f t="shared" si="1"/>
        <v/>
      </c>
    </row>
    <row r="342">
      <c r="A342" s="56"/>
      <c r="C342" s="57"/>
      <c r="D342" s="58"/>
      <c r="E342" s="50"/>
      <c r="F342" s="59"/>
      <c r="G342" s="60"/>
      <c r="H342" s="61" t="str">
        <f t="shared" si="1"/>
        <v/>
      </c>
    </row>
    <row r="343">
      <c r="A343" s="56"/>
      <c r="C343" s="57"/>
      <c r="D343" s="58"/>
      <c r="E343" s="50"/>
      <c r="F343" s="59"/>
      <c r="G343" s="60"/>
      <c r="H343" s="61" t="str">
        <f t="shared" si="1"/>
        <v/>
      </c>
    </row>
    <row r="344">
      <c r="A344" s="56"/>
      <c r="C344" s="57"/>
      <c r="D344" s="58"/>
      <c r="E344" s="50"/>
      <c r="F344" s="59"/>
      <c r="G344" s="60"/>
      <c r="H344" s="61" t="str">
        <f t="shared" si="1"/>
        <v/>
      </c>
    </row>
    <row r="345">
      <c r="A345" s="56"/>
      <c r="C345" s="57"/>
      <c r="D345" s="58"/>
      <c r="E345" s="50"/>
      <c r="F345" s="59"/>
      <c r="G345" s="60"/>
      <c r="H345" s="61" t="str">
        <f t="shared" si="1"/>
        <v/>
      </c>
    </row>
    <row r="346">
      <c r="A346" s="56"/>
      <c r="C346" s="57"/>
      <c r="D346" s="58"/>
      <c r="E346" s="50"/>
      <c r="F346" s="59"/>
      <c r="G346" s="60"/>
      <c r="H346" s="61" t="str">
        <f t="shared" si="1"/>
        <v/>
      </c>
    </row>
    <row r="347">
      <c r="A347" s="56"/>
      <c r="C347" s="57"/>
      <c r="D347" s="58"/>
      <c r="E347" s="50"/>
      <c r="F347" s="59"/>
      <c r="G347" s="60"/>
      <c r="H347" s="61" t="str">
        <f t="shared" si="1"/>
        <v/>
      </c>
    </row>
    <row r="348">
      <c r="A348" s="56"/>
      <c r="C348" s="57"/>
      <c r="D348" s="58"/>
      <c r="E348" s="50"/>
      <c r="F348" s="59"/>
      <c r="G348" s="60"/>
      <c r="H348" s="61" t="str">
        <f t="shared" si="1"/>
        <v/>
      </c>
    </row>
    <row r="349">
      <c r="A349" s="56"/>
      <c r="C349" s="57"/>
      <c r="D349" s="58"/>
      <c r="E349" s="50"/>
      <c r="F349" s="59"/>
      <c r="G349" s="60"/>
      <c r="H349" s="61" t="str">
        <f t="shared" si="1"/>
        <v/>
      </c>
    </row>
    <row r="350">
      <c r="A350" s="56"/>
      <c r="C350" s="57"/>
      <c r="D350" s="58"/>
      <c r="E350" s="50"/>
      <c r="F350" s="59"/>
      <c r="G350" s="60"/>
      <c r="H350" s="61" t="str">
        <f t="shared" si="1"/>
        <v/>
      </c>
    </row>
    <row r="351">
      <c r="A351" s="56"/>
      <c r="C351" s="57"/>
      <c r="D351" s="58"/>
      <c r="E351" s="50"/>
      <c r="F351" s="59"/>
      <c r="G351" s="60"/>
      <c r="H351" s="61" t="str">
        <f t="shared" si="1"/>
        <v/>
      </c>
    </row>
    <row r="352">
      <c r="A352" s="56"/>
      <c r="C352" s="57"/>
      <c r="D352" s="58"/>
      <c r="E352" s="50"/>
      <c r="F352" s="59"/>
      <c r="G352" s="60"/>
      <c r="H352" s="61" t="str">
        <f t="shared" si="1"/>
        <v/>
      </c>
    </row>
    <row r="353">
      <c r="A353" s="56"/>
      <c r="C353" s="57"/>
      <c r="D353" s="58"/>
      <c r="E353" s="50"/>
      <c r="F353" s="59"/>
      <c r="G353" s="60"/>
      <c r="H353" s="61" t="str">
        <f t="shared" si="1"/>
        <v/>
      </c>
    </row>
    <row r="354">
      <c r="A354" s="56"/>
      <c r="C354" s="57"/>
      <c r="D354" s="58"/>
      <c r="E354" s="50"/>
      <c r="F354" s="59"/>
      <c r="G354" s="60"/>
      <c r="H354" s="61" t="str">
        <f t="shared" si="1"/>
        <v/>
      </c>
    </row>
    <row r="355">
      <c r="A355" s="56"/>
      <c r="C355" s="57"/>
      <c r="D355" s="58"/>
      <c r="E355" s="50"/>
      <c r="F355" s="59"/>
      <c r="G355" s="60"/>
      <c r="H355" s="61" t="str">
        <f t="shared" si="1"/>
        <v/>
      </c>
    </row>
    <row r="356">
      <c r="A356" s="56"/>
      <c r="C356" s="57"/>
      <c r="D356" s="58"/>
      <c r="E356" s="50"/>
      <c r="F356" s="59"/>
      <c r="G356" s="60"/>
      <c r="H356" s="61" t="str">
        <f t="shared" si="1"/>
        <v/>
      </c>
    </row>
    <row r="357">
      <c r="A357" s="56"/>
      <c r="C357" s="57"/>
      <c r="D357" s="58"/>
      <c r="E357" s="50"/>
      <c r="F357" s="59"/>
      <c r="G357" s="60"/>
      <c r="H357" s="61" t="str">
        <f t="shared" si="1"/>
        <v/>
      </c>
    </row>
    <row r="358">
      <c r="A358" s="56"/>
      <c r="C358" s="57"/>
      <c r="D358" s="58"/>
      <c r="E358" s="50"/>
      <c r="F358" s="59"/>
      <c r="G358" s="60"/>
      <c r="H358" s="61" t="str">
        <f t="shared" si="1"/>
        <v/>
      </c>
    </row>
    <row r="359">
      <c r="A359" s="56"/>
      <c r="C359" s="57"/>
      <c r="D359" s="58"/>
      <c r="E359" s="50"/>
      <c r="F359" s="59"/>
      <c r="G359" s="60"/>
      <c r="H359" s="61" t="str">
        <f t="shared" si="1"/>
        <v/>
      </c>
    </row>
    <row r="360">
      <c r="A360" s="56"/>
      <c r="C360" s="57"/>
      <c r="D360" s="58"/>
      <c r="E360" s="50"/>
      <c r="F360" s="59"/>
      <c r="G360" s="60"/>
      <c r="H360" s="61" t="str">
        <f t="shared" si="1"/>
        <v/>
      </c>
    </row>
    <row r="361">
      <c r="A361" s="56"/>
      <c r="C361" s="57"/>
      <c r="D361" s="58"/>
      <c r="E361" s="50"/>
      <c r="F361" s="59"/>
      <c r="G361" s="60"/>
      <c r="H361" s="61" t="str">
        <f t="shared" si="1"/>
        <v/>
      </c>
    </row>
    <row r="362">
      <c r="A362" s="56"/>
      <c r="C362" s="57"/>
      <c r="D362" s="58"/>
      <c r="E362" s="50"/>
      <c r="F362" s="59"/>
      <c r="G362" s="60"/>
      <c r="H362" s="61" t="str">
        <f t="shared" si="1"/>
        <v/>
      </c>
    </row>
    <row r="363">
      <c r="A363" s="56"/>
      <c r="C363" s="57"/>
      <c r="D363" s="58"/>
      <c r="E363" s="50"/>
      <c r="F363" s="59"/>
      <c r="G363" s="60"/>
      <c r="H363" s="61" t="str">
        <f t="shared" si="1"/>
        <v/>
      </c>
    </row>
    <row r="364">
      <c r="A364" s="56"/>
      <c r="C364" s="57"/>
      <c r="D364" s="58"/>
      <c r="E364" s="50"/>
      <c r="F364" s="59"/>
      <c r="G364" s="60"/>
      <c r="H364" s="61" t="str">
        <f t="shared" si="1"/>
        <v/>
      </c>
    </row>
    <row r="365">
      <c r="A365" s="56"/>
      <c r="C365" s="57"/>
      <c r="D365" s="58"/>
      <c r="E365" s="50"/>
      <c r="F365" s="59"/>
      <c r="G365" s="60"/>
      <c r="H365" s="61" t="str">
        <f t="shared" si="1"/>
        <v/>
      </c>
    </row>
    <row r="366">
      <c r="A366" s="56"/>
      <c r="C366" s="57"/>
      <c r="D366" s="58"/>
      <c r="E366" s="50"/>
      <c r="F366" s="59"/>
      <c r="G366" s="60"/>
      <c r="H366" s="61" t="str">
        <f t="shared" si="1"/>
        <v/>
      </c>
    </row>
    <row r="367">
      <c r="A367" s="56"/>
      <c r="C367" s="57"/>
      <c r="D367" s="58"/>
      <c r="E367" s="50"/>
      <c r="F367" s="59"/>
      <c r="G367" s="60"/>
      <c r="H367" s="61" t="str">
        <f t="shared" si="1"/>
        <v/>
      </c>
    </row>
    <row r="368">
      <c r="A368" s="56"/>
      <c r="C368" s="57"/>
      <c r="D368" s="58"/>
      <c r="E368" s="50"/>
      <c r="F368" s="59"/>
      <c r="G368" s="60"/>
      <c r="H368" s="61" t="str">
        <f t="shared" si="1"/>
        <v/>
      </c>
    </row>
    <row r="369">
      <c r="A369" s="56"/>
      <c r="C369" s="57"/>
      <c r="D369" s="58"/>
      <c r="E369" s="50"/>
      <c r="F369" s="59"/>
      <c r="G369" s="60"/>
      <c r="H369" s="61" t="str">
        <f t="shared" si="1"/>
        <v/>
      </c>
    </row>
    <row r="370">
      <c r="A370" s="56"/>
      <c r="C370" s="57"/>
      <c r="D370" s="58"/>
      <c r="E370" s="50"/>
      <c r="F370" s="59"/>
      <c r="G370" s="60"/>
      <c r="H370" s="61" t="str">
        <f t="shared" si="1"/>
        <v/>
      </c>
    </row>
    <row r="371">
      <c r="A371" s="56"/>
      <c r="C371" s="57"/>
      <c r="D371" s="58"/>
      <c r="E371" s="50"/>
      <c r="F371" s="59"/>
      <c r="G371" s="60"/>
      <c r="H371" s="61" t="str">
        <f t="shared" si="1"/>
        <v/>
      </c>
    </row>
    <row r="372">
      <c r="A372" s="56"/>
      <c r="C372" s="57"/>
      <c r="D372" s="58"/>
      <c r="E372" s="50"/>
      <c r="F372" s="59"/>
      <c r="G372" s="60"/>
      <c r="H372" s="61" t="str">
        <f t="shared" si="1"/>
        <v/>
      </c>
    </row>
    <row r="373">
      <c r="A373" s="56"/>
      <c r="C373" s="57"/>
      <c r="D373" s="58"/>
      <c r="E373" s="50"/>
      <c r="F373" s="59"/>
      <c r="G373" s="60"/>
      <c r="H373" s="61" t="str">
        <f t="shared" si="1"/>
        <v/>
      </c>
    </row>
    <row r="374">
      <c r="A374" s="56"/>
      <c r="C374" s="57"/>
      <c r="D374" s="58"/>
      <c r="E374" s="50"/>
      <c r="F374" s="59"/>
      <c r="G374" s="60"/>
      <c r="H374" s="61" t="str">
        <f t="shared" si="1"/>
        <v/>
      </c>
    </row>
    <row r="375">
      <c r="A375" s="56"/>
      <c r="C375" s="57"/>
      <c r="D375" s="58"/>
      <c r="E375" s="50"/>
      <c r="F375" s="59"/>
      <c r="G375" s="60"/>
      <c r="H375" s="61" t="str">
        <f t="shared" si="1"/>
        <v/>
      </c>
    </row>
    <row r="376">
      <c r="A376" s="56"/>
      <c r="C376" s="57"/>
      <c r="D376" s="58"/>
      <c r="E376" s="50"/>
      <c r="F376" s="59"/>
      <c r="G376" s="60"/>
      <c r="H376" s="61" t="str">
        <f t="shared" si="1"/>
        <v/>
      </c>
    </row>
    <row r="377">
      <c r="A377" s="56"/>
      <c r="C377" s="57"/>
      <c r="D377" s="58"/>
      <c r="E377" s="50"/>
      <c r="F377" s="59"/>
      <c r="G377" s="60"/>
      <c r="H377" s="61" t="str">
        <f t="shared" si="1"/>
        <v/>
      </c>
    </row>
    <row r="378">
      <c r="A378" s="56"/>
      <c r="C378" s="57"/>
      <c r="D378" s="58"/>
      <c r="E378" s="50"/>
      <c r="F378" s="59"/>
      <c r="G378" s="60"/>
      <c r="H378" s="61" t="str">
        <f t="shared" si="1"/>
        <v/>
      </c>
    </row>
    <row r="379">
      <c r="A379" s="56"/>
      <c r="C379" s="57"/>
      <c r="D379" s="58"/>
      <c r="E379" s="50"/>
      <c r="F379" s="59"/>
      <c r="G379" s="60"/>
      <c r="H379" s="61" t="str">
        <f t="shared" si="1"/>
        <v/>
      </c>
    </row>
    <row r="380">
      <c r="A380" s="56"/>
      <c r="C380" s="57"/>
      <c r="D380" s="58"/>
      <c r="E380" s="50"/>
      <c r="F380" s="59"/>
      <c r="G380" s="60"/>
      <c r="H380" s="61" t="str">
        <f t="shared" si="1"/>
        <v/>
      </c>
    </row>
    <row r="381">
      <c r="A381" s="56"/>
      <c r="C381" s="57"/>
      <c r="D381" s="58"/>
      <c r="E381" s="50"/>
      <c r="F381" s="59"/>
      <c r="G381" s="60"/>
      <c r="H381" s="61" t="str">
        <f t="shared" si="1"/>
        <v/>
      </c>
    </row>
    <row r="382">
      <c r="A382" s="56"/>
      <c r="C382" s="57"/>
      <c r="D382" s="58"/>
      <c r="E382" s="50"/>
      <c r="F382" s="59"/>
      <c r="G382" s="60"/>
      <c r="H382" s="61" t="str">
        <f t="shared" si="1"/>
        <v/>
      </c>
    </row>
    <row r="383">
      <c r="A383" s="56"/>
      <c r="C383" s="57"/>
      <c r="D383" s="58"/>
      <c r="E383" s="50"/>
      <c r="F383" s="59"/>
      <c r="G383" s="60"/>
      <c r="H383" s="61" t="str">
        <f t="shared" si="1"/>
        <v/>
      </c>
    </row>
    <row r="384">
      <c r="A384" s="56"/>
      <c r="C384" s="57"/>
      <c r="D384" s="58"/>
      <c r="E384" s="50"/>
      <c r="F384" s="59"/>
      <c r="G384" s="60"/>
      <c r="H384" s="61" t="str">
        <f t="shared" si="1"/>
        <v/>
      </c>
    </row>
    <row r="385">
      <c r="A385" s="56"/>
      <c r="C385" s="57"/>
      <c r="D385" s="58"/>
      <c r="E385" s="50"/>
      <c r="F385" s="59"/>
      <c r="G385" s="60"/>
      <c r="H385" s="61" t="str">
        <f t="shared" si="1"/>
        <v/>
      </c>
    </row>
    <row r="386">
      <c r="A386" s="56"/>
      <c r="C386" s="57"/>
      <c r="D386" s="58"/>
      <c r="E386" s="50"/>
      <c r="F386" s="59"/>
      <c r="G386" s="60"/>
      <c r="H386" s="61" t="str">
        <f t="shared" si="1"/>
        <v/>
      </c>
    </row>
    <row r="387">
      <c r="A387" s="56"/>
      <c r="C387" s="57"/>
      <c r="D387" s="58"/>
      <c r="E387" s="50"/>
      <c r="F387" s="59"/>
      <c r="G387" s="60"/>
      <c r="H387" s="61" t="str">
        <f t="shared" si="1"/>
        <v/>
      </c>
    </row>
    <row r="388">
      <c r="A388" s="56"/>
      <c r="C388" s="57"/>
      <c r="D388" s="58"/>
      <c r="E388" s="50"/>
      <c r="F388" s="59"/>
      <c r="G388" s="60"/>
      <c r="H388" s="61" t="str">
        <f t="shared" si="1"/>
        <v/>
      </c>
    </row>
    <row r="389">
      <c r="A389" s="56"/>
      <c r="C389" s="57"/>
      <c r="D389" s="58"/>
      <c r="E389" s="50"/>
      <c r="F389" s="59"/>
      <c r="G389" s="60"/>
      <c r="H389" s="61" t="str">
        <f t="shared" si="1"/>
        <v/>
      </c>
    </row>
    <row r="390">
      <c r="A390" s="56"/>
      <c r="C390" s="57"/>
      <c r="D390" s="58"/>
      <c r="E390" s="50"/>
      <c r="F390" s="59"/>
      <c r="G390" s="60"/>
      <c r="H390" s="61" t="str">
        <f t="shared" si="1"/>
        <v/>
      </c>
    </row>
    <row r="391">
      <c r="A391" s="56"/>
      <c r="C391" s="57"/>
      <c r="D391" s="58"/>
      <c r="E391" s="50"/>
      <c r="F391" s="59"/>
      <c r="G391" s="60"/>
      <c r="H391" s="61" t="str">
        <f t="shared" si="1"/>
        <v/>
      </c>
    </row>
    <row r="392">
      <c r="A392" s="56"/>
      <c r="C392" s="57"/>
      <c r="D392" s="58"/>
      <c r="E392" s="50"/>
      <c r="F392" s="59"/>
      <c r="G392" s="60"/>
      <c r="H392" s="61" t="str">
        <f t="shared" si="1"/>
        <v/>
      </c>
    </row>
    <row r="393">
      <c r="A393" s="56"/>
      <c r="C393" s="57"/>
      <c r="D393" s="58"/>
      <c r="E393" s="50"/>
      <c r="F393" s="59"/>
      <c r="G393" s="60"/>
      <c r="H393" s="61" t="str">
        <f t="shared" si="1"/>
        <v/>
      </c>
    </row>
    <row r="394">
      <c r="A394" s="56"/>
      <c r="C394" s="57"/>
      <c r="D394" s="58"/>
      <c r="E394" s="50"/>
      <c r="F394" s="59"/>
      <c r="G394" s="60"/>
      <c r="H394" s="61" t="str">
        <f t="shared" si="1"/>
        <v/>
      </c>
    </row>
    <row r="395">
      <c r="A395" s="56"/>
      <c r="C395" s="57"/>
      <c r="D395" s="58"/>
      <c r="E395" s="50"/>
      <c r="F395" s="59"/>
      <c r="G395" s="60"/>
      <c r="H395" s="61" t="str">
        <f t="shared" si="1"/>
        <v/>
      </c>
    </row>
    <row r="396">
      <c r="A396" s="56"/>
      <c r="C396" s="57"/>
      <c r="D396" s="58"/>
      <c r="E396" s="50"/>
      <c r="F396" s="59"/>
      <c r="G396" s="60"/>
      <c r="H396" s="61" t="str">
        <f t="shared" si="1"/>
        <v/>
      </c>
    </row>
    <row r="397">
      <c r="A397" s="56"/>
      <c r="C397" s="57"/>
      <c r="D397" s="58"/>
      <c r="E397" s="50"/>
      <c r="F397" s="59"/>
      <c r="G397" s="60"/>
      <c r="H397" s="61" t="str">
        <f t="shared" si="1"/>
        <v/>
      </c>
    </row>
    <row r="398">
      <c r="A398" s="56"/>
      <c r="C398" s="57"/>
      <c r="D398" s="58"/>
      <c r="E398" s="50"/>
      <c r="F398" s="59"/>
      <c r="G398" s="60"/>
      <c r="H398" s="61" t="str">
        <f t="shared" si="1"/>
        <v/>
      </c>
    </row>
    <row r="399">
      <c r="A399" s="56"/>
      <c r="C399" s="57"/>
      <c r="D399" s="58"/>
      <c r="E399" s="50"/>
      <c r="F399" s="59"/>
      <c r="G399" s="60"/>
      <c r="H399" s="61" t="str">
        <f t="shared" si="1"/>
        <v/>
      </c>
    </row>
    <row r="400">
      <c r="A400" s="56"/>
      <c r="C400" s="57"/>
      <c r="D400" s="58"/>
      <c r="E400" s="50"/>
      <c r="F400" s="59"/>
      <c r="G400" s="60"/>
      <c r="H400" s="61" t="str">
        <f t="shared" si="1"/>
        <v/>
      </c>
    </row>
    <row r="401">
      <c r="A401" s="56"/>
      <c r="C401" s="57"/>
      <c r="D401" s="58"/>
      <c r="E401" s="50"/>
      <c r="F401" s="59"/>
      <c r="G401" s="60"/>
      <c r="H401" s="61" t="str">
        <f t="shared" si="1"/>
        <v/>
      </c>
    </row>
    <row r="402">
      <c r="A402" s="56"/>
      <c r="C402" s="57"/>
      <c r="D402" s="58"/>
      <c r="E402" s="50"/>
      <c r="F402" s="59"/>
      <c r="G402" s="60"/>
      <c r="H402" s="61" t="str">
        <f t="shared" si="1"/>
        <v/>
      </c>
    </row>
    <row r="403">
      <c r="A403" s="56"/>
      <c r="C403" s="57"/>
      <c r="D403" s="58"/>
      <c r="E403" s="50"/>
      <c r="F403" s="59"/>
      <c r="G403" s="60"/>
      <c r="H403" s="61" t="str">
        <f t="shared" si="1"/>
        <v/>
      </c>
    </row>
    <row r="404">
      <c r="A404" s="56"/>
      <c r="C404" s="57"/>
      <c r="D404" s="58"/>
      <c r="E404" s="50"/>
      <c r="F404" s="59"/>
      <c r="G404" s="60"/>
      <c r="H404" s="61" t="str">
        <f t="shared" si="1"/>
        <v/>
      </c>
    </row>
    <row r="405">
      <c r="A405" s="56"/>
      <c r="C405" s="57"/>
      <c r="D405" s="58"/>
      <c r="E405" s="50"/>
      <c r="F405" s="59"/>
      <c r="G405" s="60"/>
      <c r="H405" s="61" t="str">
        <f t="shared" si="1"/>
        <v/>
      </c>
    </row>
    <row r="406">
      <c r="A406" s="56"/>
      <c r="C406" s="57"/>
      <c r="D406" s="58"/>
      <c r="E406" s="50"/>
      <c r="F406" s="59"/>
      <c r="G406" s="60"/>
      <c r="H406" s="61" t="str">
        <f t="shared" si="1"/>
        <v/>
      </c>
    </row>
    <row r="407">
      <c r="A407" s="56"/>
      <c r="C407" s="57"/>
      <c r="D407" s="58"/>
      <c r="E407" s="50"/>
      <c r="F407" s="59"/>
      <c r="G407" s="60"/>
      <c r="H407" s="61" t="str">
        <f t="shared" si="1"/>
        <v/>
      </c>
    </row>
    <row r="408">
      <c r="A408" s="56"/>
      <c r="C408" s="57"/>
      <c r="D408" s="58"/>
      <c r="E408" s="50"/>
      <c r="F408" s="59"/>
      <c r="G408" s="60"/>
      <c r="H408" s="61" t="str">
        <f t="shared" si="1"/>
        <v/>
      </c>
    </row>
    <row r="409">
      <c r="A409" s="56"/>
      <c r="C409" s="57"/>
      <c r="D409" s="58"/>
      <c r="E409" s="50"/>
      <c r="F409" s="59"/>
      <c r="G409" s="60"/>
      <c r="H409" s="61" t="str">
        <f t="shared" si="1"/>
        <v/>
      </c>
    </row>
    <row r="410">
      <c r="A410" s="56"/>
      <c r="C410" s="57"/>
      <c r="D410" s="58"/>
      <c r="E410" s="50"/>
      <c r="F410" s="59"/>
      <c r="G410" s="60"/>
      <c r="H410" s="61" t="str">
        <f t="shared" si="1"/>
        <v/>
      </c>
    </row>
    <row r="411">
      <c r="A411" s="56"/>
      <c r="C411" s="57"/>
      <c r="D411" s="58"/>
      <c r="E411" s="50"/>
      <c r="F411" s="59"/>
      <c r="G411" s="60"/>
      <c r="H411" s="61" t="str">
        <f t="shared" si="1"/>
        <v/>
      </c>
    </row>
    <row r="412">
      <c r="A412" s="56"/>
      <c r="C412" s="57"/>
      <c r="D412" s="58"/>
      <c r="E412" s="50"/>
      <c r="F412" s="59"/>
      <c r="G412" s="60"/>
      <c r="H412" s="61" t="str">
        <f t="shared" si="1"/>
        <v/>
      </c>
    </row>
    <row r="413">
      <c r="A413" s="56"/>
      <c r="C413" s="57"/>
      <c r="D413" s="58"/>
      <c r="E413" s="50"/>
      <c r="F413" s="59"/>
      <c r="G413" s="60"/>
      <c r="H413" s="61" t="str">
        <f t="shared" si="1"/>
        <v/>
      </c>
    </row>
    <row r="414">
      <c r="A414" s="56"/>
      <c r="C414" s="57"/>
      <c r="D414" s="58"/>
      <c r="E414" s="50"/>
      <c r="F414" s="59"/>
      <c r="G414" s="60"/>
      <c r="H414" s="61" t="str">
        <f t="shared" si="1"/>
        <v/>
      </c>
    </row>
    <row r="415">
      <c r="A415" s="56"/>
      <c r="C415" s="57"/>
      <c r="D415" s="58"/>
      <c r="E415" s="50"/>
      <c r="F415" s="59"/>
      <c r="G415" s="60"/>
      <c r="H415" s="61" t="str">
        <f t="shared" si="1"/>
        <v/>
      </c>
    </row>
    <row r="416">
      <c r="A416" s="56"/>
      <c r="C416" s="57"/>
      <c r="D416" s="58"/>
      <c r="E416" s="50"/>
      <c r="F416" s="59"/>
      <c r="G416" s="60"/>
      <c r="H416" s="61" t="str">
        <f t="shared" si="1"/>
        <v/>
      </c>
    </row>
    <row r="417">
      <c r="A417" s="56"/>
      <c r="C417" s="57"/>
      <c r="D417" s="58"/>
      <c r="E417" s="50"/>
      <c r="F417" s="59"/>
      <c r="G417" s="60"/>
      <c r="H417" s="61" t="str">
        <f t="shared" si="1"/>
        <v/>
      </c>
    </row>
    <row r="418">
      <c r="A418" s="56"/>
      <c r="C418" s="57"/>
      <c r="D418" s="58"/>
      <c r="E418" s="50"/>
      <c r="F418" s="59"/>
      <c r="G418" s="60"/>
      <c r="H418" s="61" t="str">
        <f t="shared" si="1"/>
        <v/>
      </c>
    </row>
    <row r="419">
      <c r="A419" s="56"/>
      <c r="C419" s="57"/>
      <c r="D419" s="58"/>
      <c r="E419" s="50"/>
      <c r="F419" s="59"/>
      <c r="G419" s="60"/>
      <c r="H419" s="61" t="str">
        <f t="shared" si="1"/>
        <v/>
      </c>
    </row>
    <row r="420">
      <c r="A420" s="56"/>
      <c r="C420" s="57"/>
      <c r="D420" s="58"/>
      <c r="E420" s="50"/>
      <c r="F420" s="59"/>
      <c r="G420" s="60"/>
      <c r="H420" s="61" t="str">
        <f t="shared" si="1"/>
        <v/>
      </c>
    </row>
    <row r="421">
      <c r="A421" s="56"/>
      <c r="C421" s="57"/>
      <c r="D421" s="58"/>
      <c r="E421" s="50"/>
      <c r="F421" s="59"/>
      <c r="G421" s="60"/>
      <c r="H421" s="61" t="str">
        <f t="shared" si="1"/>
        <v/>
      </c>
    </row>
    <row r="422">
      <c r="A422" s="56"/>
      <c r="C422" s="57"/>
      <c r="D422" s="58"/>
      <c r="E422" s="50"/>
      <c r="F422" s="59"/>
      <c r="G422" s="60"/>
      <c r="H422" s="61" t="str">
        <f t="shared" si="1"/>
        <v/>
      </c>
    </row>
    <row r="423">
      <c r="A423" s="56"/>
      <c r="C423" s="57"/>
      <c r="D423" s="58"/>
      <c r="E423" s="50"/>
      <c r="F423" s="59"/>
      <c r="G423" s="60"/>
      <c r="H423" s="61" t="str">
        <f t="shared" si="1"/>
        <v/>
      </c>
    </row>
    <row r="424">
      <c r="A424" s="56"/>
      <c r="C424" s="57"/>
      <c r="D424" s="58"/>
      <c r="E424" s="50"/>
      <c r="F424" s="59"/>
      <c r="G424" s="60"/>
      <c r="H424" s="61" t="str">
        <f t="shared" si="1"/>
        <v/>
      </c>
    </row>
    <row r="425">
      <c r="A425" s="56"/>
      <c r="C425" s="57"/>
      <c r="D425" s="58"/>
      <c r="E425" s="50"/>
      <c r="F425" s="59"/>
      <c r="G425" s="60"/>
      <c r="H425" s="61" t="str">
        <f t="shared" si="1"/>
        <v/>
      </c>
    </row>
    <row r="426">
      <c r="A426" s="56"/>
      <c r="C426" s="57"/>
      <c r="D426" s="58"/>
      <c r="E426" s="50"/>
      <c r="F426" s="59"/>
      <c r="G426" s="60"/>
      <c r="H426" s="61" t="str">
        <f t="shared" si="1"/>
        <v/>
      </c>
    </row>
    <row r="427">
      <c r="A427" s="56"/>
      <c r="C427" s="57"/>
      <c r="D427" s="58"/>
      <c r="E427" s="50"/>
      <c r="F427" s="59"/>
      <c r="G427" s="60"/>
      <c r="H427" s="61" t="str">
        <f t="shared" si="1"/>
        <v/>
      </c>
    </row>
    <row r="428">
      <c r="A428" s="56"/>
      <c r="C428" s="57"/>
      <c r="D428" s="58"/>
      <c r="E428" s="50"/>
      <c r="F428" s="59"/>
      <c r="G428" s="60"/>
      <c r="H428" s="61" t="str">
        <f t="shared" si="1"/>
        <v/>
      </c>
    </row>
    <row r="429">
      <c r="A429" s="56"/>
      <c r="C429" s="57"/>
      <c r="D429" s="58"/>
      <c r="E429" s="50"/>
      <c r="F429" s="59"/>
      <c r="G429" s="60"/>
      <c r="H429" s="61" t="str">
        <f t="shared" si="1"/>
        <v/>
      </c>
    </row>
    <row r="430">
      <c r="A430" s="56"/>
      <c r="C430" s="57"/>
      <c r="D430" s="58"/>
      <c r="E430" s="50"/>
      <c r="F430" s="59"/>
      <c r="G430" s="60"/>
      <c r="H430" s="61" t="str">
        <f t="shared" si="1"/>
        <v/>
      </c>
    </row>
    <row r="431">
      <c r="A431" s="56"/>
      <c r="C431" s="57"/>
      <c r="D431" s="58"/>
      <c r="E431" s="50"/>
      <c r="F431" s="59"/>
      <c r="G431" s="60"/>
      <c r="H431" s="61" t="str">
        <f t="shared" si="1"/>
        <v/>
      </c>
    </row>
    <row r="432">
      <c r="A432" s="56"/>
      <c r="C432" s="57"/>
      <c r="D432" s="58"/>
      <c r="E432" s="50"/>
      <c r="F432" s="59"/>
      <c r="G432" s="60"/>
      <c r="H432" s="61" t="str">
        <f t="shared" si="1"/>
        <v/>
      </c>
    </row>
    <row r="433">
      <c r="A433" s="56"/>
      <c r="C433" s="57"/>
      <c r="D433" s="58"/>
      <c r="E433" s="50"/>
      <c r="F433" s="59"/>
      <c r="G433" s="60"/>
      <c r="H433" s="61" t="str">
        <f t="shared" si="1"/>
        <v/>
      </c>
    </row>
    <row r="434">
      <c r="A434" s="56"/>
      <c r="C434" s="57"/>
      <c r="D434" s="58"/>
      <c r="E434" s="50"/>
      <c r="F434" s="59"/>
      <c r="G434" s="60"/>
      <c r="H434" s="61" t="str">
        <f t="shared" si="1"/>
        <v/>
      </c>
    </row>
    <row r="435">
      <c r="A435" s="56"/>
      <c r="C435" s="57"/>
      <c r="D435" s="58"/>
      <c r="E435" s="50"/>
      <c r="F435" s="59"/>
      <c r="G435" s="60"/>
      <c r="H435" s="61" t="str">
        <f t="shared" si="1"/>
        <v/>
      </c>
    </row>
    <row r="436">
      <c r="A436" s="56"/>
      <c r="C436" s="57"/>
      <c r="D436" s="58"/>
      <c r="E436" s="50"/>
      <c r="F436" s="59"/>
      <c r="G436" s="60"/>
      <c r="H436" s="61" t="str">
        <f t="shared" si="1"/>
        <v/>
      </c>
    </row>
    <row r="437">
      <c r="A437" s="56"/>
      <c r="C437" s="57"/>
      <c r="D437" s="58"/>
      <c r="E437" s="50"/>
      <c r="F437" s="59"/>
      <c r="G437" s="60"/>
      <c r="H437" s="61" t="str">
        <f t="shared" si="1"/>
        <v/>
      </c>
    </row>
    <row r="438">
      <c r="A438" s="56"/>
      <c r="C438" s="57"/>
      <c r="D438" s="58"/>
      <c r="E438" s="50"/>
      <c r="F438" s="59"/>
      <c r="G438" s="60"/>
      <c r="H438" s="61" t="str">
        <f t="shared" si="1"/>
        <v/>
      </c>
    </row>
    <row r="439">
      <c r="A439" s="56"/>
      <c r="C439" s="57"/>
      <c r="D439" s="58"/>
      <c r="E439" s="50"/>
      <c r="F439" s="59"/>
      <c r="G439" s="60"/>
      <c r="H439" s="61" t="str">
        <f t="shared" si="1"/>
        <v/>
      </c>
    </row>
    <row r="440">
      <c r="A440" s="56"/>
      <c r="C440" s="57"/>
      <c r="D440" s="58"/>
      <c r="E440" s="50"/>
      <c r="F440" s="59"/>
      <c r="G440" s="60"/>
      <c r="H440" s="61" t="str">
        <f t="shared" si="1"/>
        <v/>
      </c>
    </row>
    <row r="441">
      <c r="A441" s="56"/>
      <c r="C441" s="57"/>
      <c r="D441" s="58"/>
      <c r="E441" s="50"/>
      <c r="F441" s="59"/>
      <c r="G441" s="60"/>
      <c r="H441" s="61" t="str">
        <f t="shared" si="1"/>
        <v/>
      </c>
    </row>
    <row r="442">
      <c r="A442" s="56"/>
      <c r="C442" s="57"/>
      <c r="D442" s="58"/>
      <c r="E442" s="50"/>
      <c r="F442" s="59"/>
      <c r="G442" s="60"/>
      <c r="H442" s="61" t="str">
        <f t="shared" si="1"/>
        <v/>
      </c>
    </row>
    <row r="443">
      <c r="A443" s="56"/>
      <c r="C443" s="57"/>
      <c r="D443" s="58"/>
      <c r="E443" s="50"/>
      <c r="F443" s="59"/>
      <c r="G443" s="60"/>
      <c r="H443" s="61" t="str">
        <f t="shared" si="1"/>
        <v/>
      </c>
    </row>
    <row r="444">
      <c r="A444" s="56"/>
      <c r="C444" s="57"/>
      <c r="D444" s="58"/>
      <c r="E444" s="50"/>
      <c r="F444" s="59"/>
      <c r="G444" s="60"/>
      <c r="H444" s="61" t="str">
        <f t="shared" si="1"/>
        <v/>
      </c>
    </row>
    <row r="445">
      <c r="A445" s="56"/>
      <c r="C445" s="57"/>
      <c r="D445" s="58"/>
      <c r="E445" s="50"/>
      <c r="F445" s="59"/>
      <c r="G445" s="60"/>
      <c r="H445" s="61" t="str">
        <f t="shared" si="1"/>
        <v/>
      </c>
    </row>
    <row r="446">
      <c r="A446" s="56"/>
      <c r="C446" s="57"/>
      <c r="D446" s="58"/>
      <c r="E446" s="50"/>
      <c r="F446" s="59"/>
      <c r="G446" s="60"/>
      <c r="H446" s="61" t="str">
        <f t="shared" si="1"/>
        <v/>
      </c>
    </row>
    <row r="447">
      <c r="A447" s="56"/>
      <c r="C447" s="57"/>
      <c r="D447" s="58"/>
      <c r="E447" s="50"/>
      <c r="F447" s="59"/>
      <c r="G447" s="60"/>
      <c r="H447" s="61" t="str">
        <f t="shared" si="1"/>
        <v/>
      </c>
    </row>
    <row r="448">
      <c r="A448" s="56"/>
      <c r="C448" s="57"/>
      <c r="D448" s="58"/>
      <c r="E448" s="50"/>
      <c r="F448" s="59"/>
      <c r="G448" s="60"/>
      <c r="H448" s="61" t="str">
        <f t="shared" si="1"/>
        <v/>
      </c>
    </row>
    <row r="449">
      <c r="A449" s="56"/>
      <c r="C449" s="57"/>
      <c r="D449" s="58"/>
      <c r="E449" s="50"/>
      <c r="F449" s="59"/>
      <c r="G449" s="60"/>
      <c r="H449" s="61" t="str">
        <f t="shared" si="1"/>
        <v/>
      </c>
    </row>
    <row r="450">
      <c r="A450" s="56"/>
      <c r="C450" s="57"/>
      <c r="D450" s="58"/>
      <c r="E450" s="50"/>
      <c r="F450" s="59"/>
      <c r="G450" s="60"/>
      <c r="H450" s="61" t="str">
        <f t="shared" si="1"/>
        <v/>
      </c>
    </row>
    <row r="451">
      <c r="A451" s="56"/>
      <c r="C451" s="57"/>
      <c r="D451" s="58"/>
      <c r="E451" s="50"/>
      <c r="F451" s="59"/>
      <c r="G451" s="60"/>
      <c r="H451" s="61" t="str">
        <f t="shared" si="1"/>
        <v/>
      </c>
    </row>
    <row r="452">
      <c r="A452" s="56"/>
      <c r="C452" s="57"/>
      <c r="D452" s="58"/>
      <c r="E452" s="50"/>
      <c r="F452" s="59"/>
      <c r="G452" s="60"/>
      <c r="H452" s="61" t="str">
        <f t="shared" si="1"/>
        <v/>
      </c>
    </row>
    <row r="453">
      <c r="A453" s="56"/>
      <c r="C453" s="57"/>
      <c r="D453" s="58"/>
      <c r="E453" s="50"/>
      <c r="F453" s="59"/>
      <c r="G453" s="60"/>
      <c r="H453" s="61" t="str">
        <f t="shared" si="1"/>
        <v/>
      </c>
    </row>
    <row r="454">
      <c r="A454" s="56"/>
      <c r="C454" s="57"/>
      <c r="D454" s="58"/>
      <c r="E454" s="50"/>
      <c r="F454" s="59"/>
      <c r="G454" s="60"/>
      <c r="H454" s="61" t="str">
        <f t="shared" si="1"/>
        <v/>
      </c>
    </row>
    <row r="455">
      <c r="A455" s="56"/>
      <c r="C455" s="57"/>
      <c r="D455" s="58"/>
      <c r="E455" s="50"/>
      <c r="F455" s="59"/>
      <c r="G455" s="60"/>
      <c r="H455" s="61" t="str">
        <f t="shared" si="1"/>
        <v/>
      </c>
    </row>
    <row r="456">
      <c r="A456" s="56"/>
      <c r="C456" s="57"/>
      <c r="D456" s="58"/>
      <c r="E456" s="50"/>
      <c r="F456" s="59"/>
      <c r="G456" s="60"/>
      <c r="H456" s="61" t="str">
        <f t="shared" si="1"/>
        <v/>
      </c>
    </row>
    <row r="457">
      <c r="A457" s="56"/>
      <c r="C457" s="57"/>
      <c r="D457" s="58"/>
      <c r="E457" s="50"/>
      <c r="F457" s="59"/>
      <c r="G457" s="60"/>
      <c r="H457" s="61" t="str">
        <f t="shared" si="1"/>
        <v/>
      </c>
    </row>
    <row r="458">
      <c r="A458" s="56"/>
      <c r="C458" s="57"/>
      <c r="D458" s="58"/>
      <c r="E458" s="50"/>
      <c r="F458" s="59"/>
      <c r="G458" s="60"/>
      <c r="H458" s="61" t="str">
        <f t="shared" si="1"/>
        <v/>
      </c>
    </row>
    <row r="459">
      <c r="A459" s="56"/>
      <c r="C459" s="57"/>
      <c r="D459" s="58"/>
      <c r="E459" s="50"/>
      <c r="F459" s="59"/>
      <c r="G459" s="60"/>
      <c r="H459" s="61" t="str">
        <f t="shared" si="1"/>
        <v/>
      </c>
    </row>
    <row r="460">
      <c r="A460" s="56"/>
      <c r="C460" s="57"/>
      <c r="D460" s="58"/>
      <c r="E460" s="50"/>
      <c r="F460" s="59"/>
      <c r="G460" s="60"/>
      <c r="H460" s="61" t="str">
        <f t="shared" si="1"/>
        <v/>
      </c>
    </row>
    <row r="461">
      <c r="A461" s="56"/>
      <c r="C461" s="57"/>
      <c r="D461" s="58"/>
      <c r="E461" s="50"/>
      <c r="F461" s="59"/>
      <c r="G461" s="60"/>
      <c r="H461" s="61" t="str">
        <f t="shared" si="1"/>
        <v/>
      </c>
    </row>
    <row r="462">
      <c r="A462" s="56"/>
      <c r="C462" s="57"/>
      <c r="D462" s="58"/>
      <c r="E462" s="50"/>
      <c r="F462" s="59"/>
      <c r="G462" s="60"/>
      <c r="H462" s="61" t="str">
        <f t="shared" si="1"/>
        <v/>
      </c>
    </row>
    <row r="463">
      <c r="A463" s="56"/>
      <c r="C463" s="57"/>
      <c r="D463" s="58"/>
      <c r="E463" s="50"/>
      <c r="F463" s="59"/>
      <c r="G463" s="60"/>
      <c r="H463" s="61" t="str">
        <f t="shared" si="1"/>
        <v/>
      </c>
    </row>
    <row r="464">
      <c r="A464" s="56"/>
      <c r="C464" s="57"/>
      <c r="D464" s="58"/>
      <c r="E464" s="50"/>
      <c r="F464" s="59"/>
      <c r="G464" s="60"/>
      <c r="H464" s="61" t="str">
        <f t="shared" si="1"/>
        <v/>
      </c>
    </row>
    <row r="465">
      <c r="A465" s="56"/>
      <c r="C465" s="57"/>
      <c r="D465" s="58"/>
      <c r="E465" s="50"/>
      <c r="F465" s="59"/>
      <c r="G465" s="60"/>
      <c r="H465" s="61" t="str">
        <f t="shared" si="1"/>
        <v/>
      </c>
    </row>
    <row r="466">
      <c r="A466" s="56"/>
      <c r="C466" s="57"/>
      <c r="D466" s="58"/>
      <c r="E466" s="50"/>
      <c r="F466" s="59"/>
      <c r="G466" s="60"/>
      <c r="H466" s="61" t="str">
        <f t="shared" si="1"/>
        <v/>
      </c>
    </row>
    <row r="467">
      <c r="A467" s="56"/>
      <c r="C467" s="57"/>
      <c r="D467" s="58"/>
      <c r="E467" s="50"/>
      <c r="F467" s="59"/>
      <c r="G467" s="60"/>
      <c r="H467" s="61" t="str">
        <f t="shared" si="1"/>
        <v/>
      </c>
    </row>
    <row r="468">
      <c r="A468" s="56"/>
      <c r="C468" s="57"/>
      <c r="D468" s="58"/>
      <c r="E468" s="50"/>
      <c r="F468" s="59"/>
      <c r="G468" s="60"/>
      <c r="H468" s="61" t="str">
        <f t="shared" si="1"/>
        <v/>
      </c>
    </row>
    <row r="469">
      <c r="A469" s="56"/>
      <c r="C469" s="57"/>
      <c r="D469" s="58"/>
      <c r="E469" s="50"/>
      <c r="F469" s="59"/>
      <c r="G469" s="60"/>
      <c r="H469" s="61" t="str">
        <f t="shared" si="1"/>
        <v/>
      </c>
    </row>
    <row r="470">
      <c r="A470" s="56"/>
      <c r="C470" s="57"/>
      <c r="D470" s="58"/>
      <c r="E470" s="50"/>
      <c r="F470" s="59"/>
      <c r="G470" s="60"/>
      <c r="H470" s="61" t="str">
        <f t="shared" si="1"/>
        <v/>
      </c>
    </row>
    <row r="471">
      <c r="A471" s="56"/>
      <c r="C471" s="57"/>
      <c r="D471" s="58"/>
      <c r="E471" s="50"/>
      <c r="F471" s="59"/>
      <c r="G471" s="60"/>
      <c r="H471" s="61" t="str">
        <f t="shared" si="1"/>
        <v/>
      </c>
    </row>
    <row r="472">
      <c r="A472" s="56"/>
      <c r="C472" s="57"/>
      <c r="D472" s="58"/>
      <c r="E472" s="50"/>
      <c r="F472" s="59"/>
      <c r="G472" s="60"/>
      <c r="H472" s="61" t="str">
        <f t="shared" si="1"/>
        <v/>
      </c>
    </row>
    <row r="473">
      <c r="A473" s="56"/>
      <c r="C473" s="57"/>
      <c r="D473" s="58"/>
      <c r="E473" s="50"/>
      <c r="F473" s="59"/>
      <c r="G473" s="60"/>
      <c r="H473" s="61" t="str">
        <f t="shared" si="1"/>
        <v/>
      </c>
    </row>
    <row r="474">
      <c r="A474" s="56"/>
      <c r="C474" s="57"/>
      <c r="D474" s="58"/>
      <c r="E474" s="50"/>
      <c r="F474" s="59"/>
      <c r="G474" s="60"/>
      <c r="H474" s="61" t="str">
        <f t="shared" si="1"/>
        <v/>
      </c>
    </row>
    <row r="475">
      <c r="A475" s="56"/>
      <c r="C475" s="57"/>
      <c r="D475" s="58"/>
      <c r="E475" s="50"/>
      <c r="F475" s="59"/>
      <c r="G475" s="60"/>
      <c r="H475" s="61" t="str">
        <f t="shared" si="1"/>
        <v/>
      </c>
    </row>
    <row r="476">
      <c r="A476" s="56"/>
      <c r="C476" s="57"/>
      <c r="D476" s="58"/>
      <c r="E476" s="50"/>
      <c r="F476" s="59"/>
      <c r="G476" s="60"/>
      <c r="H476" s="61" t="str">
        <f t="shared" si="1"/>
        <v/>
      </c>
    </row>
    <row r="477">
      <c r="A477" s="56"/>
      <c r="C477" s="57"/>
      <c r="D477" s="58"/>
      <c r="E477" s="50"/>
      <c r="F477" s="59"/>
      <c r="G477" s="60"/>
      <c r="H477" s="61" t="str">
        <f t="shared" si="1"/>
        <v/>
      </c>
    </row>
    <row r="478">
      <c r="A478" s="56"/>
      <c r="C478" s="57"/>
      <c r="D478" s="58"/>
      <c r="E478" s="50"/>
      <c r="F478" s="59"/>
      <c r="G478" s="60"/>
      <c r="H478" s="61" t="str">
        <f t="shared" si="1"/>
        <v/>
      </c>
    </row>
    <row r="479">
      <c r="A479" s="56"/>
      <c r="C479" s="57"/>
      <c r="D479" s="58"/>
      <c r="E479" s="50"/>
      <c r="F479" s="59"/>
      <c r="G479" s="60"/>
      <c r="H479" s="61" t="str">
        <f t="shared" si="1"/>
        <v/>
      </c>
    </row>
    <row r="480">
      <c r="A480" s="56"/>
      <c r="C480" s="57"/>
      <c r="D480" s="58"/>
      <c r="E480" s="50"/>
      <c r="F480" s="59"/>
      <c r="G480" s="60"/>
      <c r="H480" s="61" t="str">
        <f t="shared" si="1"/>
        <v/>
      </c>
    </row>
    <row r="481">
      <c r="A481" s="56"/>
      <c r="C481" s="57"/>
      <c r="D481" s="58"/>
      <c r="E481" s="50"/>
      <c r="F481" s="59"/>
      <c r="G481" s="60"/>
      <c r="H481" s="61" t="str">
        <f t="shared" si="1"/>
        <v/>
      </c>
    </row>
    <row r="482">
      <c r="A482" s="56"/>
      <c r="C482" s="57"/>
      <c r="D482" s="58"/>
      <c r="E482" s="50"/>
      <c r="F482" s="59"/>
      <c r="G482" s="60"/>
      <c r="H482" s="61" t="str">
        <f t="shared" si="1"/>
        <v/>
      </c>
    </row>
    <row r="483">
      <c r="A483" s="56"/>
      <c r="C483" s="57"/>
      <c r="D483" s="58"/>
      <c r="E483" s="50"/>
      <c r="F483" s="59"/>
      <c r="G483" s="60"/>
      <c r="H483" s="61" t="str">
        <f t="shared" si="1"/>
        <v/>
      </c>
    </row>
    <row r="484">
      <c r="A484" s="56"/>
      <c r="C484" s="57"/>
      <c r="D484" s="58"/>
      <c r="E484" s="50"/>
      <c r="F484" s="59"/>
      <c r="G484" s="60"/>
      <c r="H484" s="61" t="str">
        <f t="shared" si="1"/>
        <v/>
      </c>
    </row>
    <row r="485">
      <c r="A485" s="56"/>
      <c r="C485" s="57"/>
      <c r="D485" s="58"/>
      <c r="E485" s="50"/>
      <c r="F485" s="59"/>
      <c r="G485" s="60"/>
      <c r="H485" s="61" t="str">
        <f t="shared" si="1"/>
        <v/>
      </c>
    </row>
    <row r="486">
      <c r="A486" s="56"/>
      <c r="C486" s="57"/>
      <c r="D486" s="58"/>
      <c r="E486" s="50"/>
      <c r="F486" s="59"/>
      <c r="G486" s="60"/>
      <c r="H486" s="61" t="str">
        <f t="shared" si="1"/>
        <v/>
      </c>
    </row>
    <row r="487">
      <c r="A487" s="56"/>
      <c r="C487" s="57"/>
      <c r="D487" s="58"/>
      <c r="E487" s="50"/>
      <c r="F487" s="59"/>
      <c r="G487" s="60"/>
      <c r="H487" s="61" t="str">
        <f t="shared" si="1"/>
        <v/>
      </c>
    </row>
    <row r="488">
      <c r="A488" s="56"/>
      <c r="C488" s="57"/>
      <c r="D488" s="58"/>
      <c r="E488" s="50"/>
      <c r="F488" s="59"/>
      <c r="G488" s="60"/>
      <c r="H488" s="61" t="str">
        <f t="shared" si="1"/>
        <v/>
      </c>
    </row>
    <row r="489">
      <c r="A489" s="56"/>
      <c r="C489" s="57"/>
      <c r="D489" s="58"/>
      <c r="E489" s="50"/>
      <c r="F489" s="59"/>
      <c r="G489" s="60"/>
      <c r="H489" s="61" t="str">
        <f t="shared" si="1"/>
        <v/>
      </c>
    </row>
    <row r="490">
      <c r="A490" s="56"/>
      <c r="C490" s="57"/>
      <c r="D490" s="58"/>
      <c r="E490" s="50"/>
      <c r="F490" s="59"/>
      <c r="G490" s="60"/>
      <c r="H490" s="61" t="str">
        <f t="shared" si="1"/>
        <v/>
      </c>
    </row>
    <row r="491">
      <c r="A491" s="56"/>
      <c r="C491" s="57"/>
      <c r="D491" s="58"/>
      <c r="E491" s="50"/>
      <c r="F491" s="59"/>
      <c r="G491" s="60"/>
      <c r="H491" s="61" t="str">
        <f t="shared" si="1"/>
        <v/>
      </c>
    </row>
    <row r="492">
      <c r="A492" s="56"/>
      <c r="C492" s="57"/>
      <c r="D492" s="58"/>
      <c r="E492" s="50"/>
      <c r="F492" s="59"/>
      <c r="G492" s="60"/>
      <c r="H492" s="61" t="str">
        <f t="shared" si="1"/>
        <v/>
      </c>
    </row>
    <row r="493">
      <c r="A493" s="56"/>
      <c r="C493" s="57"/>
      <c r="D493" s="58"/>
      <c r="E493" s="50"/>
      <c r="F493" s="59"/>
      <c r="G493" s="60"/>
      <c r="H493" s="61" t="str">
        <f t="shared" si="1"/>
        <v/>
      </c>
    </row>
    <row r="494">
      <c r="A494" s="56"/>
      <c r="C494" s="57"/>
      <c r="D494" s="58"/>
      <c r="E494" s="50"/>
      <c r="F494" s="59"/>
      <c r="G494" s="60"/>
      <c r="H494" s="61" t="str">
        <f t="shared" si="1"/>
        <v/>
      </c>
    </row>
    <row r="495">
      <c r="A495" s="56"/>
      <c r="C495" s="57"/>
      <c r="D495" s="58"/>
      <c r="E495" s="50"/>
      <c r="F495" s="59"/>
      <c r="G495" s="60"/>
      <c r="H495" s="61" t="str">
        <f t="shared" si="1"/>
        <v/>
      </c>
    </row>
    <row r="496">
      <c r="A496" s="56"/>
      <c r="C496" s="57"/>
      <c r="D496" s="58"/>
      <c r="E496" s="50"/>
      <c r="F496" s="59"/>
      <c r="G496" s="60"/>
      <c r="H496" s="61" t="str">
        <f t="shared" si="1"/>
        <v/>
      </c>
    </row>
    <row r="497">
      <c r="A497" s="56"/>
      <c r="C497" s="57"/>
      <c r="D497" s="58"/>
      <c r="E497" s="50"/>
      <c r="F497" s="59"/>
      <c r="G497" s="60"/>
      <c r="H497" s="61" t="str">
        <f t="shared" si="1"/>
        <v/>
      </c>
    </row>
    <row r="498">
      <c r="A498" s="56"/>
      <c r="C498" s="57"/>
      <c r="D498" s="58"/>
      <c r="E498" s="50"/>
      <c r="F498" s="59"/>
      <c r="G498" s="60"/>
      <c r="H498" s="61" t="str">
        <f t="shared" si="1"/>
        <v/>
      </c>
    </row>
    <row r="499">
      <c r="A499" s="56"/>
      <c r="C499" s="57"/>
      <c r="D499" s="58"/>
      <c r="E499" s="50"/>
      <c r="F499" s="59"/>
      <c r="G499" s="60"/>
      <c r="H499" s="61" t="str">
        <f t="shared" si="1"/>
        <v/>
      </c>
    </row>
    <row r="500">
      <c r="A500" s="56"/>
      <c r="C500" s="57"/>
      <c r="D500" s="58"/>
      <c r="E500" s="50"/>
      <c r="F500" s="59"/>
      <c r="G500" s="60"/>
      <c r="H500" s="61" t="str">
        <f t="shared" si="1"/>
        <v/>
      </c>
    </row>
    <row r="501">
      <c r="A501" s="56"/>
      <c r="C501" s="57"/>
      <c r="D501" s="58"/>
      <c r="E501" s="50"/>
      <c r="F501" s="59"/>
      <c r="G501" s="60"/>
      <c r="H501" s="61" t="str">
        <f t="shared" si="1"/>
        <v/>
      </c>
    </row>
    <row r="502">
      <c r="A502" s="56"/>
      <c r="C502" s="57"/>
      <c r="D502" s="58"/>
      <c r="E502" s="50"/>
      <c r="F502" s="59"/>
      <c r="G502" s="60"/>
      <c r="H502" s="61" t="str">
        <f t="shared" si="1"/>
        <v/>
      </c>
    </row>
    <row r="503">
      <c r="A503" s="56"/>
      <c r="C503" s="57"/>
      <c r="D503" s="58"/>
      <c r="E503" s="50"/>
      <c r="F503" s="59"/>
      <c r="G503" s="60"/>
      <c r="H503" s="61" t="str">
        <f t="shared" si="1"/>
        <v/>
      </c>
    </row>
    <row r="504">
      <c r="A504" s="56"/>
      <c r="C504" s="57"/>
      <c r="D504" s="58"/>
      <c r="E504" s="50"/>
      <c r="F504" s="59"/>
      <c r="G504" s="60"/>
      <c r="H504" s="61" t="str">
        <f t="shared" si="1"/>
        <v/>
      </c>
    </row>
    <row r="505">
      <c r="A505" s="56"/>
      <c r="C505" s="57"/>
      <c r="D505" s="58"/>
      <c r="E505" s="50"/>
      <c r="F505" s="59"/>
      <c r="G505" s="60"/>
      <c r="H505" s="61" t="str">
        <f t="shared" si="1"/>
        <v/>
      </c>
    </row>
    <row r="506">
      <c r="A506" s="56"/>
      <c r="C506" s="57"/>
      <c r="D506" s="58"/>
      <c r="E506" s="50"/>
      <c r="F506" s="59"/>
      <c r="G506" s="60"/>
      <c r="H506" s="61" t="str">
        <f t="shared" si="1"/>
        <v/>
      </c>
    </row>
    <row r="507">
      <c r="A507" s="56"/>
      <c r="C507" s="57"/>
      <c r="D507" s="58"/>
      <c r="E507" s="50"/>
      <c r="F507" s="59"/>
      <c r="G507" s="60"/>
      <c r="H507" s="61" t="str">
        <f t="shared" si="1"/>
        <v/>
      </c>
    </row>
    <row r="508">
      <c r="A508" s="56"/>
      <c r="C508" s="57"/>
      <c r="D508" s="58"/>
      <c r="E508" s="50"/>
      <c r="F508" s="59"/>
      <c r="G508" s="60"/>
      <c r="H508" s="61" t="str">
        <f t="shared" si="1"/>
        <v/>
      </c>
    </row>
    <row r="509">
      <c r="A509" s="56"/>
      <c r="C509" s="57"/>
      <c r="D509" s="58"/>
      <c r="E509" s="50"/>
      <c r="F509" s="59"/>
      <c r="G509" s="60"/>
      <c r="H509" s="61" t="str">
        <f t="shared" si="1"/>
        <v/>
      </c>
    </row>
    <row r="510">
      <c r="A510" s="56"/>
      <c r="C510" s="57"/>
      <c r="D510" s="58"/>
      <c r="E510" s="50"/>
      <c r="F510" s="59"/>
      <c r="G510" s="60"/>
      <c r="H510" s="61" t="str">
        <f t="shared" si="1"/>
        <v/>
      </c>
    </row>
    <row r="511">
      <c r="A511" s="56"/>
      <c r="C511" s="57"/>
      <c r="D511" s="58"/>
      <c r="E511" s="50"/>
      <c r="F511" s="59"/>
      <c r="G511" s="60"/>
      <c r="H511" s="61" t="str">
        <f t="shared" si="1"/>
        <v/>
      </c>
    </row>
    <row r="512">
      <c r="A512" s="56"/>
      <c r="C512" s="57"/>
      <c r="D512" s="58"/>
      <c r="E512" s="50"/>
      <c r="F512" s="59"/>
      <c r="G512" s="60"/>
      <c r="H512" s="61" t="str">
        <f t="shared" si="1"/>
        <v/>
      </c>
    </row>
    <row r="513">
      <c r="A513" s="56"/>
      <c r="C513" s="57"/>
      <c r="D513" s="58"/>
      <c r="E513" s="50"/>
      <c r="F513" s="59"/>
      <c r="G513" s="60"/>
      <c r="H513" s="61" t="str">
        <f t="shared" si="1"/>
        <v/>
      </c>
    </row>
    <row r="514">
      <c r="A514" s="56"/>
      <c r="C514" s="57"/>
      <c r="D514" s="58"/>
      <c r="E514" s="50"/>
      <c r="F514" s="59"/>
      <c r="G514" s="60"/>
      <c r="H514" s="61" t="str">
        <f t="shared" si="1"/>
        <v/>
      </c>
    </row>
    <row r="515">
      <c r="A515" s="56"/>
      <c r="C515" s="57"/>
      <c r="D515" s="58"/>
      <c r="E515" s="50"/>
      <c r="F515" s="59"/>
      <c r="G515" s="60"/>
      <c r="H515" s="61" t="str">
        <f t="shared" si="1"/>
        <v/>
      </c>
    </row>
    <row r="516">
      <c r="A516" s="56"/>
      <c r="C516" s="57"/>
      <c r="D516" s="58"/>
      <c r="E516" s="50"/>
      <c r="F516" s="59"/>
      <c r="G516" s="60"/>
      <c r="H516" s="61" t="str">
        <f t="shared" si="1"/>
        <v/>
      </c>
    </row>
    <row r="517">
      <c r="A517" s="56"/>
      <c r="C517" s="57"/>
      <c r="D517" s="58"/>
      <c r="E517" s="50"/>
      <c r="F517" s="59"/>
      <c r="G517" s="60"/>
      <c r="H517" s="61" t="str">
        <f t="shared" si="1"/>
        <v/>
      </c>
    </row>
    <row r="518">
      <c r="A518" s="56"/>
      <c r="C518" s="57"/>
      <c r="D518" s="58"/>
      <c r="E518" s="50"/>
      <c r="F518" s="59"/>
      <c r="G518" s="60"/>
      <c r="H518" s="61" t="str">
        <f t="shared" si="1"/>
        <v/>
      </c>
    </row>
    <row r="519">
      <c r="A519" s="56"/>
      <c r="C519" s="57"/>
      <c r="D519" s="58"/>
      <c r="E519" s="50"/>
      <c r="F519" s="59"/>
      <c r="G519" s="60"/>
      <c r="H519" s="61" t="str">
        <f t="shared" si="1"/>
        <v/>
      </c>
    </row>
    <row r="520">
      <c r="A520" s="56"/>
      <c r="C520" s="57"/>
      <c r="D520" s="58"/>
      <c r="E520" s="50"/>
      <c r="F520" s="59"/>
      <c r="G520" s="60"/>
      <c r="H520" s="61" t="str">
        <f t="shared" si="1"/>
        <v/>
      </c>
    </row>
    <row r="521">
      <c r="A521" s="56"/>
      <c r="C521" s="57"/>
      <c r="D521" s="58"/>
      <c r="E521" s="50"/>
      <c r="F521" s="59"/>
      <c r="G521" s="60"/>
      <c r="H521" s="61" t="str">
        <f t="shared" si="1"/>
        <v/>
      </c>
    </row>
    <row r="522">
      <c r="A522" s="56"/>
      <c r="C522" s="57"/>
      <c r="D522" s="58"/>
      <c r="E522" s="50"/>
      <c r="F522" s="59"/>
      <c r="G522" s="60"/>
      <c r="H522" s="61" t="str">
        <f t="shared" si="1"/>
        <v/>
      </c>
    </row>
    <row r="523">
      <c r="A523" s="56"/>
      <c r="C523" s="57"/>
      <c r="D523" s="58"/>
      <c r="E523" s="50"/>
      <c r="F523" s="59"/>
      <c r="G523" s="60"/>
      <c r="H523" s="61" t="str">
        <f t="shared" si="1"/>
        <v/>
      </c>
    </row>
    <row r="524">
      <c r="A524" s="56"/>
      <c r="C524" s="57"/>
      <c r="D524" s="58"/>
      <c r="E524" s="50"/>
      <c r="F524" s="59"/>
      <c r="G524" s="60"/>
      <c r="H524" s="61" t="str">
        <f t="shared" si="1"/>
        <v/>
      </c>
    </row>
    <row r="525">
      <c r="A525" s="56"/>
      <c r="C525" s="57"/>
      <c r="D525" s="58"/>
      <c r="E525" s="50"/>
      <c r="F525" s="59"/>
      <c r="G525" s="60"/>
      <c r="H525" s="61" t="str">
        <f t="shared" si="1"/>
        <v/>
      </c>
    </row>
    <row r="526">
      <c r="A526" s="56"/>
      <c r="C526" s="57"/>
      <c r="D526" s="58"/>
      <c r="E526" s="50"/>
      <c r="F526" s="59"/>
      <c r="G526" s="60"/>
      <c r="H526" s="61" t="str">
        <f t="shared" si="1"/>
        <v/>
      </c>
    </row>
    <row r="527">
      <c r="A527" s="56"/>
      <c r="C527" s="57"/>
      <c r="D527" s="58"/>
      <c r="E527" s="50"/>
      <c r="F527" s="59"/>
      <c r="G527" s="60"/>
      <c r="H527" s="61" t="str">
        <f t="shared" si="1"/>
        <v/>
      </c>
    </row>
    <row r="528">
      <c r="A528" s="56"/>
      <c r="C528" s="57"/>
      <c r="D528" s="58"/>
      <c r="E528" s="50"/>
      <c r="F528" s="59"/>
      <c r="G528" s="60"/>
      <c r="H528" s="61" t="str">
        <f t="shared" si="1"/>
        <v/>
      </c>
    </row>
    <row r="529">
      <c r="A529" s="56"/>
      <c r="C529" s="57"/>
      <c r="D529" s="58"/>
      <c r="E529" s="50"/>
      <c r="F529" s="59"/>
      <c r="G529" s="60"/>
      <c r="H529" s="61" t="str">
        <f t="shared" si="1"/>
        <v/>
      </c>
    </row>
    <row r="530">
      <c r="A530" s="56"/>
      <c r="C530" s="57"/>
      <c r="D530" s="58"/>
      <c r="E530" s="50"/>
      <c r="F530" s="59"/>
      <c r="G530" s="60"/>
      <c r="H530" s="61" t="str">
        <f t="shared" si="1"/>
        <v/>
      </c>
    </row>
    <row r="531">
      <c r="A531" s="56"/>
      <c r="C531" s="57"/>
      <c r="D531" s="58"/>
      <c r="E531" s="50"/>
      <c r="F531" s="59"/>
      <c r="G531" s="60"/>
      <c r="H531" s="61" t="str">
        <f t="shared" si="1"/>
        <v/>
      </c>
    </row>
    <row r="532">
      <c r="A532" s="56"/>
      <c r="C532" s="57"/>
      <c r="D532" s="58"/>
      <c r="E532" s="50"/>
      <c r="F532" s="59"/>
      <c r="G532" s="60"/>
      <c r="H532" s="61" t="str">
        <f t="shared" si="1"/>
        <v/>
      </c>
    </row>
    <row r="533">
      <c r="A533" s="56"/>
      <c r="C533" s="57"/>
      <c r="D533" s="58"/>
      <c r="E533" s="50"/>
      <c r="F533" s="59"/>
      <c r="G533" s="60"/>
      <c r="H533" s="61" t="str">
        <f t="shared" si="1"/>
        <v/>
      </c>
    </row>
    <row r="534">
      <c r="A534" s="56"/>
      <c r="C534" s="57"/>
      <c r="D534" s="58"/>
      <c r="E534" s="50"/>
      <c r="F534" s="59"/>
      <c r="G534" s="60"/>
      <c r="H534" s="61" t="str">
        <f t="shared" si="1"/>
        <v/>
      </c>
    </row>
    <row r="535">
      <c r="A535" s="56"/>
      <c r="C535" s="57"/>
      <c r="D535" s="58"/>
      <c r="E535" s="50"/>
      <c r="F535" s="59"/>
      <c r="G535" s="60"/>
      <c r="H535" s="61" t="str">
        <f t="shared" si="1"/>
        <v/>
      </c>
    </row>
    <row r="536">
      <c r="A536" s="56"/>
      <c r="C536" s="57"/>
      <c r="D536" s="58"/>
      <c r="E536" s="50"/>
      <c r="F536" s="59"/>
      <c r="G536" s="60"/>
      <c r="H536" s="61" t="str">
        <f t="shared" si="1"/>
        <v/>
      </c>
    </row>
    <row r="537">
      <c r="A537" s="56"/>
      <c r="C537" s="57"/>
      <c r="D537" s="58"/>
      <c r="E537" s="50"/>
      <c r="F537" s="59"/>
      <c r="G537" s="60"/>
      <c r="H537" s="61" t="str">
        <f t="shared" si="1"/>
        <v/>
      </c>
    </row>
    <row r="538">
      <c r="A538" s="56"/>
      <c r="C538" s="57"/>
      <c r="D538" s="58"/>
      <c r="E538" s="50"/>
      <c r="F538" s="59"/>
      <c r="G538" s="60"/>
      <c r="H538" s="61" t="str">
        <f t="shared" si="1"/>
        <v/>
      </c>
    </row>
    <row r="539">
      <c r="A539" s="56"/>
      <c r="C539" s="57"/>
      <c r="D539" s="58"/>
      <c r="E539" s="50"/>
      <c r="F539" s="59"/>
      <c r="G539" s="60"/>
      <c r="H539" s="61" t="str">
        <f t="shared" si="1"/>
        <v/>
      </c>
    </row>
    <row r="540">
      <c r="A540" s="56"/>
      <c r="C540" s="57"/>
      <c r="D540" s="58"/>
      <c r="E540" s="50"/>
      <c r="F540" s="59"/>
      <c r="G540" s="60"/>
      <c r="H540" s="61" t="str">
        <f t="shared" si="1"/>
        <v/>
      </c>
    </row>
    <row r="541">
      <c r="A541" s="56"/>
      <c r="C541" s="57"/>
      <c r="D541" s="58"/>
      <c r="E541" s="50"/>
      <c r="F541" s="59"/>
      <c r="G541" s="60"/>
      <c r="H541" s="61" t="str">
        <f t="shared" si="1"/>
        <v/>
      </c>
    </row>
    <row r="542">
      <c r="A542" s="56"/>
      <c r="C542" s="57"/>
      <c r="D542" s="58"/>
      <c r="E542" s="50"/>
      <c r="F542" s="59"/>
      <c r="G542" s="60"/>
      <c r="H542" s="61" t="str">
        <f t="shared" si="1"/>
        <v/>
      </c>
    </row>
    <row r="543">
      <c r="A543" s="56"/>
      <c r="C543" s="57"/>
      <c r="D543" s="58"/>
      <c r="E543" s="50"/>
      <c r="F543" s="59"/>
      <c r="G543" s="60"/>
      <c r="H543" s="61" t="str">
        <f t="shared" si="1"/>
        <v/>
      </c>
    </row>
    <row r="544">
      <c r="A544" s="56"/>
      <c r="C544" s="57"/>
      <c r="D544" s="58"/>
      <c r="E544" s="50"/>
      <c r="F544" s="59"/>
      <c r="G544" s="60"/>
      <c r="H544" s="61" t="str">
        <f t="shared" si="1"/>
        <v/>
      </c>
    </row>
    <row r="545">
      <c r="A545" s="56"/>
      <c r="C545" s="57"/>
      <c r="D545" s="58"/>
      <c r="E545" s="50"/>
      <c r="F545" s="59"/>
      <c r="G545" s="60"/>
      <c r="H545" s="61" t="str">
        <f t="shared" si="1"/>
        <v/>
      </c>
    </row>
    <row r="546">
      <c r="A546" s="56"/>
      <c r="C546" s="57"/>
      <c r="D546" s="58"/>
      <c r="E546" s="50"/>
      <c r="F546" s="59"/>
      <c r="G546" s="60"/>
      <c r="H546" s="61" t="str">
        <f t="shared" si="1"/>
        <v/>
      </c>
    </row>
    <row r="547">
      <c r="A547" s="56"/>
      <c r="C547" s="57"/>
      <c r="D547" s="58"/>
      <c r="E547" s="50"/>
      <c r="F547" s="59"/>
      <c r="G547" s="60"/>
      <c r="H547" s="61" t="str">
        <f t="shared" si="1"/>
        <v/>
      </c>
    </row>
    <row r="548">
      <c r="A548" s="56"/>
      <c r="C548" s="57"/>
      <c r="D548" s="58"/>
      <c r="E548" s="50"/>
      <c r="F548" s="59"/>
      <c r="G548" s="60"/>
      <c r="H548" s="61" t="str">
        <f t="shared" si="1"/>
        <v/>
      </c>
    </row>
    <row r="549">
      <c r="A549" s="56"/>
      <c r="C549" s="57"/>
      <c r="D549" s="58"/>
      <c r="E549" s="50"/>
      <c r="F549" s="59"/>
      <c r="G549" s="60"/>
      <c r="H549" s="61" t="str">
        <f t="shared" si="1"/>
        <v/>
      </c>
    </row>
    <row r="550">
      <c r="A550" s="56"/>
      <c r="C550" s="57"/>
      <c r="D550" s="58"/>
      <c r="E550" s="50"/>
      <c r="F550" s="59"/>
      <c r="G550" s="60"/>
      <c r="H550" s="61" t="str">
        <f t="shared" si="1"/>
        <v/>
      </c>
    </row>
    <row r="551">
      <c r="A551" s="56"/>
      <c r="C551" s="57"/>
      <c r="D551" s="58"/>
      <c r="E551" s="50"/>
      <c r="F551" s="59"/>
      <c r="G551" s="60"/>
      <c r="H551" s="61" t="str">
        <f t="shared" si="1"/>
        <v/>
      </c>
    </row>
    <row r="552">
      <c r="A552" s="56"/>
      <c r="C552" s="57"/>
      <c r="D552" s="58"/>
      <c r="E552" s="50"/>
      <c r="F552" s="59"/>
      <c r="G552" s="60"/>
      <c r="H552" s="61" t="str">
        <f t="shared" si="1"/>
        <v/>
      </c>
    </row>
    <row r="553">
      <c r="A553" s="56"/>
      <c r="C553" s="57"/>
      <c r="D553" s="58"/>
      <c r="E553" s="50"/>
      <c r="F553" s="59"/>
      <c r="G553" s="60"/>
      <c r="H553" s="61" t="str">
        <f t="shared" si="1"/>
        <v/>
      </c>
    </row>
    <row r="554">
      <c r="A554" s="56"/>
      <c r="C554" s="57"/>
      <c r="D554" s="58"/>
      <c r="E554" s="50"/>
      <c r="F554" s="59"/>
      <c r="G554" s="60"/>
      <c r="H554" s="61" t="str">
        <f t="shared" si="1"/>
        <v/>
      </c>
    </row>
    <row r="555">
      <c r="A555" s="56"/>
      <c r="C555" s="57"/>
      <c r="D555" s="58"/>
      <c r="E555" s="50"/>
      <c r="F555" s="59"/>
      <c r="G555" s="60"/>
      <c r="H555" s="61" t="str">
        <f t="shared" si="1"/>
        <v/>
      </c>
    </row>
    <row r="556">
      <c r="A556" s="56"/>
      <c r="C556" s="57"/>
      <c r="D556" s="58"/>
      <c r="E556" s="50"/>
      <c r="F556" s="59"/>
      <c r="G556" s="60"/>
      <c r="H556" s="61" t="str">
        <f t="shared" si="1"/>
        <v/>
      </c>
    </row>
    <row r="557">
      <c r="A557" s="56"/>
      <c r="C557" s="57"/>
      <c r="D557" s="58"/>
      <c r="E557" s="50"/>
      <c r="F557" s="59"/>
      <c r="G557" s="60"/>
      <c r="H557" s="61" t="str">
        <f t="shared" si="1"/>
        <v/>
      </c>
    </row>
    <row r="558">
      <c r="A558" s="56"/>
      <c r="C558" s="57"/>
      <c r="D558" s="58"/>
      <c r="E558" s="50"/>
      <c r="F558" s="59"/>
      <c r="G558" s="60"/>
      <c r="H558" s="61" t="str">
        <f t="shared" si="1"/>
        <v/>
      </c>
    </row>
    <row r="559">
      <c r="A559" s="56"/>
      <c r="C559" s="57"/>
      <c r="D559" s="58"/>
      <c r="E559" s="50"/>
      <c r="F559" s="59"/>
      <c r="G559" s="60"/>
      <c r="H559" s="61" t="str">
        <f t="shared" si="1"/>
        <v/>
      </c>
    </row>
    <row r="560">
      <c r="A560" s="56"/>
      <c r="C560" s="57"/>
      <c r="D560" s="58"/>
      <c r="E560" s="50"/>
      <c r="F560" s="59"/>
      <c r="G560" s="60"/>
      <c r="H560" s="61" t="str">
        <f t="shared" si="1"/>
        <v/>
      </c>
    </row>
    <row r="561">
      <c r="A561" s="56"/>
      <c r="C561" s="57"/>
      <c r="D561" s="58"/>
      <c r="E561" s="50"/>
      <c r="F561" s="59"/>
      <c r="G561" s="60"/>
      <c r="H561" s="61" t="str">
        <f t="shared" si="1"/>
        <v/>
      </c>
    </row>
    <row r="562">
      <c r="A562" s="56"/>
      <c r="C562" s="57"/>
      <c r="D562" s="58"/>
      <c r="E562" s="50"/>
      <c r="F562" s="59"/>
      <c r="G562" s="60"/>
      <c r="H562" s="61" t="str">
        <f t="shared" si="1"/>
        <v/>
      </c>
    </row>
    <row r="563">
      <c r="A563" s="56"/>
      <c r="C563" s="57"/>
      <c r="D563" s="58"/>
      <c r="E563" s="50"/>
      <c r="F563" s="59"/>
      <c r="G563" s="60"/>
      <c r="H563" s="61" t="str">
        <f t="shared" si="1"/>
        <v/>
      </c>
    </row>
    <row r="564">
      <c r="A564" s="56"/>
      <c r="C564" s="57"/>
      <c r="D564" s="58"/>
      <c r="E564" s="50"/>
      <c r="F564" s="59"/>
      <c r="G564" s="60"/>
      <c r="H564" s="61" t="str">
        <f t="shared" si="1"/>
        <v/>
      </c>
    </row>
    <row r="565">
      <c r="A565" s="56"/>
      <c r="C565" s="57"/>
      <c r="D565" s="58"/>
      <c r="E565" s="50"/>
      <c r="F565" s="59"/>
      <c r="G565" s="60"/>
      <c r="H565" s="61" t="str">
        <f t="shared" si="1"/>
        <v/>
      </c>
    </row>
    <row r="566">
      <c r="A566" s="56"/>
      <c r="C566" s="57"/>
      <c r="D566" s="58"/>
      <c r="E566" s="50"/>
      <c r="F566" s="59"/>
      <c r="G566" s="60"/>
      <c r="H566" s="61" t="str">
        <f t="shared" si="1"/>
        <v/>
      </c>
    </row>
    <row r="567">
      <c r="A567" s="56"/>
      <c r="C567" s="57"/>
      <c r="D567" s="58"/>
      <c r="E567" s="50"/>
      <c r="F567" s="59"/>
      <c r="G567" s="60"/>
      <c r="H567" s="61" t="str">
        <f t="shared" si="1"/>
        <v/>
      </c>
    </row>
    <row r="568">
      <c r="A568" s="56"/>
      <c r="C568" s="57"/>
      <c r="D568" s="58"/>
      <c r="E568" s="50"/>
      <c r="F568" s="59"/>
      <c r="G568" s="60"/>
      <c r="H568" s="61" t="str">
        <f t="shared" si="1"/>
        <v/>
      </c>
    </row>
    <row r="569">
      <c r="A569" s="56"/>
      <c r="C569" s="57"/>
      <c r="D569" s="58"/>
      <c r="E569" s="50"/>
      <c r="F569" s="59"/>
      <c r="G569" s="60"/>
      <c r="H569" s="61" t="str">
        <f t="shared" si="1"/>
        <v/>
      </c>
    </row>
    <row r="570">
      <c r="A570" s="56"/>
      <c r="C570" s="57"/>
      <c r="D570" s="58"/>
      <c r="E570" s="50"/>
      <c r="F570" s="59"/>
      <c r="G570" s="60"/>
      <c r="H570" s="61" t="str">
        <f t="shared" si="1"/>
        <v/>
      </c>
    </row>
    <row r="571">
      <c r="A571" s="56"/>
      <c r="C571" s="57"/>
      <c r="D571" s="58"/>
      <c r="E571" s="50"/>
      <c r="F571" s="59"/>
      <c r="G571" s="60"/>
      <c r="H571" s="61" t="str">
        <f t="shared" si="1"/>
        <v/>
      </c>
    </row>
    <row r="572">
      <c r="A572" s="56"/>
      <c r="C572" s="57"/>
      <c r="D572" s="58"/>
      <c r="E572" s="50"/>
      <c r="F572" s="59"/>
      <c r="G572" s="60"/>
      <c r="H572" s="61" t="str">
        <f t="shared" si="1"/>
        <v/>
      </c>
    </row>
    <row r="573">
      <c r="A573" s="56"/>
      <c r="C573" s="57"/>
      <c r="D573" s="58"/>
      <c r="E573" s="50"/>
      <c r="F573" s="59"/>
      <c r="G573" s="60"/>
      <c r="H573" s="61" t="str">
        <f t="shared" si="1"/>
        <v/>
      </c>
    </row>
    <row r="574">
      <c r="A574" s="56"/>
      <c r="C574" s="57"/>
      <c r="D574" s="58"/>
      <c r="E574" s="50"/>
      <c r="F574" s="59"/>
      <c r="G574" s="60"/>
      <c r="H574" s="61" t="str">
        <f t="shared" si="1"/>
        <v/>
      </c>
    </row>
    <row r="575">
      <c r="A575" s="56"/>
      <c r="C575" s="57"/>
      <c r="D575" s="58"/>
      <c r="E575" s="50"/>
      <c r="F575" s="59"/>
      <c r="G575" s="60"/>
      <c r="H575" s="61" t="str">
        <f t="shared" si="1"/>
        <v/>
      </c>
    </row>
    <row r="576">
      <c r="A576" s="56"/>
      <c r="C576" s="57"/>
      <c r="D576" s="58"/>
      <c r="E576" s="50"/>
      <c r="F576" s="59"/>
      <c r="G576" s="60"/>
      <c r="H576" s="61" t="str">
        <f t="shared" si="1"/>
        <v/>
      </c>
    </row>
    <row r="577">
      <c r="A577" s="56"/>
      <c r="C577" s="57"/>
      <c r="D577" s="58"/>
      <c r="E577" s="50"/>
      <c r="F577" s="59"/>
      <c r="G577" s="60"/>
      <c r="H577" s="61" t="str">
        <f t="shared" si="1"/>
        <v/>
      </c>
    </row>
    <row r="578">
      <c r="A578" s="56"/>
      <c r="C578" s="57"/>
      <c r="D578" s="58"/>
      <c r="E578" s="50"/>
      <c r="F578" s="59"/>
      <c r="G578" s="60"/>
      <c r="H578" s="61" t="str">
        <f t="shared" si="1"/>
        <v/>
      </c>
    </row>
    <row r="579">
      <c r="A579" s="56"/>
      <c r="C579" s="57"/>
      <c r="D579" s="58"/>
      <c r="E579" s="50"/>
      <c r="F579" s="59"/>
      <c r="G579" s="60"/>
      <c r="H579" s="61" t="str">
        <f t="shared" si="1"/>
        <v/>
      </c>
    </row>
    <row r="580">
      <c r="A580" s="56"/>
      <c r="C580" s="57"/>
      <c r="D580" s="58"/>
      <c r="E580" s="50"/>
      <c r="F580" s="59"/>
      <c r="G580" s="60"/>
      <c r="H580" s="61" t="str">
        <f t="shared" si="1"/>
        <v/>
      </c>
    </row>
    <row r="581">
      <c r="A581" s="56"/>
      <c r="C581" s="57"/>
      <c r="D581" s="58"/>
      <c r="E581" s="50"/>
      <c r="F581" s="59"/>
      <c r="G581" s="60"/>
      <c r="H581" s="61" t="str">
        <f t="shared" si="1"/>
        <v/>
      </c>
    </row>
    <row r="582">
      <c r="A582" s="56"/>
      <c r="C582" s="57"/>
      <c r="D582" s="58"/>
      <c r="E582" s="50"/>
      <c r="F582" s="59"/>
      <c r="G582" s="60"/>
      <c r="H582" s="61" t="str">
        <f t="shared" si="1"/>
        <v/>
      </c>
    </row>
    <row r="583">
      <c r="A583" s="56"/>
      <c r="C583" s="57"/>
      <c r="D583" s="58"/>
      <c r="E583" s="50"/>
      <c r="F583" s="59"/>
      <c r="G583" s="60"/>
      <c r="H583" s="61" t="str">
        <f t="shared" si="1"/>
        <v/>
      </c>
    </row>
    <row r="584">
      <c r="A584" s="56"/>
      <c r="C584" s="57"/>
      <c r="D584" s="58"/>
      <c r="E584" s="50"/>
      <c r="F584" s="59"/>
      <c r="G584" s="60"/>
      <c r="H584" s="61" t="str">
        <f t="shared" si="1"/>
        <v/>
      </c>
    </row>
    <row r="585">
      <c r="A585" s="56"/>
      <c r="C585" s="57"/>
      <c r="D585" s="58"/>
      <c r="E585" s="50"/>
      <c r="F585" s="59"/>
      <c r="G585" s="60"/>
      <c r="H585" s="61" t="str">
        <f t="shared" si="1"/>
        <v/>
      </c>
    </row>
    <row r="586">
      <c r="A586" s="56"/>
      <c r="C586" s="57"/>
      <c r="D586" s="58"/>
      <c r="E586" s="50"/>
      <c r="F586" s="59"/>
      <c r="G586" s="60"/>
      <c r="H586" s="61" t="str">
        <f t="shared" si="1"/>
        <v/>
      </c>
    </row>
    <row r="587">
      <c r="A587" s="56"/>
      <c r="C587" s="57"/>
      <c r="D587" s="58"/>
      <c r="E587" s="50"/>
      <c r="F587" s="59"/>
      <c r="G587" s="60"/>
      <c r="H587" s="61" t="str">
        <f t="shared" si="1"/>
        <v/>
      </c>
    </row>
    <row r="588">
      <c r="A588" s="56"/>
      <c r="C588" s="57"/>
      <c r="D588" s="58"/>
      <c r="E588" s="50"/>
      <c r="F588" s="59"/>
      <c r="G588" s="60"/>
      <c r="H588" s="61" t="str">
        <f t="shared" si="1"/>
        <v/>
      </c>
    </row>
    <row r="589">
      <c r="A589" s="56"/>
      <c r="C589" s="57"/>
      <c r="D589" s="58"/>
      <c r="E589" s="50"/>
      <c r="F589" s="59"/>
      <c r="G589" s="60"/>
      <c r="H589" s="61" t="str">
        <f t="shared" si="1"/>
        <v/>
      </c>
    </row>
    <row r="590">
      <c r="A590" s="56"/>
      <c r="C590" s="57"/>
      <c r="D590" s="58"/>
      <c r="E590" s="50"/>
      <c r="F590" s="59"/>
      <c r="G590" s="60"/>
      <c r="H590" s="61" t="str">
        <f t="shared" si="1"/>
        <v/>
      </c>
    </row>
    <row r="591">
      <c r="A591" s="56"/>
      <c r="C591" s="57"/>
      <c r="D591" s="58"/>
      <c r="E591" s="50"/>
      <c r="F591" s="59"/>
      <c r="G591" s="60"/>
      <c r="H591" s="61" t="str">
        <f t="shared" si="1"/>
        <v/>
      </c>
    </row>
    <row r="592">
      <c r="A592" s="56"/>
      <c r="C592" s="57"/>
      <c r="D592" s="58"/>
      <c r="E592" s="50"/>
      <c r="F592" s="59"/>
      <c r="G592" s="60"/>
      <c r="H592" s="61" t="str">
        <f t="shared" si="1"/>
        <v/>
      </c>
    </row>
    <row r="593">
      <c r="A593" s="56"/>
      <c r="C593" s="57"/>
      <c r="D593" s="58"/>
      <c r="E593" s="50"/>
      <c r="F593" s="59"/>
      <c r="G593" s="60"/>
      <c r="H593" s="61" t="str">
        <f t="shared" si="1"/>
        <v/>
      </c>
    </row>
    <row r="594">
      <c r="A594" s="56"/>
      <c r="C594" s="57"/>
      <c r="D594" s="58"/>
      <c r="E594" s="50"/>
      <c r="F594" s="59"/>
      <c r="G594" s="60"/>
      <c r="H594" s="61" t="str">
        <f t="shared" si="1"/>
        <v/>
      </c>
    </row>
    <row r="595">
      <c r="A595" s="56"/>
      <c r="C595" s="57"/>
      <c r="D595" s="58"/>
      <c r="E595" s="50"/>
      <c r="F595" s="59"/>
      <c r="G595" s="60"/>
      <c r="H595" s="61" t="str">
        <f t="shared" si="1"/>
        <v/>
      </c>
    </row>
    <row r="596">
      <c r="A596" s="56"/>
      <c r="C596" s="57"/>
      <c r="D596" s="58"/>
      <c r="E596" s="50"/>
      <c r="F596" s="59"/>
      <c r="G596" s="60"/>
      <c r="H596" s="61" t="str">
        <f t="shared" si="1"/>
        <v/>
      </c>
    </row>
    <row r="597">
      <c r="A597" s="56"/>
      <c r="C597" s="57"/>
      <c r="D597" s="58"/>
      <c r="E597" s="50"/>
      <c r="F597" s="59"/>
      <c r="G597" s="60"/>
      <c r="H597" s="61" t="str">
        <f t="shared" si="1"/>
        <v/>
      </c>
    </row>
    <row r="598">
      <c r="A598" s="56"/>
      <c r="C598" s="57"/>
      <c r="D598" s="58"/>
      <c r="E598" s="50"/>
      <c r="F598" s="59"/>
      <c r="G598" s="60"/>
      <c r="H598" s="61" t="str">
        <f t="shared" si="1"/>
        <v/>
      </c>
    </row>
    <row r="599">
      <c r="A599" s="56"/>
      <c r="C599" s="57"/>
      <c r="D599" s="58"/>
      <c r="E599" s="50"/>
      <c r="F599" s="59"/>
      <c r="G599" s="60"/>
      <c r="H599" s="61" t="str">
        <f t="shared" si="1"/>
        <v/>
      </c>
    </row>
    <row r="600">
      <c r="A600" s="56"/>
      <c r="C600" s="57"/>
      <c r="D600" s="58"/>
      <c r="E600" s="50"/>
      <c r="F600" s="59"/>
      <c r="G600" s="60"/>
      <c r="H600" s="61" t="str">
        <f t="shared" si="1"/>
        <v/>
      </c>
    </row>
    <row r="601">
      <c r="A601" s="56"/>
      <c r="C601" s="57"/>
      <c r="D601" s="58"/>
      <c r="E601" s="50"/>
      <c r="F601" s="59"/>
      <c r="G601" s="60"/>
      <c r="H601" s="61" t="str">
        <f t="shared" si="1"/>
        <v/>
      </c>
    </row>
    <row r="602">
      <c r="A602" s="56"/>
      <c r="C602" s="57"/>
      <c r="D602" s="58"/>
      <c r="E602" s="50"/>
      <c r="F602" s="59"/>
      <c r="G602" s="60"/>
      <c r="H602" s="61" t="str">
        <f t="shared" si="1"/>
        <v/>
      </c>
    </row>
    <row r="603">
      <c r="A603" s="56"/>
      <c r="C603" s="57"/>
      <c r="D603" s="58"/>
      <c r="E603" s="50"/>
      <c r="F603" s="59"/>
      <c r="G603" s="60"/>
      <c r="H603" s="61" t="str">
        <f t="shared" si="1"/>
        <v/>
      </c>
    </row>
    <row r="604">
      <c r="A604" s="56"/>
      <c r="C604" s="57"/>
      <c r="D604" s="58"/>
      <c r="E604" s="50"/>
      <c r="F604" s="59"/>
      <c r="G604" s="60"/>
      <c r="H604" s="61" t="str">
        <f t="shared" si="1"/>
        <v/>
      </c>
    </row>
    <row r="605">
      <c r="A605" s="56"/>
      <c r="C605" s="57"/>
      <c r="D605" s="58"/>
      <c r="E605" s="50"/>
      <c r="F605" s="59"/>
      <c r="G605" s="60"/>
      <c r="H605" s="61" t="str">
        <f t="shared" si="1"/>
        <v/>
      </c>
    </row>
    <row r="606">
      <c r="A606" s="56"/>
      <c r="C606" s="57"/>
      <c r="D606" s="58"/>
      <c r="E606" s="50"/>
      <c r="F606" s="59"/>
      <c r="G606" s="60"/>
      <c r="H606" s="61" t="str">
        <f t="shared" si="1"/>
        <v/>
      </c>
    </row>
    <row r="607">
      <c r="A607" s="56"/>
      <c r="C607" s="57"/>
      <c r="D607" s="58"/>
      <c r="E607" s="50"/>
      <c r="F607" s="59"/>
      <c r="G607" s="60"/>
      <c r="H607" s="61" t="str">
        <f t="shared" si="1"/>
        <v/>
      </c>
    </row>
    <row r="608">
      <c r="A608" s="56"/>
      <c r="C608" s="57"/>
      <c r="D608" s="58"/>
      <c r="E608" s="50"/>
      <c r="F608" s="59"/>
      <c r="G608" s="60"/>
      <c r="H608" s="61" t="str">
        <f t="shared" si="1"/>
        <v/>
      </c>
    </row>
    <row r="609">
      <c r="A609" s="56"/>
      <c r="C609" s="57"/>
      <c r="D609" s="58"/>
      <c r="E609" s="50"/>
      <c r="F609" s="59"/>
      <c r="G609" s="60"/>
      <c r="H609" s="61" t="str">
        <f t="shared" si="1"/>
        <v/>
      </c>
    </row>
    <row r="610">
      <c r="A610" s="56"/>
      <c r="C610" s="57"/>
      <c r="D610" s="58"/>
      <c r="E610" s="50"/>
      <c r="F610" s="59"/>
      <c r="G610" s="60"/>
      <c r="H610" s="61" t="str">
        <f t="shared" si="1"/>
        <v/>
      </c>
    </row>
    <row r="611">
      <c r="A611" s="56"/>
      <c r="C611" s="57"/>
      <c r="D611" s="58"/>
      <c r="E611" s="50"/>
      <c r="F611" s="59"/>
      <c r="G611" s="60"/>
      <c r="H611" s="61" t="str">
        <f t="shared" si="1"/>
        <v/>
      </c>
    </row>
    <row r="612">
      <c r="A612" s="56"/>
      <c r="C612" s="57"/>
      <c r="D612" s="58"/>
      <c r="E612" s="50"/>
      <c r="F612" s="59"/>
      <c r="G612" s="60"/>
      <c r="H612" s="61" t="str">
        <f t="shared" si="1"/>
        <v/>
      </c>
    </row>
    <row r="613">
      <c r="A613" s="56"/>
      <c r="C613" s="57"/>
      <c r="D613" s="58"/>
      <c r="E613" s="50"/>
      <c r="F613" s="59"/>
      <c r="G613" s="60"/>
      <c r="H613" s="61" t="str">
        <f t="shared" si="1"/>
        <v/>
      </c>
    </row>
    <row r="614">
      <c r="A614" s="56"/>
      <c r="C614" s="57"/>
      <c r="D614" s="58"/>
      <c r="E614" s="50"/>
      <c r="F614" s="59"/>
      <c r="G614" s="60"/>
      <c r="H614" s="61" t="str">
        <f t="shared" si="1"/>
        <v/>
      </c>
    </row>
    <row r="615">
      <c r="A615" s="56"/>
      <c r="C615" s="57"/>
      <c r="D615" s="58"/>
      <c r="E615" s="50"/>
      <c r="F615" s="59"/>
      <c r="G615" s="60"/>
      <c r="H615" s="61" t="str">
        <f t="shared" si="1"/>
        <v/>
      </c>
    </row>
    <row r="616">
      <c r="A616" s="56"/>
      <c r="C616" s="57"/>
      <c r="D616" s="58"/>
      <c r="E616" s="50"/>
      <c r="F616" s="59"/>
      <c r="G616" s="60"/>
      <c r="H616" s="61" t="str">
        <f t="shared" si="1"/>
        <v/>
      </c>
    </row>
    <row r="617">
      <c r="A617" s="56"/>
      <c r="C617" s="57"/>
      <c r="D617" s="58"/>
      <c r="E617" s="50"/>
      <c r="F617" s="59"/>
      <c r="G617" s="60"/>
      <c r="H617" s="61" t="str">
        <f t="shared" si="1"/>
        <v/>
      </c>
    </row>
    <row r="618">
      <c r="A618" s="56"/>
      <c r="C618" s="57"/>
      <c r="D618" s="58"/>
      <c r="E618" s="50"/>
      <c r="F618" s="59"/>
      <c r="G618" s="60"/>
      <c r="H618" s="61" t="str">
        <f t="shared" si="1"/>
        <v/>
      </c>
    </row>
    <row r="619">
      <c r="A619" s="56"/>
      <c r="C619" s="57"/>
      <c r="D619" s="58"/>
      <c r="E619" s="50"/>
      <c r="F619" s="59"/>
      <c r="G619" s="60"/>
      <c r="H619" s="61" t="str">
        <f t="shared" si="1"/>
        <v/>
      </c>
    </row>
    <row r="620">
      <c r="A620" s="56"/>
      <c r="C620" s="57"/>
      <c r="D620" s="58"/>
      <c r="E620" s="50"/>
      <c r="F620" s="59"/>
      <c r="G620" s="60"/>
      <c r="H620" s="61" t="str">
        <f t="shared" si="1"/>
        <v/>
      </c>
    </row>
    <row r="621">
      <c r="A621" s="56"/>
      <c r="C621" s="57"/>
      <c r="D621" s="58"/>
      <c r="E621" s="50"/>
      <c r="F621" s="59"/>
      <c r="G621" s="60"/>
      <c r="H621" s="61" t="str">
        <f t="shared" si="1"/>
        <v/>
      </c>
    </row>
    <row r="622">
      <c r="A622" s="56"/>
      <c r="C622" s="57"/>
      <c r="D622" s="58"/>
      <c r="E622" s="50"/>
      <c r="F622" s="59"/>
      <c r="G622" s="60"/>
      <c r="H622" s="61" t="str">
        <f t="shared" si="1"/>
        <v/>
      </c>
    </row>
    <row r="623">
      <c r="A623" s="56"/>
      <c r="C623" s="57"/>
      <c r="D623" s="58"/>
      <c r="E623" s="50"/>
      <c r="F623" s="59"/>
      <c r="G623" s="60"/>
      <c r="H623" s="61" t="str">
        <f t="shared" si="1"/>
        <v/>
      </c>
    </row>
    <row r="624">
      <c r="A624" s="56"/>
      <c r="C624" s="57"/>
      <c r="D624" s="58"/>
      <c r="E624" s="50"/>
      <c r="F624" s="59"/>
      <c r="G624" s="60"/>
      <c r="H624" s="61" t="str">
        <f t="shared" si="1"/>
        <v/>
      </c>
    </row>
    <row r="625">
      <c r="A625" s="56"/>
      <c r="C625" s="57"/>
      <c r="D625" s="58"/>
      <c r="E625" s="50"/>
      <c r="F625" s="59"/>
      <c r="G625" s="60"/>
      <c r="H625" s="61" t="str">
        <f t="shared" si="1"/>
        <v/>
      </c>
    </row>
    <row r="626">
      <c r="A626" s="56"/>
      <c r="C626" s="57"/>
      <c r="D626" s="58"/>
      <c r="E626" s="50"/>
      <c r="F626" s="59"/>
      <c r="G626" s="60"/>
      <c r="H626" s="61" t="str">
        <f t="shared" si="1"/>
        <v/>
      </c>
    </row>
    <row r="627">
      <c r="A627" s="56"/>
      <c r="C627" s="57"/>
      <c r="D627" s="58"/>
      <c r="E627" s="50"/>
      <c r="F627" s="59"/>
      <c r="G627" s="60"/>
      <c r="H627" s="61" t="str">
        <f t="shared" si="1"/>
        <v/>
      </c>
    </row>
    <row r="628">
      <c r="A628" s="56"/>
      <c r="C628" s="57"/>
      <c r="D628" s="58"/>
      <c r="E628" s="50"/>
      <c r="F628" s="59"/>
      <c r="G628" s="60"/>
      <c r="H628" s="61" t="str">
        <f t="shared" si="1"/>
        <v/>
      </c>
    </row>
    <row r="629">
      <c r="A629" s="56"/>
      <c r="C629" s="57"/>
      <c r="D629" s="58"/>
      <c r="E629" s="50"/>
      <c r="F629" s="59"/>
      <c r="G629" s="60"/>
      <c r="H629" s="61" t="str">
        <f t="shared" si="1"/>
        <v/>
      </c>
    </row>
    <row r="630">
      <c r="A630" s="56"/>
      <c r="C630" s="57"/>
      <c r="D630" s="58"/>
      <c r="E630" s="50"/>
      <c r="F630" s="59"/>
      <c r="G630" s="60"/>
      <c r="H630" s="61" t="str">
        <f t="shared" si="1"/>
        <v/>
      </c>
    </row>
    <row r="631">
      <c r="A631" s="56"/>
      <c r="C631" s="57"/>
      <c r="D631" s="58"/>
      <c r="E631" s="50"/>
      <c r="F631" s="59"/>
      <c r="G631" s="60"/>
      <c r="H631" s="61" t="str">
        <f t="shared" si="1"/>
        <v/>
      </c>
    </row>
    <row r="632">
      <c r="A632" s="56"/>
      <c r="C632" s="57"/>
      <c r="D632" s="58"/>
      <c r="E632" s="50"/>
      <c r="F632" s="59"/>
      <c r="G632" s="60"/>
      <c r="H632" s="61" t="str">
        <f t="shared" si="1"/>
        <v/>
      </c>
    </row>
    <row r="633">
      <c r="A633" s="56"/>
      <c r="C633" s="57"/>
      <c r="D633" s="58"/>
      <c r="E633" s="50"/>
      <c r="F633" s="59"/>
      <c r="G633" s="60"/>
      <c r="H633" s="61" t="str">
        <f t="shared" si="1"/>
        <v/>
      </c>
    </row>
    <row r="634">
      <c r="A634" s="56"/>
      <c r="C634" s="57"/>
      <c r="D634" s="58"/>
      <c r="E634" s="50"/>
      <c r="F634" s="59"/>
      <c r="G634" s="60"/>
      <c r="H634" s="61" t="str">
        <f t="shared" si="1"/>
        <v/>
      </c>
    </row>
    <row r="635">
      <c r="A635" s="56"/>
      <c r="C635" s="57"/>
      <c r="D635" s="58"/>
      <c r="E635" s="50"/>
      <c r="F635" s="59"/>
      <c r="G635" s="60"/>
      <c r="H635" s="61" t="str">
        <f t="shared" si="1"/>
        <v/>
      </c>
    </row>
    <row r="636">
      <c r="A636" s="56"/>
      <c r="C636" s="57"/>
      <c r="D636" s="58"/>
      <c r="E636" s="50"/>
      <c r="F636" s="59"/>
      <c r="G636" s="60"/>
      <c r="H636" s="61" t="str">
        <f t="shared" si="1"/>
        <v/>
      </c>
    </row>
    <row r="637">
      <c r="A637" s="56"/>
      <c r="C637" s="57"/>
      <c r="D637" s="58"/>
      <c r="E637" s="50"/>
      <c r="F637" s="59"/>
      <c r="G637" s="60"/>
      <c r="H637" s="61" t="str">
        <f t="shared" si="1"/>
        <v/>
      </c>
    </row>
    <row r="638">
      <c r="A638" s="56"/>
      <c r="C638" s="57"/>
      <c r="D638" s="58"/>
      <c r="E638" s="50"/>
      <c r="F638" s="59"/>
      <c r="G638" s="60"/>
      <c r="H638" s="61" t="str">
        <f t="shared" si="1"/>
        <v/>
      </c>
    </row>
    <row r="639">
      <c r="A639" s="56"/>
      <c r="C639" s="57"/>
      <c r="D639" s="58"/>
      <c r="E639" s="50"/>
      <c r="F639" s="59"/>
      <c r="G639" s="60"/>
      <c r="H639" s="61" t="str">
        <f t="shared" si="1"/>
        <v/>
      </c>
    </row>
    <row r="640">
      <c r="A640" s="56"/>
      <c r="C640" s="57"/>
      <c r="D640" s="58"/>
      <c r="E640" s="50"/>
      <c r="F640" s="59"/>
      <c r="G640" s="60"/>
      <c r="H640" s="61" t="str">
        <f t="shared" si="1"/>
        <v/>
      </c>
    </row>
    <row r="641">
      <c r="A641" s="56"/>
      <c r="C641" s="57"/>
      <c r="D641" s="58"/>
      <c r="E641" s="50"/>
      <c r="F641" s="59"/>
      <c r="G641" s="60"/>
      <c r="H641" s="61" t="str">
        <f t="shared" si="1"/>
        <v/>
      </c>
    </row>
    <row r="642">
      <c r="A642" s="56"/>
      <c r="C642" s="57"/>
      <c r="D642" s="58"/>
      <c r="E642" s="50"/>
      <c r="F642" s="59"/>
      <c r="G642" s="60"/>
      <c r="H642" s="61" t="str">
        <f t="shared" si="1"/>
        <v/>
      </c>
    </row>
    <row r="643">
      <c r="A643" s="56"/>
      <c r="C643" s="57"/>
      <c r="D643" s="58"/>
      <c r="E643" s="50"/>
      <c r="F643" s="59"/>
      <c r="G643" s="60"/>
      <c r="H643" s="61" t="str">
        <f t="shared" si="1"/>
        <v/>
      </c>
    </row>
    <row r="644">
      <c r="A644" s="56"/>
      <c r="C644" s="57"/>
      <c r="D644" s="58"/>
      <c r="E644" s="50"/>
      <c r="F644" s="59"/>
      <c r="G644" s="60"/>
      <c r="H644" s="61" t="str">
        <f t="shared" si="1"/>
        <v/>
      </c>
    </row>
    <row r="645">
      <c r="A645" s="56"/>
      <c r="C645" s="57"/>
      <c r="D645" s="58"/>
      <c r="E645" s="50"/>
      <c r="F645" s="59"/>
      <c r="G645" s="60"/>
      <c r="H645" s="61" t="str">
        <f t="shared" si="1"/>
        <v/>
      </c>
    </row>
    <row r="646">
      <c r="A646" s="56"/>
      <c r="C646" s="57"/>
      <c r="D646" s="58"/>
      <c r="E646" s="50"/>
      <c r="F646" s="59"/>
      <c r="G646" s="60"/>
      <c r="H646" s="61" t="str">
        <f t="shared" si="1"/>
        <v/>
      </c>
    </row>
    <row r="647">
      <c r="A647" s="56"/>
      <c r="C647" s="57"/>
      <c r="D647" s="58"/>
      <c r="E647" s="50"/>
      <c r="F647" s="59"/>
      <c r="G647" s="60"/>
      <c r="H647" s="61" t="str">
        <f t="shared" si="1"/>
        <v/>
      </c>
    </row>
    <row r="648">
      <c r="A648" s="56"/>
      <c r="C648" s="57"/>
      <c r="D648" s="58"/>
      <c r="E648" s="50"/>
      <c r="F648" s="59"/>
      <c r="G648" s="60"/>
      <c r="H648" s="61" t="str">
        <f t="shared" si="1"/>
        <v/>
      </c>
    </row>
    <row r="649">
      <c r="A649" s="56"/>
      <c r="C649" s="57"/>
      <c r="D649" s="58"/>
      <c r="E649" s="50"/>
      <c r="F649" s="59"/>
      <c r="G649" s="60"/>
      <c r="H649" s="61" t="str">
        <f t="shared" si="1"/>
        <v/>
      </c>
    </row>
    <row r="650">
      <c r="A650" s="56"/>
      <c r="C650" s="57"/>
      <c r="D650" s="58"/>
      <c r="E650" s="50"/>
      <c r="F650" s="59"/>
      <c r="G650" s="60"/>
      <c r="H650" s="61" t="str">
        <f t="shared" si="1"/>
        <v/>
      </c>
    </row>
    <row r="651">
      <c r="A651" s="56"/>
      <c r="C651" s="57"/>
      <c r="D651" s="58"/>
      <c r="E651" s="50"/>
      <c r="F651" s="59"/>
      <c r="G651" s="60"/>
      <c r="H651" s="61" t="str">
        <f t="shared" si="1"/>
        <v/>
      </c>
    </row>
    <row r="652">
      <c r="A652" s="56"/>
      <c r="C652" s="57"/>
      <c r="D652" s="58"/>
      <c r="E652" s="50"/>
      <c r="F652" s="59"/>
      <c r="G652" s="60"/>
      <c r="H652" s="61" t="str">
        <f t="shared" si="1"/>
        <v/>
      </c>
    </row>
    <row r="653">
      <c r="A653" s="56"/>
      <c r="C653" s="57"/>
      <c r="D653" s="58"/>
      <c r="E653" s="50"/>
      <c r="F653" s="59"/>
      <c r="G653" s="60"/>
      <c r="H653" s="61" t="str">
        <f t="shared" si="1"/>
        <v/>
      </c>
    </row>
    <row r="654">
      <c r="A654" s="56"/>
      <c r="C654" s="57"/>
      <c r="D654" s="58"/>
      <c r="E654" s="50"/>
      <c r="F654" s="59"/>
      <c r="G654" s="60"/>
      <c r="H654" s="61" t="str">
        <f t="shared" si="1"/>
        <v/>
      </c>
    </row>
    <row r="655">
      <c r="A655" s="56"/>
      <c r="C655" s="57"/>
      <c r="D655" s="58"/>
      <c r="E655" s="50"/>
      <c r="F655" s="59"/>
      <c r="G655" s="60"/>
      <c r="H655" s="61" t="str">
        <f t="shared" si="1"/>
        <v/>
      </c>
    </row>
    <row r="656">
      <c r="A656" s="56"/>
      <c r="C656" s="57"/>
      <c r="D656" s="58"/>
      <c r="E656" s="50"/>
      <c r="F656" s="59"/>
      <c r="G656" s="60"/>
      <c r="H656" s="61" t="str">
        <f t="shared" si="1"/>
        <v/>
      </c>
    </row>
    <row r="657">
      <c r="A657" s="56"/>
      <c r="C657" s="57"/>
      <c r="D657" s="58"/>
      <c r="E657" s="50"/>
      <c r="F657" s="59"/>
      <c r="G657" s="60"/>
      <c r="H657" s="61" t="str">
        <f t="shared" si="1"/>
        <v/>
      </c>
    </row>
    <row r="658">
      <c r="A658" s="56"/>
      <c r="C658" s="57"/>
      <c r="D658" s="58"/>
      <c r="E658" s="50"/>
      <c r="F658" s="59"/>
      <c r="G658" s="60"/>
      <c r="H658" s="61" t="str">
        <f t="shared" si="1"/>
        <v/>
      </c>
    </row>
    <row r="659">
      <c r="A659" s="56"/>
      <c r="C659" s="57"/>
      <c r="D659" s="58"/>
      <c r="E659" s="50"/>
      <c r="F659" s="59"/>
      <c r="G659" s="60"/>
      <c r="H659" s="61" t="str">
        <f t="shared" si="1"/>
        <v/>
      </c>
    </row>
    <row r="660">
      <c r="A660" s="56"/>
      <c r="C660" s="57"/>
      <c r="D660" s="58"/>
      <c r="E660" s="50"/>
      <c r="F660" s="59"/>
      <c r="G660" s="60"/>
      <c r="H660" s="61" t="str">
        <f t="shared" si="1"/>
        <v/>
      </c>
    </row>
    <row r="661">
      <c r="A661" s="56"/>
      <c r="C661" s="57"/>
      <c r="D661" s="58"/>
      <c r="E661" s="50"/>
      <c r="F661" s="59"/>
      <c r="G661" s="60"/>
      <c r="H661" s="61" t="str">
        <f t="shared" si="1"/>
        <v/>
      </c>
    </row>
    <row r="662">
      <c r="A662" s="56"/>
      <c r="C662" s="57"/>
      <c r="D662" s="58"/>
      <c r="E662" s="50"/>
      <c r="F662" s="59"/>
      <c r="G662" s="60"/>
      <c r="H662" s="61" t="str">
        <f t="shared" si="1"/>
        <v/>
      </c>
    </row>
    <row r="663">
      <c r="A663" s="56"/>
      <c r="C663" s="57"/>
      <c r="D663" s="58"/>
      <c r="E663" s="50"/>
      <c r="F663" s="59"/>
      <c r="G663" s="60"/>
      <c r="H663" s="61" t="str">
        <f t="shared" si="1"/>
        <v/>
      </c>
    </row>
    <row r="664">
      <c r="A664" s="56"/>
      <c r="C664" s="57"/>
      <c r="D664" s="58"/>
      <c r="E664" s="50"/>
      <c r="F664" s="59"/>
      <c r="G664" s="60"/>
      <c r="H664" s="61" t="str">
        <f t="shared" si="1"/>
        <v/>
      </c>
    </row>
    <row r="665">
      <c r="A665" s="56"/>
      <c r="C665" s="57"/>
      <c r="D665" s="58"/>
      <c r="E665" s="50"/>
      <c r="F665" s="59"/>
      <c r="G665" s="60"/>
      <c r="H665" s="61" t="str">
        <f t="shared" si="1"/>
        <v/>
      </c>
    </row>
    <row r="666">
      <c r="A666" s="56"/>
      <c r="C666" s="57"/>
      <c r="D666" s="58"/>
      <c r="E666" s="50"/>
      <c r="F666" s="59"/>
      <c r="G666" s="60"/>
      <c r="H666" s="61" t="str">
        <f t="shared" si="1"/>
        <v/>
      </c>
    </row>
    <row r="667">
      <c r="A667" s="56"/>
      <c r="C667" s="57"/>
      <c r="D667" s="58"/>
      <c r="E667" s="50"/>
      <c r="F667" s="59"/>
      <c r="G667" s="60"/>
      <c r="H667" s="61" t="str">
        <f t="shared" si="1"/>
        <v/>
      </c>
    </row>
    <row r="668">
      <c r="A668" s="56"/>
      <c r="C668" s="57"/>
      <c r="D668" s="58"/>
      <c r="E668" s="50"/>
      <c r="F668" s="59"/>
      <c r="G668" s="60"/>
      <c r="H668" s="61" t="str">
        <f t="shared" si="1"/>
        <v/>
      </c>
    </row>
    <row r="669">
      <c r="A669" s="56"/>
      <c r="C669" s="57"/>
      <c r="D669" s="58"/>
      <c r="E669" s="50"/>
      <c r="F669" s="59"/>
      <c r="G669" s="60"/>
      <c r="H669" s="61" t="str">
        <f t="shared" si="1"/>
        <v/>
      </c>
    </row>
    <row r="670">
      <c r="A670" s="56"/>
      <c r="C670" s="57"/>
      <c r="D670" s="58"/>
      <c r="E670" s="50"/>
      <c r="F670" s="59"/>
      <c r="G670" s="60"/>
      <c r="H670" s="61" t="str">
        <f t="shared" si="1"/>
        <v/>
      </c>
    </row>
    <row r="671">
      <c r="A671" s="56"/>
      <c r="C671" s="57"/>
      <c r="D671" s="58"/>
      <c r="E671" s="50"/>
      <c r="F671" s="59"/>
      <c r="G671" s="60"/>
      <c r="H671" s="61" t="str">
        <f t="shared" si="1"/>
        <v/>
      </c>
    </row>
    <row r="672">
      <c r="A672" s="56"/>
      <c r="C672" s="57"/>
      <c r="D672" s="58"/>
      <c r="E672" s="50"/>
      <c r="F672" s="59"/>
      <c r="G672" s="60"/>
      <c r="H672" s="61" t="str">
        <f t="shared" si="1"/>
        <v/>
      </c>
    </row>
    <row r="673">
      <c r="A673" s="56"/>
      <c r="C673" s="57"/>
      <c r="D673" s="58"/>
      <c r="E673" s="50"/>
      <c r="F673" s="59"/>
      <c r="G673" s="60"/>
      <c r="H673" s="61" t="str">
        <f t="shared" si="1"/>
        <v/>
      </c>
    </row>
    <row r="674">
      <c r="A674" s="56"/>
      <c r="C674" s="57"/>
      <c r="D674" s="58"/>
      <c r="E674" s="50"/>
      <c r="F674" s="59"/>
      <c r="G674" s="60"/>
      <c r="H674" s="61" t="str">
        <f t="shared" si="1"/>
        <v/>
      </c>
    </row>
    <row r="675">
      <c r="A675" s="56"/>
      <c r="C675" s="57"/>
      <c r="D675" s="58"/>
      <c r="E675" s="50"/>
      <c r="F675" s="59"/>
      <c r="G675" s="60"/>
      <c r="H675" s="61" t="str">
        <f t="shared" si="1"/>
        <v/>
      </c>
    </row>
    <row r="676">
      <c r="A676" s="56"/>
      <c r="C676" s="57"/>
      <c r="D676" s="58"/>
      <c r="E676" s="50"/>
      <c r="F676" s="59"/>
      <c r="G676" s="60"/>
      <c r="H676" s="61" t="str">
        <f t="shared" si="1"/>
        <v/>
      </c>
    </row>
    <row r="677">
      <c r="A677" s="56"/>
      <c r="C677" s="57"/>
      <c r="D677" s="58"/>
      <c r="E677" s="50"/>
      <c r="F677" s="59"/>
      <c r="G677" s="60"/>
      <c r="H677" s="61" t="str">
        <f t="shared" si="1"/>
        <v/>
      </c>
    </row>
    <row r="678">
      <c r="A678" s="56"/>
      <c r="C678" s="57"/>
      <c r="D678" s="58"/>
      <c r="E678" s="50"/>
      <c r="F678" s="59"/>
      <c r="G678" s="60"/>
      <c r="H678" s="61" t="str">
        <f t="shared" si="1"/>
        <v/>
      </c>
    </row>
    <row r="679">
      <c r="A679" s="56"/>
      <c r="C679" s="57"/>
      <c r="D679" s="58"/>
      <c r="E679" s="50"/>
      <c r="F679" s="59"/>
      <c r="G679" s="60"/>
      <c r="H679" s="61" t="str">
        <f t="shared" si="1"/>
        <v/>
      </c>
    </row>
    <row r="680">
      <c r="A680" s="56"/>
      <c r="C680" s="57"/>
      <c r="D680" s="58"/>
      <c r="E680" s="50"/>
      <c r="F680" s="59"/>
      <c r="G680" s="60"/>
      <c r="H680" s="61" t="str">
        <f t="shared" si="1"/>
        <v/>
      </c>
    </row>
    <row r="681">
      <c r="A681" s="56"/>
      <c r="C681" s="57"/>
      <c r="D681" s="58"/>
      <c r="E681" s="50"/>
      <c r="F681" s="59"/>
      <c r="G681" s="60"/>
      <c r="H681" s="61" t="str">
        <f t="shared" si="1"/>
        <v/>
      </c>
    </row>
    <row r="682">
      <c r="A682" s="56"/>
      <c r="C682" s="57"/>
      <c r="D682" s="58"/>
      <c r="E682" s="50"/>
      <c r="F682" s="59"/>
      <c r="G682" s="60"/>
      <c r="H682" s="61" t="str">
        <f t="shared" si="1"/>
        <v/>
      </c>
    </row>
    <row r="683">
      <c r="A683" s="56"/>
      <c r="C683" s="57"/>
      <c r="D683" s="58"/>
      <c r="E683" s="50"/>
      <c r="F683" s="59"/>
      <c r="G683" s="60"/>
      <c r="H683" s="61" t="str">
        <f t="shared" si="1"/>
        <v/>
      </c>
    </row>
    <row r="684">
      <c r="A684" s="56"/>
      <c r="C684" s="57"/>
      <c r="D684" s="58"/>
      <c r="E684" s="50"/>
      <c r="F684" s="59"/>
      <c r="G684" s="60"/>
      <c r="H684" s="61" t="str">
        <f t="shared" si="1"/>
        <v/>
      </c>
    </row>
    <row r="685">
      <c r="A685" s="56"/>
      <c r="C685" s="57"/>
      <c r="D685" s="58"/>
      <c r="E685" s="50"/>
      <c r="F685" s="59"/>
      <c r="G685" s="60"/>
      <c r="H685" s="61" t="str">
        <f t="shared" si="1"/>
        <v/>
      </c>
    </row>
    <row r="686">
      <c r="A686" s="56"/>
      <c r="C686" s="57"/>
      <c r="D686" s="58"/>
      <c r="E686" s="50"/>
      <c r="F686" s="59"/>
      <c r="G686" s="60"/>
      <c r="H686" s="61" t="str">
        <f t="shared" si="1"/>
        <v/>
      </c>
    </row>
    <row r="687">
      <c r="A687" s="56"/>
      <c r="C687" s="57"/>
      <c r="D687" s="58"/>
      <c r="E687" s="50"/>
      <c r="F687" s="59"/>
      <c r="G687" s="60"/>
      <c r="H687" s="61" t="str">
        <f t="shared" si="1"/>
        <v/>
      </c>
    </row>
    <row r="688">
      <c r="A688" s="56"/>
      <c r="C688" s="57"/>
      <c r="D688" s="58"/>
      <c r="E688" s="50"/>
      <c r="F688" s="59"/>
      <c r="G688" s="60"/>
      <c r="H688" s="61" t="str">
        <f t="shared" si="1"/>
        <v/>
      </c>
    </row>
    <row r="689">
      <c r="A689" s="56"/>
      <c r="C689" s="57"/>
      <c r="D689" s="58"/>
      <c r="E689" s="50"/>
      <c r="F689" s="59"/>
      <c r="G689" s="60"/>
      <c r="H689" s="61" t="str">
        <f t="shared" si="1"/>
        <v/>
      </c>
    </row>
    <row r="690">
      <c r="A690" s="56"/>
      <c r="C690" s="57"/>
      <c r="D690" s="58"/>
      <c r="E690" s="50"/>
      <c r="F690" s="59"/>
      <c r="G690" s="60"/>
      <c r="H690" s="61" t="str">
        <f t="shared" si="1"/>
        <v/>
      </c>
    </row>
    <row r="691">
      <c r="A691" s="56"/>
      <c r="C691" s="57"/>
      <c r="D691" s="58"/>
      <c r="E691" s="50"/>
      <c r="F691" s="59"/>
      <c r="G691" s="60"/>
      <c r="H691" s="61" t="str">
        <f t="shared" si="1"/>
        <v/>
      </c>
    </row>
    <row r="692">
      <c r="A692" s="56"/>
      <c r="C692" s="57"/>
      <c r="D692" s="58"/>
      <c r="E692" s="50"/>
      <c r="F692" s="59"/>
      <c r="G692" s="60"/>
      <c r="H692" s="61" t="str">
        <f t="shared" si="1"/>
        <v/>
      </c>
    </row>
    <row r="693">
      <c r="A693" s="56"/>
      <c r="C693" s="57"/>
      <c r="D693" s="58"/>
      <c r="E693" s="50"/>
      <c r="F693" s="59"/>
      <c r="G693" s="60"/>
      <c r="H693" s="61" t="str">
        <f t="shared" si="1"/>
        <v/>
      </c>
    </row>
    <row r="694">
      <c r="A694" s="56"/>
      <c r="C694" s="57"/>
      <c r="D694" s="58"/>
      <c r="E694" s="50"/>
      <c r="F694" s="59"/>
      <c r="G694" s="60"/>
      <c r="H694" s="61" t="str">
        <f t="shared" si="1"/>
        <v/>
      </c>
    </row>
    <row r="695">
      <c r="A695" s="56"/>
      <c r="C695" s="57"/>
      <c r="D695" s="58"/>
      <c r="E695" s="50"/>
      <c r="F695" s="59"/>
      <c r="G695" s="60"/>
      <c r="H695" s="61" t="str">
        <f t="shared" si="1"/>
        <v/>
      </c>
    </row>
    <row r="696">
      <c r="A696" s="56"/>
      <c r="C696" s="57"/>
      <c r="D696" s="58"/>
      <c r="E696" s="50"/>
      <c r="F696" s="59"/>
      <c r="G696" s="60"/>
      <c r="H696" s="61" t="str">
        <f t="shared" si="1"/>
        <v/>
      </c>
    </row>
    <row r="697">
      <c r="A697" s="56"/>
      <c r="C697" s="57"/>
      <c r="D697" s="58"/>
      <c r="E697" s="50"/>
      <c r="F697" s="59"/>
      <c r="G697" s="60"/>
      <c r="H697" s="61" t="str">
        <f t="shared" si="1"/>
        <v/>
      </c>
    </row>
    <row r="698">
      <c r="A698" s="56"/>
      <c r="C698" s="57"/>
      <c r="D698" s="58"/>
      <c r="E698" s="50"/>
      <c r="F698" s="59"/>
      <c r="G698" s="60"/>
      <c r="H698" s="61" t="str">
        <f t="shared" si="1"/>
        <v/>
      </c>
    </row>
    <row r="699">
      <c r="A699" s="56"/>
      <c r="C699" s="57"/>
      <c r="D699" s="58"/>
      <c r="E699" s="50"/>
      <c r="F699" s="59"/>
      <c r="G699" s="60"/>
      <c r="H699" s="61" t="str">
        <f t="shared" si="1"/>
        <v/>
      </c>
    </row>
    <row r="700">
      <c r="A700" s="56"/>
      <c r="C700" s="57"/>
      <c r="D700" s="58"/>
      <c r="E700" s="50"/>
      <c r="F700" s="59"/>
      <c r="G700" s="60"/>
      <c r="H700" s="61" t="str">
        <f t="shared" si="1"/>
        <v/>
      </c>
    </row>
    <row r="701">
      <c r="A701" s="56"/>
      <c r="C701" s="57"/>
      <c r="D701" s="58"/>
      <c r="E701" s="50"/>
      <c r="F701" s="59"/>
      <c r="G701" s="60"/>
      <c r="H701" s="61" t="str">
        <f t="shared" si="1"/>
        <v/>
      </c>
    </row>
    <row r="702">
      <c r="A702" s="56"/>
      <c r="C702" s="57"/>
      <c r="D702" s="58"/>
      <c r="E702" s="50"/>
      <c r="F702" s="59"/>
      <c r="G702" s="60"/>
      <c r="H702" s="61" t="str">
        <f t="shared" si="1"/>
        <v/>
      </c>
    </row>
    <row r="703">
      <c r="A703" s="56"/>
      <c r="C703" s="57"/>
      <c r="D703" s="58"/>
      <c r="E703" s="50"/>
      <c r="F703" s="59"/>
      <c r="G703" s="60"/>
      <c r="H703" s="61" t="str">
        <f t="shared" si="1"/>
        <v/>
      </c>
    </row>
    <row r="704">
      <c r="A704" s="56"/>
      <c r="C704" s="57"/>
      <c r="D704" s="58"/>
      <c r="E704" s="50"/>
      <c r="F704" s="59"/>
      <c r="G704" s="60"/>
      <c r="H704" s="61" t="str">
        <f t="shared" si="1"/>
        <v/>
      </c>
    </row>
    <row r="705">
      <c r="A705" s="56"/>
      <c r="C705" s="57"/>
      <c r="D705" s="58"/>
      <c r="E705" s="50"/>
      <c r="F705" s="59"/>
      <c r="G705" s="60"/>
      <c r="H705" s="61" t="str">
        <f t="shared" si="1"/>
        <v/>
      </c>
    </row>
    <row r="706">
      <c r="A706" s="56"/>
      <c r="C706" s="57"/>
      <c r="D706" s="58"/>
      <c r="E706" s="50"/>
      <c r="F706" s="59"/>
      <c r="G706" s="60"/>
      <c r="H706" s="61" t="str">
        <f t="shared" si="1"/>
        <v/>
      </c>
    </row>
    <row r="707">
      <c r="A707" s="56"/>
      <c r="C707" s="57"/>
      <c r="D707" s="58"/>
      <c r="E707" s="50"/>
      <c r="F707" s="59"/>
      <c r="G707" s="60"/>
      <c r="H707" s="61" t="str">
        <f t="shared" si="1"/>
        <v/>
      </c>
    </row>
    <row r="708">
      <c r="A708" s="56"/>
      <c r="C708" s="57"/>
      <c r="D708" s="58"/>
      <c r="E708" s="50"/>
      <c r="F708" s="59"/>
      <c r="G708" s="60"/>
      <c r="H708" s="61" t="str">
        <f t="shared" si="1"/>
        <v/>
      </c>
    </row>
    <row r="709">
      <c r="A709" s="56"/>
      <c r="C709" s="57"/>
      <c r="D709" s="58"/>
      <c r="E709" s="50"/>
      <c r="F709" s="59"/>
      <c r="G709" s="60"/>
      <c r="H709" s="61" t="str">
        <f t="shared" si="1"/>
        <v/>
      </c>
    </row>
    <row r="710">
      <c r="A710" s="56"/>
      <c r="C710" s="57"/>
      <c r="D710" s="58"/>
      <c r="E710" s="50"/>
      <c r="F710" s="59"/>
      <c r="G710" s="60"/>
      <c r="H710" s="61" t="str">
        <f t="shared" si="1"/>
        <v/>
      </c>
    </row>
    <row r="711">
      <c r="A711" s="56"/>
      <c r="C711" s="57"/>
      <c r="D711" s="58"/>
      <c r="E711" s="50"/>
      <c r="F711" s="59"/>
      <c r="G711" s="60"/>
      <c r="H711" s="61" t="str">
        <f t="shared" si="1"/>
        <v/>
      </c>
    </row>
    <row r="712">
      <c r="A712" s="56"/>
      <c r="C712" s="57"/>
      <c r="D712" s="58"/>
      <c r="E712" s="50"/>
      <c r="F712" s="59"/>
      <c r="G712" s="60"/>
      <c r="H712" s="61" t="str">
        <f t="shared" si="1"/>
        <v/>
      </c>
    </row>
    <row r="713">
      <c r="A713" s="56"/>
      <c r="C713" s="57"/>
      <c r="D713" s="58"/>
      <c r="E713" s="50"/>
      <c r="F713" s="59"/>
      <c r="G713" s="60"/>
      <c r="H713" s="61" t="str">
        <f t="shared" si="1"/>
        <v/>
      </c>
    </row>
    <row r="714">
      <c r="A714" s="56"/>
      <c r="C714" s="57"/>
      <c r="D714" s="58"/>
      <c r="E714" s="50"/>
      <c r="F714" s="59"/>
      <c r="G714" s="60"/>
      <c r="H714" s="61" t="str">
        <f t="shared" si="1"/>
        <v/>
      </c>
    </row>
    <row r="715">
      <c r="A715" s="56"/>
      <c r="C715" s="57"/>
      <c r="D715" s="58"/>
      <c r="E715" s="50"/>
      <c r="F715" s="59"/>
      <c r="G715" s="60"/>
      <c r="H715" s="61" t="str">
        <f t="shared" si="1"/>
        <v/>
      </c>
    </row>
    <row r="716">
      <c r="A716" s="56"/>
      <c r="C716" s="57"/>
      <c r="D716" s="58"/>
      <c r="E716" s="50"/>
      <c r="F716" s="59"/>
      <c r="G716" s="60"/>
      <c r="H716" s="61" t="str">
        <f t="shared" si="1"/>
        <v/>
      </c>
    </row>
    <row r="717">
      <c r="A717" s="56"/>
      <c r="C717" s="57"/>
      <c r="D717" s="58"/>
      <c r="E717" s="50"/>
      <c r="F717" s="59"/>
      <c r="G717" s="60"/>
      <c r="H717" s="61" t="str">
        <f t="shared" si="1"/>
        <v/>
      </c>
    </row>
    <row r="718">
      <c r="A718" s="56"/>
      <c r="C718" s="57"/>
      <c r="D718" s="58"/>
      <c r="E718" s="50"/>
      <c r="F718" s="59"/>
      <c r="G718" s="60"/>
      <c r="H718" s="61" t="str">
        <f t="shared" si="1"/>
        <v/>
      </c>
    </row>
    <row r="719">
      <c r="A719" s="56"/>
      <c r="C719" s="57"/>
      <c r="D719" s="58"/>
      <c r="E719" s="50"/>
      <c r="F719" s="59"/>
      <c r="G719" s="60"/>
      <c r="H719" s="61" t="str">
        <f t="shared" si="1"/>
        <v/>
      </c>
    </row>
    <row r="720">
      <c r="A720" s="56"/>
      <c r="C720" s="57"/>
      <c r="D720" s="58"/>
      <c r="E720" s="50"/>
      <c r="F720" s="59"/>
      <c r="G720" s="60"/>
      <c r="H720" s="61" t="str">
        <f t="shared" si="1"/>
        <v/>
      </c>
    </row>
    <row r="721">
      <c r="A721" s="56"/>
      <c r="C721" s="57"/>
      <c r="D721" s="58"/>
      <c r="E721" s="50"/>
      <c r="F721" s="59"/>
      <c r="G721" s="60"/>
      <c r="H721" s="61" t="str">
        <f t="shared" si="1"/>
        <v/>
      </c>
    </row>
    <row r="722">
      <c r="A722" s="56"/>
      <c r="C722" s="57"/>
      <c r="D722" s="58"/>
      <c r="E722" s="50"/>
      <c r="F722" s="59"/>
      <c r="G722" s="60"/>
      <c r="H722" s="61" t="str">
        <f t="shared" si="1"/>
        <v/>
      </c>
    </row>
    <row r="723">
      <c r="A723" s="56"/>
      <c r="C723" s="57"/>
      <c r="D723" s="58"/>
      <c r="E723" s="50"/>
      <c r="F723" s="59"/>
      <c r="G723" s="60"/>
      <c r="H723" s="61" t="str">
        <f t="shared" si="1"/>
        <v/>
      </c>
    </row>
    <row r="724">
      <c r="A724" s="56"/>
      <c r="C724" s="57"/>
      <c r="D724" s="58"/>
      <c r="E724" s="50"/>
      <c r="F724" s="59"/>
      <c r="G724" s="60"/>
      <c r="H724" s="61" t="str">
        <f t="shared" si="1"/>
        <v/>
      </c>
    </row>
    <row r="725">
      <c r="A725" s="56"/>
      <c r="C725" s="57"/>
      <c r="D725" s="58"/>
      <c r="E725" s="50"/>
      <c r="F725" s="59"/>
      <c r="G725" s="60"/>
      <c r="H725" s="61" t="str">
        <f t="shared" si="1"/>
        <v/>
      </c>
    </row>
    <row r="726">
      <c r="A726" s="56"/>
      <c r="C726" s="57"/>
      <c r="D726" s="58"/>
      <c r="E726" s="50"/>
      <c r="F726" s="59"/>
      <c r="G726" s="60"/>
      <c r="H726" s="61" t="str">
        <f t="shared" si="1"/>
        <v/>
      </c>
    </row>
    <row r="727">
      <c r="A727" s="56"/>
      <c r="C727" s="57"/>
      <c r="D727" s="58"/>
      <c r="E727" s="50"/>
      <c r="F727" s="59"/>
      <c r="G727" s="60"/>
      <c r="H727" s="61" t="str">
        <f t="shared" si="1"/>
        <v/>
      </c>
    </row>
    <row r="728">
      <c r="A728" s="56"/>
      <c r="C728" s="57"/>
      <c r="D728" s="58"/>
      <c r="E728" s="50"/>
      <c r="F728" s="59"/>
      <c r="G728" s="60"/>
      <c r="H728" s="61" t="str">
        <f t="shared" si="1"/>
        <v/>
      </c>
    </row>
    <row r="729">
      <c r="A729" s="56"/>
      <c r="C729" s="57"/>
      <c r="D729" s="58"/>
      <c r="E729" s="50"/>
      <c r="F729" s="59"/>
      <c r="G729" s="60"/>
      <c r="H729" s="61" t="str">
        <f t="shared" si="1"/>
        <v/>
      </c>
    </row>
    <row r="730">
      <c r="A730" s="56"/>
      <c r="C730" s="57"/>
      <c r="D730" s="58"/>
      <c r="E730" s="50"/>
      <c r="F730" s="59"/>
      <c r="G730" s="60"/>
      <c r="H730" s="61" t="str">
        <f t="shared" si="1"/>
        <v/>
      </c>
    </row>
    <row r="731">
      <c r="A731" s="56"/>
      <c r="C731" s="57"/>
      <c r="D731" s="58"/>
      <c r="E731" s="50"/>
      <c r="F731" s="59"/>
      <c r="G731" s="60"/>
      <c r="H731" s="61" t="str">
        <f t="shared" si="1"/>
        <v/>
      </c>
    </row>
    <row r="732">
      <c r="A732" s="56"/>
      <c r="C732" s="57"/>
      <c r="D732" s="58"/>
      <c r="E732" s="50"/>
      <c r="F732" s="59"/>
      <c r="G732" s="60"/>
      <c r="H732" s="61" t="str">
        <f t="shared" si="1"/>
        <v/>
      </c>
    </row>
    <row r="733">
      <c r="A733" s="56"/>
      <c r="C733" s="57"/>
      <c r="D733" s="58"/>
      <c r="E733" s="50"/>
      <c r="F733" s="59"/>
      <c r="G733" s="60"/>
      <c r="H733" s="61" t="str">
        <f t="shared" si="1"/>
        <v/>
      </c>
    </row>
    <row r="734">
      <c r="A734" s="56"/>
      <c r="C734" s="57"/>
      <c r="D734" s="58"/>
      <c r="E734" s="50"/>
      <c r="F734" s="59"/>
      <c r="G734" s="60"/>
      <c r="H734" s="61" t="str">
        <f t="shared" si="1"/>
        <v/>
      </c>
    </row>
    <row r="735">
      <c r="A735" s="56"/>
      <c r="C735" s="57"/>
      <c r="D735" s="58"/>
      <c r="E735" s="50"/>
      <c r="F735" s="59"/>
      <c r="G735" s="60"/>
      <c r="H735" s="61" t="str">
        <f t="shared" si="1"/>
        <v/>
      </c>
    </row>
    <row r="736">
      <c r="A736" s="56"/>
      <c r="C736" s="57"/>
      <c r="D736" s="58"/>
      <c r="E736" s="50"/>
      <c r="F736" s="59"/>
      <c r="G736" s="60"/>
      <c r="H736" s="61" t="str">
        <f t="shared" si="1"/>
        <v/>
      </c>
    </row>
    <row r="737">
      <c r="A737" s="56"/>
      <c r="C737" s="57"/>
      <c r="D737" s="58"/>
      <c r="E737" s="50"/>
      <c r="F737" s="59"/>
      <c r="G737" s="60"/>
      <c r="H737" s="61" t="str">
        <f t="shared" si="1"/>
        <v/>
      </c>
    </row>
    <row r="738">
      <c r="A738" s="56"/>
      <c r="C738" s="57"/>
      <c r="D738" s="58"/>
      <c r="E738" s="50"/>
      <c r="F738" s="59"/>
      <c r="G738" s="60"/>
      <c r="H738" s="61" t="str">
        <f t="shared" si="1"/>
        <v/>
      </c>
    </row>
    <row r="739">
      <c r="A739" s="56"/>
      <c r="C739" s="57"/>
      <c r="D739" s="58"/>
      <c r="E739" s="50"/>
      <c r="F739" s="59"/>
      <c r="G739" s="60"/>
      <c r="H739" s="61" t="str">
        <f t="shared" si="1"/>
        <v/>
      </c>
    </row>
    <row r="740">
      <c r="A740" s="56"/>
      <c r="C740" s="57"/>
      <c r="D740" s="58"/>
      <c r="E740" s="50"/>
      <c r="F740" s="59"/>
      <c r="G740" s="60"/>
      <c r="H740" s="61" t="str">
        <f t="shared" si="1"/>
        <v/>
      </c>
    </row>
    <row r="741">
      <c r="A741" s="56"/>
      <c r="C741" s="57"/>
      <c r="D741" s="58"/>
      <c r="E741" s="50"/>
      <c r="F741" s="59"/>
      <c r="G741" s="60"/>
      <c r="H741" s="61" t="str">
        <f t="shared" si="1"/>
        <v/>
      </c>
    </row>
    <row r="742">
      <c r="A742" s="56"/>
      <c r="C742" s="57"/>
      <c r="D742" s="58"/>
      <c r="E742" s="50"/>
      <c r="F742" s="59"/>
      <c r="G742" s="60"/>
      <c r="H742" s="61" t="str">
        <f t="shared" si="1"/>
        <v/>
      </c>
    </row>
    <row r="743">
      <c r="A743" s="56"/>
      <c r="C743" s="57"/>
      <c r="D743" s="58"/>
      <c r="E743" s="50"/>
      <c r="F743" s="59"/>
      <c r="G743" s="60"/>
      <c r="H743" s="61" t="str">
        <f t="shared" si="1"/>
        <v/>
      </c>
    </row>
    <row r="744">
      <c r="A744" s="56"/>
      <c r="C744" s="57"/>
      <c r="D744" s="58"/>
      <c r="E744" s="50"/>
      <c r="F744" s="59"/>
      <c r="G744" s="60"/>
      <c r="H744" s="61" t="str">
        <f t="shared" si="1"/>
        <v/>
      </c>
    </row>
    <row r="745">
      <c r="A745" s="56"/>
      <c r="C745" s="57"/>
      <c r="D745" s="58"/>
      <c r="E745" s="50"/>
      <c r="F745" s="59"/>
      <c r="G745" s="60"/>
      <c r="H745" s="61" t="str">
        <f t="shared" si="1"/>
        <v/>
      </c>
    </row>
    <row r="746">
      <c r="A746" s="56"/>
      <c r="C746" s="57"/>
      <c r="D746" s="58"/>
      <c r="E746" s="50"/>
      <c r="F746" s="59"/>
      <c r="G746" s="60"/>
      <c r="H746" s="61" t="str">
        <f t="shared" si="1"/>
        <v/>
      </c>
    </row>
    <row r="747">
      <c r="A747" s="56"/>
      <c r="C747" s="57"/>
      <c r="D747" s="58"/>
      <c r="E747" s="50"/>
      <c r="F747" s="59"/>
      <c r="G747" s="60"/>
      <c r="H747" s="61" t="str">
        <f t="shared" si="1"/>
        <v/>
      </c>
    </row>
    <row r="748">
      <c r="A748" s="56"/>
      <c r="C748" s="57"/>
      <c r="D748" s="58"/>
      <c r="E748" s="50"/>
      <c r="F748" s="59"/>
      <c r="G748" s="60"/>
      <c r="H748" s="61" t="str">
        <f t="shared" si="1"/>
        <v/>
      </c>
    </row>
    <row r="749">
      <c r="A749" s="56"/>
      <c r="C749" s="57"/>
      <c r="D749" s="58"/>
      <c r="E749" s="50"/>
      <c r="F749" s="59"/>
      <c r="G749" s="60"/>
      <c r="H749" s="61" t="str">
        <f t="shared" si="1"/>
        <v/>
      </c>
    </row>
    <row r="750">
      <c r="A750" s="56"/>
      <c r="C750" s="57"/>
      <c r="D750" s="58"/>
      <c r="E750" s="50"/>
      <c r="F750" s="59"/>
      <c r="G750" s="60"/>
      <c r="H750" s="61" t="str">
        <f t="shared" si="1"/>
        <v/>
      </c>
    </row>
    <row r="751">
      <c r="A751" s="56"/>
      <c r="C751" s="57"/>
      <c r="D751" s="58"/>
      <c r="E751" s="50"/>
      <c r="F751" s="59"/>
      <c r="G751" s="60"/>
      <c r="H751" s="61" t="str">
        <f t="shared" si="1"/>
        <v/>
      </c>
    </row>
    <row r="752">
      <c r="A752" s="56"/>
      <c r="C752" s="57"/>
      <c r="D752" s="58"/>
      <c r="E752" s="50"/>
      <c r="F752" s="59"/>
      <c r="G752" s="60"/>
      <c r="H752" s="61" t="str">
        <f t="shared" si="1"/>
        <v/>
      </c>
    </row>
    <row r="753">
      <c r="A753" s="56"/>
      <c r="C753" s="57"/>
      <c r="D753" s="58"/>
      <c r="E753" s="50"/>
      <c r="F753" s="59"/>
      <c r="G753" s="60"/>
      <c r="H753" s="61" t="str">
        <f t="shared" si="1"/>
        <v/>
      </c>
    </row>
    <row r="754">
      <c r="A754" s="56"/>
      <c r="C754" s="57"/>
      <c r="D754" s="58"/>
      <c r="E754" s="50"/>
      <c r="F754" s="59"/>
      <c r="G754" s="60"/>
      <c r="H754" s="61" t="str">
        <f t="shared" si="1"/>
        <v/>
      </c>
    </row>
    <row r="755">
      <c r="A755" s="56"/>
      <c r="C755" s="57"/>
      <c r="D755" s="58"/>
      <c r="E755" s="50"/>
      <c r="F755" s="59"/>
      <c r="G755" s="60"/>
      <c r="H755" s="61" t="str">
        <f t="shared" si="1"/>
        <v/>
      </c>
    </row>
    <row r="756">
      <c r="A756" s="56"/>
      <c r="C756" s="57"/>
      <c r="D756" s="58"/>
      <c r="E756" s="50"/>
      <c r="F756" s="59"/>
      <c r="G756" s="60"/>
      <c r="H756" s="61" t="str">
        <f t="shared" si="1"/>
        <v/>
      </c>
    </row>
    <row r="757">
      <c r="A757" s="56"/>
      <c r="C757" s="57"/>
      <c r="D757" s="58"/>
      <c r="E757" s="50"/>
      <c r="F757" s="59"/>
      <c r="G757" s="60"/>
      <c r="H757" s="61" t="str">
        <f t="shared" si="1"/>
        <v/>
      </c>
    </row>
    <row r="758">
      <c r="A758" s="56"/>
      <c r="C758" s="57"/>
      <c r="D758" s="58"/>
      <c r="E758" s="50"/>
      <c r="F758" s="59"/>
      <c r="G758" s="60"/>
      <c r="H758" s="61" t="str">
        <f t="shared" si="1"/>
        <v/>
      </c>
    </row>
    <row r="759">
      <c r="A759" s="56"/>
      <c r="C759" s="57"/>
      <c r="D759" s="58"/>
      <c r="E759" s="50"/>
      <c r="F759" s="59"/>
      <c r="G759" s="60"/>
      <c r="H759" s="61" t="str">
        <f t="shared" si="1"/>
        <v/>
      </c>
    </row>
    <row r="760">
      <c r="A760" s="56"/>
      <c r="C760" s="57"/>
      <c r="D760" s="58"/>
      <c r="E760" s="50"/>
      <c r="F760" s="59"/>
      <c r="G760" s="60"/>
      <c r="H760" s="61" t="str">
        <f t="shared" si="1"/>
        <v/>
      </c>
    </row>
    <row r="761">
      <c r="A761" s="56"/>
      <c r="C761" s="57"/>
      <c r="D761" s="58"/>
      <c r="E761" s="50"/>
      <c r="F761" s="59"/>
      <c r="G761" s="60"/>
      <c r="H761" s="61" t="str">
        <f t="shared" si="1"/>
        <v/>
      </c>
    </row>
    <row r="762">
      <c r="A762" s="56"/>
      <c r="C762" s="57"/>
      <c r="D762" s="58"/>
      <c r="E762" s="50"/>
      <c r="F762" s="59"/>
      <c r="G762" s="60"/>
      <c r="H762" s="61" t="str">
        <f t="shared" si="1"/>
        <v/>
      </c>
    </row>
    <row r="763">
      <c r="A763" s="56"/>
      <c r="C763" s="57"/>
      <c r="D763" s="58"/>
      <c r="E763" s="50"/>
      <c r="F763" s="59"/>
      <c r="G763" s="60"/>
      <c r="H763" s="61" t="str">
        <f t="shared" si="1"/>
        <v/>
      </c>
    </row>
    <row r="764">
      <c r="A764" s="56"/>
      <c r="C764" s="57"/>
      <c r="D764" s="58"/>
      <c r="E764" s="50"/>
      <c r="F764" s="59"/>
      <c r="G764" s="60"/>
      <c r="H764" s="61" t="str">
        <f t="shared" si="1"/>
        <v/>
      </c>
    </row>
    <row r="765">
      <c r="A765" s="56"/>
      <c r="C765" s="57"/>
      <c r="D765" s="58"/>
      <c r="E765" s="50"/>
      <c r="F765" s="59"/>
      <c r="G765" s="60"/>
      <c r="H765" s="61" t="str">
        <f t="shared" si="1"/>
        <v/>
      </c>
    </row>
    <row r="766">
      <c r="A766" s="56"/>
      <c r="C766" s="57"/>
      <c r="D766" s="58"/>
      <c r="E766" s="50"/>
      <c r="F766" s="59"/>
      <c r="G766" s="60"/>
      <c r="H766" s="61" t="str">
        <f t="shared" si="1"/>
        <v/>
      </c>
    </row>
    <row r="767">
      <c r="A767" s="56"/>
      <c r="C767" s="57"/>
      <c r="D767" s="58"/>
      <c r="E767" s="50"/>
      <c r="F767" s="59"/>
      <c r="G767" s="60"/>
      <c r="H767" s="61" t="str">
        <f t="shared" si="1"/>
        <v/>
      </c>
    </row>
    <row r="768">
      <c r="A768" s="56"/>
      <c r="C768" s="57"/>
      <c r="D768" s="58"/>
      <c r="E768" s="50"/>
      <c r="F768" s="59"/>
      <c r="G768" s="60"/>
      <c r="H768" s="61" t="str">
        <f t="shared" si="1"/>
        <v/>
      </c>
    </row>
    <row r="769">
      <c r="A769" s="56"/>
      <c r="C769" s="57"/>
      <c r="D769" s="58"/>
      <c r="E769" s="50"/>
      <c r="F769" s="59"/>
      <c r="G769" s="60"/>
      <c r="H769" s="61" t="str">
        <f t="shared" si="1"/>
        <v/>
      </c>
    </row>
    <row r="770">
      <c r="A770" s="56"/>
      <c r="C770" s="57"/>
      <c r="D770" s="58"/>
      <c r="E770" s="50"/>
      <c r="F770" s="59"/>
      <c r="G770" s="60"/>
      <c r="H770" s="61" t="str">
        <f t="shared" si="1"/>
        <v/>
      </c>
    </row>
    <row r="771">
      <c r="A771" s="56"/>
      <c r="C771" s="57"/>
      <c r="D771" s="58"/>
      <c r="E771" s="50"/>
      <c r="F771" s="59"/>
      <c r="G771" s="60"/>
      <c r="H771" s="61" t="str">
        <f t="shared" si="1"/>
        <v/>
      </c>
    </row>
    <row r="772">
      <c r="A772" s="56"/>
      <c r="C772" s="57"/>
      <c r="D772" s="58"/>
      <c r="E772" s="50"/>
      <c r="F772" s="59"/>
      <c r="G772" s="60"/>
      <c r="H772" s="61" t="str">
        <f t="shared" si="1"/>
        <v/>
      </c>
    </row>
    <row r="773">
      <c r="A773" s="56"/>
      <c r="C773" s="57"/>
      <c r="D773" s="58"/>
      <c r="E773" s="50"/>
      <c r="F773" s="59"/>
      <c r="G773" s="60"/>
      <c r="H773" s="61" t="str">
        <f t="shared" si="1"/>
        <v/>
      </c>
    </row>
    <row r="774">
      <c r="A774" s="56"/>
      <c r="C774" s="57"/>
      <c r="D774" s="58"/>
      <c r="E774" s="50"/>
      <c r="F774" s="59"/>
      <c r="G774" s="60"/>
      <c r="H774" s="61" t="str">
        <f t="shared" si="1"/>
        <v/>
      </c>
    </row>
    <row r="775">
      <c r="A775" s="56"/>
      <c r="C775" s="57"/>
      <c r="D775" s="58"/>
      <c r="E775" s="50"/>
      <c r="F775" s="59"/>
      <c r="G775" s="60"/>
      <c r="H775" s="61" t="str">
        <f t="shared" si="1"/>
        <v/>
      </c>
    </row>
    <row r="776">
      <c r="A776" s="56"/>
      <c r="C776" s="57"/>
      <c r="D776" s="58"/>
      <c r="E776" s="50"/>
      <c r="F776" s="59"/>
      <c r="G776" s="60"/>
      <c r="H776" s="61" t="str">
        <f t="shared" si="1"/>
        <v/>
      </c>
    </row>
    <row r="777">
      <c r="A777" s="56"/>
      <c r="C777" s="57"/>
      <c r="D777" s="58"/>
      <c r="E777" s="50"/>
      <c r="F777" s="59"/>
      <c r="G777" s="60"/>
      <c r="H777" s="61" t="str">
        <f t="shared" si="1"/>
        <v/>
      </c>
    </row>
    <row r="778">
      <c r="A778" s="56"/>
      <c r="C778" s="57"/>
      <c r="D778" s="58"/>
      <c r="E778" s="50"/>
      <c r="F778" s="59"/>
      <c r="G778" s="60"/>
      <c r="H778" s="61" t="str">
        <f t="shared" si="1"/>
        <v/>
      </c>
    </row>
    <row r="779">
      <c r="A779" s="56"/>
      <c r="C779" s="57"/>
      <c r="D779" s="58"/>
      <c r="E779" s="50"/>
      <c r="F779" s="59"/>
      <c r="G779" s="60"/>
      <c r="H779" s="61" t="str">
        <f t="shared" si="1"/>
        <v/>
      </c>
    </row>
    <row r="780">
      <c r="A780" s="56"/>
      <c r="C780" s="57"/>
      <c r="D780" s="58"/>
      <c r="E780" s="50"/>
      <c r="F780" s="59"/>
      <c r="G780" s="60"/>
      <c r="H780" s="61" t="str">
        <f t="shared" si="1"/>
        <v/>
      </c>
    </row>
    <row r="781">
      <c r="A781" s="56"/>
      <c r="C781" s="57"/>
      <c r="D781" s="58"/>
      <c r="E781" s="50"/>
      <c r="F781" s="59"/>
      <c r="G781" s="60"/>
      <c r="H781" s="61" t="str">
        <f t="shared" si="1"/>
        <v/>
      </c>
    </row>
    <row r="782">
      <c r="A782" s="56"/>
      <c r="C782" s="57"/>
      <c r="D782" s="58"/>
      <c r="E782" s="50"/>
      <c r="F782" s="59"/>
      <c r="G782" s="60"/>
      <c r="H782" s="61" t="str">
        <f t="shared" si="1"/>
        <v/>
      </c>
    </row>
    <row r="783">
      <c r="A783" s="56"/>
      <c r="C783" s="57"/>
      <c r="D783" s="58"/>
      <c r="E783" s="50"/>
      <c r="F783" s="59"/>
      <c r="G783" s="60"/>
      <c r="H783" s="61" t="str">
        <f t="shared" si="1"/>
        <v/>
      </c>
    </row>
    <row r="784">
      <c r="A784" s="56"/>
      <c r="C784" s="57"/>
      <c r="D784" s="58"/>
      <c r="E784" s="50"/>
      <c r="F784" s="59"/>
      <c r="G784" s="60"/>
      <c r="H784" s="61" t="str">
        <f t="shared" si="1"/>
        <v/>
      </c>
    </row>
    <row r="785">
      <c r="A785" s="56"/>
      <c r="C785" s="57"/>
      <c r="D785" s="58"/>
      <c r="E785" s="50"/>
      <c r="F785" s="59"/>
      <c r="G785" s="60"/>
      <c r="H785" s="61" t="str">
        <f t="shared" si="1"/>
        <v/>
      </c>
    </row>
    <row r="786">
      <c r="A786" s="56"/>
      <c r="C786" s="57"/>
      <c r="D786" s="58"/>
      <c r="E786" s="50"/>
      <c r="F786" s="59"/>
      <c r="G786" s="60"/>
      <c r="H786" s="61" t="str">
        <f t="shared" si="1"/>
        <v/>
      </c>
    </row>
    <row r="787">
      <c r="A787" s="56"/>
      <c r="C787" s="57"/>
      <c r="D787" s="58"/>
      <c r="E787" s="50"/>
      <c r="F787" s="59"/>
      <c r="G787" s="60"/>
      <c r="H787" s="61" t="str">
        <f t="shared" si="1"/>
        <v/>
      </c>
    </row>
    <row r="788">
      <c r="A788" s="56"/>
      <c r="C788" s="57"/>
      <c r="D788" s="58"/>
      <c r="E788" s="50"/>
      <c r="F788" s="59"/>
      <c r="G788" s="60"/>
      <c r="H788" s="61" t="str">
        <f t="shared" si="1"/>
        <v/>
      </c>
    </row>
    <row r="789">
      <c r="A789" s="56"/>
      <c r="C789" s="57"/>
      <c r="D789" s="58"/>
      <c r="E789" s="50"/>
      <c r="F789" s="59"/>
      <c r="G789" s="60"/>
      <c r="H789" s="61" t="str">
        <f t="shared" si="1"/>
        <v/>
      </c>
    </row>
    <row r="790">
      <c r="A790" s="56"/>
      <c r="C790" s="57"/>
      <c r="D790" s="58"/>
      <c r="E790" s="50"/>
      <c r="F790" s="59"/>
      <c r="G790" s="60"/>
      <c r="H790" s="61" t="str">
        <f t="shared" si="1"/>
        <v/>
      </c>
    </row>
    <row r="791">
      <c r="A791" s="56"/>
      <c r="C791" s="57"/>
      <c r="D791" s="58"/>
      <c r="E791" s="50"/>
      <c r="F791" s="59"/>
      <c r="G791" s="60"/>
      <c r="H791" s="61" t="str">
        <f t="shared" si="1"/>
        <v/>
      </c>
    </row>
    <row r="792">
      <c r="A792" s="56"/>
      <c r="C792" s="57"/>
      <c r="D792" s="58"/>
      <c r="E792" s="50"/>
      <c r="F792" s="59"/>
      <c r="G792" s="60"/>
      <c r="H792" s="61" t="str">
        <f t="shared" si="1"/>
        <v/>
      </c>
    </row>
    <row r="793">
      <c r="A793" s="56"/>
      <c r="C793" s="57"/>
      <c r="D793" s="58"/>
      <c r="E793" s="50"/>
      <c r="F793" s="59"/>
      <c r="G793" s="60"/>
      <c r="H793" s="61" t="str">
        <f t="shared" si="1"/>
        <v/>
      </c>
    </row>
    <row r="794">
      <c r="A794" s="56"/>
      <c r="C794" s="57"/>
      <c r="D794" s="58"/>
      <c r="E794" s="50"/>
      <c r="F794" s="59"/>
      <c r="G794" s="60"/>
      <c r="H794" s="61" t="str">
        <f t="shared" si="1"/>
        <v/>
      </c>
    </row>
    <row r="795">
      <c r="A795" s="56"/>
      <c r="C795" s="57"/>
      <c r="D795" s="58"/>
      <c r="E795" s="50"/>
      <c r="F795" s="59"/>
      <c r="G795" s="60"/>
      <c r="H795" s="61" t="str">
        <f t="shared" si="1"/>
        <v/>
      </c>
    </row>
    <row r="796">
      <c r="A796" s="56"/>
      <c r="C796" s="57"/>
      <c r="D796" s="58"/>
      <c r="E796" s="50"/>
      <c r="F796" s="59"/>
      <c r="G796" s="60"/>
      <c r="H796" s="61" t="str">
        <f t="shared" si="1"/>
        <v/>
      </c>
    </row>
    <row r="797">
      <c r="A797" s="56"/>
      <c r="C797" s="57"/>
      <c r="D797" s="58"/>
      <c r="E797" s="50"/>
      <c r="F797" s="59"/>
      <c r="G797" s="60"/>
      <c r="H797" s="61" t="str">
        <f t="shared" si="1"/>
        <v/>
      </c>
    </row>
    <row r="798">
      <c r="A798" s="56"/>
      <c r="C798" s="57"/>
      <c r="D798" s="58"/>
      <c r="E798" s="50"/>
      <c r="F798" s="59"/>
      <c r="G798" s="60"/>
      <c r="H798" s="61" t="str">
        <f t="shared" si="1"/>
        <v/>
      </c>
    </row>
    <row r="799">
      <c r="A799" s="56"/>
      <c r="C799" s="57"/>
      <c r="D799" s="58"/>
      <c r="E799" s="50"/>
      <c r="F799" s="59"/>
      <c r="G799" s="60"/>
      <c r="H799" s="61" t="str">
        <f t="shared" si="1"/>
        <v/>
      </c>
    </row>
    <row r="800">
      <c r="A800" s="56"/>
      <c r="C800" s="57"/>
      <c r="D800" s="58"/>
      <c r="E800" s="50"/>
      <c r="F800" s="59"/>
      <c r="G800" s="60"/>
      <c r="H800" s="61" t="str">
        <f t="shared" si="1"/>
        <v/>
      </c>
    </row>
    <row r="801">
      <c r="A801" s="56"/>
      <c r="C801" s="57"/>
      <c r="D801" s="58"/>
      <c r="E801" s="50"/>
      <c r="F801" s="59"/>
      <c r="G801" s="60"/>
      <c r="H801" s="61" t="str">
        <f t="shared" si="1"/>
        <v/>
      </c>
    </row>
    <row r="802">
      <c r="A802" s="56"/>
      <c r="C802" s="57"/>
      <c r="D802" s="58"/>
      <c r="E802" s="50"/>
      <c r="F802" s="59"/>
      <c r="G802" s="60"/>
      <c r="H802" s="61" t="str">
        <f t="shared" si="1"/>
        <v/>
      </c>
    </row>
    <row r="803">
      <c r="A803" s="56"/>
      <c r="C803" s="57"/>
      <c r="D803" s="58"/>
      <c r="E803" s="50"/>
      <c r="F803" s="59"/>
      <c r="G803" s="60"/>
      <c r="H803" s="61" t="str">
        <f t="shared" si="1"/>
        <v/>
      </c>
    </row>
    <row r="804">
      <c r="A804" s="56"/>
      <c r="C804" s="57"/>
      <c r="D804" s="58"/>
      <c r="E804" s="50"/>
      <c r="F804" s="59"/>
      <c r="G804" s="60"/>
      <c r="H804" s="61" t="str">
        <f t="shared" si="1"/>
        <v/>
      </c>
    </row>
    <row r="805">
      <c r="A805" s="56"/>
      <c r="C805" s="57"/>
      <c r="D805" s="58"/>
      <c r="E805" s="50"/>
      <c r="F805" s="59"/>
      <c r="G805" s="60"/>
      <c r="H805" s="61" t="str">
        <f t="shared" si="1"/>
        <v/>
      </c>
    </row>
    <row r="806">
      <c r="A806" s="56"/>
      <c r="C806" s="57"/>
      <c r="D806" s="58"/>
      <c r="E806" s="50"/>
      <c r="F806" s="59"/>
      <c r="G806" s="60"/>
      <c r="H806" s="61" t="str">
        <f t="shared" si="1"/>
        <v/>
      </c>
    </row>
    <row r="807">
      <c r="A807" s="56"/>
      <c r="C807" s="57"/>
      <c r="D807" s="58"/>
      <c r="E807" s="50"/>
      <c r="F807" s="59"/>
      <c r="G807" s="60"/>
      <c r="H807" s="61" t="str">
        <f t="shared" si="1"/>
        <v/>
      </c>
    </row>
    <row r="808">
      <c r="A808" s="56"/>
      <c r="C808" s="57"/>
      <c r="D808" s="58"/>
      <c r="E808" s="50"/>
      <c r="F808" s="59"/>
      <c r="G808" s="60"/>
      <c r="H808" s="61" t="str">
        <f t="shared" si="1"/>
        <v/>
      </c>
    </row>
    <row r="809">
      <c r="A809" s="56"/>
      <c r="C809" s="57"/>
      <c r="D809" s="58"/>
      <c r="E809" s="50"/>
      <c r="F809" s="59"/>
      <c r="G809" s="60"/>
      <c r="H809" s="61" t="str">
        <f t="shared" si="1"/>
        <v/>
      </c>
    </row>
    <row r="810">
      <c r="A810" s="56"/>
      <c r="C810" s="57"/>
      <c r="D810" s="58"/>
      <c r="E810" s="50"/>
      <c r="F810" s="59"/>
      <c r="G810" s="60"/>
      <c r="H810" s="61" t="str">
        <f t="shared" si="1"/>
        <v/>
      </c>
    </row>
    <row r="811">
      <c r="A811" s="56"/>
      <c r="C811" s="57"/>
      <c r="D811" s="58"/>
      <c r="E811" s="50"/>
      <c r="F811" s="59"/>
      <c r="G811" s="60"/>
      <c r="H811" s="61" t="str">
        <f t="shared" si="1"/>
        <v/>
      </c>
    </row>
    <row r="812">
      <c r="A812" s="56"/>
      <c r="C812" s="57"/>
      <c r="D812" s="58"/>
      <c r="E812" s="50"/>
      <c r="F812" s="59"/>
      <c r="G812" s="60"/>
      <c r="H812" s="61" t="str">
        <f t="shared" si="1"/>
        <v/>
      </c>
    </row>
    <row r="813">
      <c r="A813" s="56"/>
      <c r="C813" s="57"/>
      <c r="D813" s="58"/>
      <c r="E813" s="50"/>
      <c r="F813" s="59"/>
      <c r="G813" s="60"/>
      <c r="H813" s="61" t="str">
        <f t="shared" si="1"/>
        <v/>
      </c>
    </row>
    <row r="814">
      <c r="A814" s="56"/>
      <c r="C814" s="57"/>
      <c r="D814" s="58"/>
      <c r="E814" s="50"/>
      <c r="F814" s="59"/>
      <c r="G814" s="60"/>
      <c r="H814" s="61" t="str">
        <f t="shared" si="1"/>
        <v/>
      </c>
    </row>
    <row r="815">
      <c r="A815" s="56"/>
      <c r="C815" s="57"/>
      <c r="D815" s="58"/>
      <c r="E815" s="50"/>
      <c r="F815" s="59"/>
      <c r="G815" s="60"/>
      <c r="H815" s="61" t="str">
        <f t="shared" si="1"/>
        <v/>
      </c>
    </row>
    <row r="816">
      <c r="A816" s="56"/>
      <c r="C816" s="57"/>
      <c r="D816" s="58"/>
      <c r="E816" s="50"/>
      <c r="F816" s="59"/>
      <c r="G816" s="60"/>
      <c r="H816" s="61" t="str">
        <f t="shared" si="1"/>
        <v/>
      </c>
    </row>
    <row r="817">
      <c r="A817" s="56"/>
      <c r="C817" s="57"/>
      <c r="D817" s="58"/>
      <c r="E817" s="50"/>
      <c r="F817" s="59"/>
      <c r="G817" s="60"/>
      <c r="H817" s="61" t="str">
        <f t="shared" si="1"/>
        <v/>
      </c>
    </row>
    <row r="818">
      <c r="A818" s="56"/>
      <c r="C818" s="57"/>
      <c r="D818" s="58"/>
      <c r="E818" s="50"/>
      <c r="F818" s="59"/>
      <c r="G818" s="60"/>
      <c r="H818" s="61" t="str">
        <f t="shared" si="1"/>
        <v/>
      </c>
    </row>
    <row r="819">
      <c r="A819" s="56"/>
      <c r="C819" s="57"/>
      <c r="D819" s="58"/>
      <c r="E819" s="50"/>
      <c r="F819" s="59"/>
      <c r="G819" s="60"/>
      <c r="H819" s="61" t="str">
        <f t="shared" si="1"/>
        <v/>
      </c>
    </row>
    <row r="820">
      <c r="A820" s="56"/>
      <c r="C820" s="57"/>
      <c r="D820" s="58"/>
      <c r="E820" s="50"/>
      <c r="F820" s="59"/>
      <c r="G820" s="60"/>
      <c r="H820" s="61" t="str">
        <f t="shared" si="1"/>
        <v/>
      </c>
    </row>
    <row r="821">
      <c r="A821" s="56"/>
      <c r="C821" s="57"/>
      <c r="D821" s="58"/>
      <c r="E821" s="50"/>
      <c r="F821" s="59"/>
      <c r="G821" s="60"/>
      <c r="H821" s="61" t="str">
        <f t="shared" si="1"/>
        <v/>
      </c>
    </row>
    <row r="822">
      <c r="A822" s="56"/>
      <c r="C822" s="57"/>
      <c r="D822" s="58"/>
      <c r="E822" s="50"/>
      <c r="F822" s="59"/>
      <c r="G822" s="60"/>
      <c r="H822" s="61" t="str">
        <f t="shared" si="1"/>
        <v/>
      </c>
    </row>
    <row r="823">
      <c r="A823" s="56"/>
      <c r="C823" s="57"/>
      <c r="D823" s="58"/>
      <c r="E823" s="50"/>
      <c r="F823" s="59"/>
      <c r="G823" s="60"/>
      <c r="H823" s="61" t="str">
        <f t="shared" si="1"/>
        <v/>
      </c>
    </row>
    <row r="824">
      <c r="A824" s="56"/>
      <c r="C824" s="57"/>
      <c r="D824" s="58"/>
      <c r="E824" s="50"/>
      <c r="F824" s="59"/>
      <c r="G824" s="60"/>
      <c r="H824" s="61" t="str">
        <f t="shared" si="1"/>
        <v/>
      </c>
    </row>
    <row r="825">
      <c r="A825" s="56"/>
      <c r="C825" s="57"/>
      <c r="D825" s="58"/>
      <c r="E825" s="50"/>
      <c r="F825" s="59"/>
      <c r="G825" s="60"/>
      <c r="H825" s="61" t="str">
        <f t="shared" si="1"/>
        <v/>
      </c>
    </row>
    <row r="826">
      <c r="A826" s="56"/>
      <c r="C826" s="57"/>
      <c r="D826" s="58"/>
      <c r="E826" s="50"/>
      <c r="F826" s="59"/>
      <c r="G826" s="60"/>
      <c r="H826" s="61" t="str">
        <f t="shared" si="1"/>
        <v/>
      </c>
    </row>
    <row r="827">
      <c r="A827" s="56"/>
      <c r="C827" s="57"/>
      <c r="D827" s="58"/>
      <c r="E827" s="50"/>
      <c r="F827" s="59"/>
      <c r="G827" s="60"/>
      <c r="H827" s="61" t="str">
        <f t="shared" si="1"/>
        <v/>
      </c>
    </row>
    <row r="828">
      <c r="A828" s="56"/>
      <c r="C828" s="57"/>
      <c r="D828" s="58"/>
      <c r="E828" s="50"/>
      <c r="F828" s="59"/>
      <c r="G828" s="60"/>
      <c r="H828" s="61" t="str">
        <f t="shared" si="1"/>
        <v/>
      </c>
    </row>
    <row r="829">
      <c r="A829" s="56"/>
      <c r="C829" s="57"/>
      <c r="D829" s="58"/>
      <c r="E829" s="50"/>
      <c r="F829" s="59"/>
      <c r="G829" s="60"/>
      <c r="H829" s="61" t="str">
        <f t="shared" si="1"/>
        <v/>
      </c>
    </row>
    <row r="830">
      <c r="A830" s="56"/>
      <c r="C830" s="57"/>
      <c r="D830" s="58"/>
      <c r="E830" s="50"/>
      <c r="F830" s="59"/>
      <c r="G830" s="60"/>
      <c r="H830" s="61" t="str">
        <f t="shared" si="1"/>
        <v/>
      </c>
    </row>
    <row r="831">
      <c r="A831" s="56"/>
      <c r="C831" s="57"/>
      <c r="D831" s="58"/>
      <c r="E831" s="50"/>
      <c r="F831" s="59"/>
      <c r="G831" s="60"/>
      <c r="H831" s="61" t="str">
        <f t="shared" si="1"/>
        <v/>
      </c>
    </row>
    <row r="832">
      <c r="A832" s="56"/>
      <c r="C832" s="57"/>
      <c r="D832" s="58"/>
      <c r="E832" s="50"/>
      <c r="F832" s="59"/>
      <c r="G832" s="60"/>
      <c r="H832" s="61" t="str">
        <f t="shared" si="1"/>
        <v/>
      </c>
    </row>
    <row r="833">
      <c r="A833" s="56"/>
      <c r="C833" s="57"/>
      <c r="D833" s="58"/>
      <c r="E833" s="50"/>
      <c r="F833" s="59"/>
      <c r="G833" s="60"/>
      <c r="H833" s="61" t="str">
        <f t="shared" si="1"/>
        <v/>
      </c>
    </row>
    <row r="834">
      <c r="A834" s="56"/>
      <c r="C834" s="57"/>
      <c r="D834" s="58"/>
      <c r="E834" s="50"/>
      <c r="F834" s="59"/>
      <c r="G834" s="60"/>
      <c r="H834" s="61" t="str">
        <f t="shared" si="1"/>
        <v/>
      </c>
    </row>
    <row r="835">
      <c r="A835" s="56"/>
      <c r="C835" s="57"/>
      <c r="D835" s="58"/>
      <c r="E835" s="50"/>
      <c r="F835" s="59"/>
      <c r="G835" s="60"/>
      <c r="H835" s="61" t="str">
        <f t="shared" si="1"/>
        <v/>
      </c>
    </row>
    <row r="836">
      <c r="A836" s="56"/>
      <c r="C836" s="57"/>
      <c r="D836" s="58"/>
      <c r="E836" s="50"/>
      <c r="F836" s="59"/>
      <c r="G836" s="60"/>
      <c r="H836" s="61" t="str">
        <f t="shared" si="1"/>
        <v/>
      </c>
    </row>
    <row r="837">
      <c r="A837" s="56"/>
      <c r="C837" s="57"/>
      <c r="D837" s="58"/>
      <c r="E837" s="50"/>
      <c r="F837" s="59"/>
      <c r="G837" s="60"/>
      <c r="H837" s="61" t="str">
        <f t="shared" si="1"/>
        <v/>
      </c>
    </row>
    <row r="838">
      <c r="A838" s="56"/>
      <c r="C838" s="57"/>
      <c r="D838" s="58"/>
      <c r="E838" s="50"/>
      <c r="F838" s="59"/>
      <c r="G838" s="60"/>
      <c r="H838" s="61" t="str">
        <f t="shared" si="1"/>
        <v/>
      </c>
    </row>
    <row r="839">
      <c r="A839" s="56"/>
      <c r="C839" s="57"/>
      <c r="D839" s="58"/>
      <c r="E839" s="50"/>
      <c r="F839" s="59"/>
      <c r="G839" s="60"/>
      <c r="H839" s="61" t="str">
        <f t="shared" si="1"/>
        <v/>
      </c>
    </row>
    <row r="840">
      <c r="A840" s="56"/>
      <c r="C840" s="57"/>
      <c r="D840" s="58"/>
      <c r="E840" s="50"/>
      <c r="F840" s="59"/>
      <c r="G840" s="60"/>
      <c r="H840" s="61" t="str">
        <f t="shared" si="1"/>
        <v/>
      </c>
    </row>
    <row r="841">
      <c r="A841" s="56"/>
      <c r="C841" s="57"/>
      <c r="D841" s="58"/>
      <c r="E841" s="50"/>
      <c r="F841" s="59"/>
      <c r="G841" s="60"/>
      <c r="H841" s="61" t="str">
        <f t="shared" si="1"/>
        <v/>
      </c>
    </row>
    <row r="842">
      <c r="A842" s="56"/>
      <c r="C842" s="57"/>
      <c r="D842" s="58"/>
      <c r="E842" s="50"/>
      <c r="F842" s="59"/>
      <c r="G842" s="60"/>
      <c r="H842" s="61" t="str">
        <f t="shared" si="1"/>
        <v/>
      </c>
    </row>
    <row r="843">
      <c r="A843" s="56"/>
      <c r="C843" s="57"/>
      <c r="D843" s="58"/>
      <c r="E843" s="50"/>
      <c r="F843" s="59"/>
      <c r="G843" s="60"/>
      <c r="H843" s="61" t="str">
        <f t="shared" si="1"/>
        <v/>
      </c>
    </row>
    <row r="844">
      <c r="A844" s="56"/>
      <c r="C844" s="57"/>
      <c r="D844" s="58"/>
      <c r="E844" s="50"/>
      <c r="F844" s="59"/>
      <c r="G844" s="60"/>
      <c r="H844" s="61" t="str">
        <f t="shared" si="1"/>
        <v/>
      </c>
    </row>
    <row r="845">
      <c r="A845" s="56"/>
      <c r="C845" s="57"/>
      <c r="D845" s="58"/>
      <c r="E845" s="50"/>
      <c r="F845" s="59"/>
      <c r="G845" s="60"/>
      <c r="H845" s="61" t="str">
        <f t="shared" si="1"/>
        <v/>
      </c>
    </row>
    <row r="846">
      <c r="A846" s="56"/>
      <c r="C846" s="57"/>
      <c r="D846" s="58"/>
      <c r="E846" s="50"/>
      <c r="F846" s="59"/>
      <c r="G846" s="60"/>
      <c r="H846" s="61" t="str">
        <f t="shared" si="1"/>
        <v/>
      </c>
    </row>
    <row r="847">
      <c r="A847" s="56"/>
      <c r="C847" s="57"/>
      <c r="D847" s="58"/>
      <c r="E847" s="50"/>
      <c r="F847" s="59"/>
      <c r="G847" s="60"/>
      <c r="H847" s="61" t="str">
        <f t="shared" si="1"/>
        <v/>
      </c>
    </row>
    <row r="848">
      <c r="A848" s="56"/>
      <c r="C848" s="57"/>
      <c r="D848" s="58"/>
      <c r="E848" s="50"/>
      <c r="F848" s="59"/>
      <c r="G848" s="60"/>
      <c r="H848" s="61" t="str">
        <f t="shared" si="1"/>
        <v/>
      </c>
    </row>
    <row r="849">
      <c r="A849" s="56"/>
      <c r="C849" s="57"/>
      <c r="D849" s="58"/>
      <c r="E849" s="50"/>
      <c r="F849" s="59"/>
      <c r="G849" s="60"/>
      <c r="H849" s="61" t="str">
        <f t="shared" si="1"/>
        <v/>
      </c>
    </row>
    <row r="850">
      <c r="A850" s="56"/>
      <c r="C850" s="57"/>
      <c r="D850" s="58"/>
      <c r="E850" s="50"/>
      <c r="F850" s="59"/>
      <c r="G850" s="60"/>
      <c r="H850" s="61" t="str">
        <f t="shared" si="1"/>
        <v/>
      </c>
    </row>
    <row r="851">
      <c r="A851" s="56"/>
      <c r="C851" s="57"/>
      <c r="D851" s="58"/>
      <c r="E851" s="50"/>
      <c r="F851" s="59"/>
      <c r="G851" s="60"/>
      <c r="H851" s="61" t="str">
        <f t="shared" si="1"/>
        <v/>
      </c>
    </row>
    <row r="852">
      <c r="A852" s="56"/>
      <c r="C852" s="57"/>
      <c r="D852" s="58"/>
      <c r="E852" s="50"/>
      <c r="F852" s="59"/>
      <c r="G852" s="60"/>
      <c r="H852" s="61" t="str">
        <f t="shared" si="1"/>
        <v/>
      </c>
    </row>
    <row r="853">
      <c r="A853" s="56"/>
      <c r="C853" s="57"/>
      <c r="D853" s="58"/>
      <c r="E853" s="50"/>
      <c r="F853" s="59"/>
      <c r="G853" s="60"/>
      <c r="H853" s="61" t="str">
        <f t="shared" si="1"/>
        <v/>
      </c>
    </row>
    <row r="854">
      <c r="A854" s="56"/>
      <c r="C854" s="57"/>
      <c r="D854" s="58"/>
      <c r="E854" s="50"/>
      <c r="F854" s="59"/>
      <c r="G854" s="60"/>
      <c r="H854" s="61" t="str">
        <f t="shared" si="1"/>
        <v/>
      </c>
    </row>
    <row r="855">
      <c r="A855" s="56"/>
      <c r="C855" s="57"/>
      <c r="D855" s="58"/>
      <c r="E855" s="50"/>
      <c r="F855" s="59"/>
      <c r="G855" s="60"/>
      <c r="H855" s="61" t="str">
        <f t="shared" si="1"/>
        <v/>
      </c>
    </row>
    <row r="856">
      <c r="A856" s="56"/>
      <c r="C856" s="57"/>
      <c r="D856" s="58"/>
      <c r="E856" s="50"/>
      <c r="F856" s="59"/>
      <c r="G856" s="60"/>
      <c r="H856" s="61" t="str">
        <f t="shared" si="1"/>
        <v/>
      </c>
    </row>
    <row r="857">
      <c r="A857" s="56"/>
      <c r="C857" s="57"/>
      <c r="D857" s="58"/>
      <c r="E857" s="50"/>
      <c r="F857" s="59"/>
      <c r="G857" s="60"/>
      <c r="H857" s="61" t="str">
        <f t="shared" si="1"/>
        <v/>
      </c>
    </row>
    <row r="858">
      <c r="A858" s="56"/>
      <c r="C858" s="57"/>
      <c r="D858" s="58"/>
      <c r="E858" s="50"/>
      <c r="F858" s="59"/>
      <c r="G858" s="60"/>
      <c r="H858" s="61" t="str">
        <f t="shared" si="1"/>
        <v/>
      </c>
    </row>
    <row r="859">
      <c r="A859" s="56"/>
      <c r="C859" s="57"/>
      <c r="D859" s="58"/>
      <c r="E859" s="50"/>
      <c r="F859" s="59"/>
      <c r="G859" s="60"/>
      <c r="H859" s="61" t="str">
        <f t="shared" si="1"/>
        <v/>
      </c>
    </row>
    <row r="860">
      <c r="A860" s="56"/>
      <c r="C860" s="57"/>
      <c r="D860" s="58"/>
      <c r="E860" s="50"/>
      <c r="F860" s="59"/>
      <c r="G860" s="60"/>
      <c r="H860" s="61" t="str">
        <f t="shared" si="1"/>
        <v/>
      </c>
    </row>
    <row r="861">
      <c r="A861" s="56"/>
      <c r="C861" s="57"/>
      <c r="D861" s="58"/>
      <c r="E861" s="50"/>
      <c r="F861" s="59"/>
      <c r="G861" s="60"/>
      <c r="H861" s="61" t="str">
        <f t="shared" si="1"/>
        <v/>
      </c>
    </row>
    <row r="862">
      <c r="A862" s="56"/>
      <c r="C862" s="57"/>
      <c r="D862" s="58"/>
      <c r="E862" s="50"/>
      <c r="F862" s="59"/>
      <c r="G862" s="60"/>
      <c r="H862" s="61" t="str">
        <f t="shared" si="1"/>
        <v/>
      </c>
    </row>
    <row r="863">
      <c r="A863" s="56"/>
      <c r="C863" s="57"/>
      <c r="D863" s="58"/>
      <c r="E863" s="50"/>
      <c r="F863" s="59"/>
      <c r="G863" s="60"/>
      <c r="H863" s="61" t="str">
        <f t="shared" si="1"/>
        <v/>
      </c>
    </row>
    <row r="864">
      <c r="A864" s="56"/>
      <c r="C864" s="57"/>
      <c r="D864" s="58"/>
      <c r="E864" s="50"/>
      <c r="F864" s="59"/>
      <c r="G864" s="60"/>
      <c r="H864" s="61" t="str">
        <f t="shared" si="1"/>
        <v/>
      </c>
    </row>
    <row r="865">
      <c r="A865" s="56"/>
      <c r="C865" s="57"/>
      <c r="D865" s="58"/>
      <c r="E865" s="50"/>
      <c r="F865" s="59"/>
      <c r="G865" s="60"/>
      <c r="H865" s="61" t="str">
        <f t="shared" si="1"/>
        <v/>
      </c>
    </row>
    <row r="866">
      <c r="A866" s="56"/>
      <c r="C866" s="57"/>
      <c r="D866" s="58"/>
      <c r="E866" s="50"/>
      <c r="F866" s="59"/>
      <c r="G866" s="60"/>
      <c r="H866" s="61" t="str">
        <f t="shared" si="1"/>
        <v/>
      </c>
    </row>
    <row r="867">
      <c r="A867" s="56"/>
      <c r="C867" s="57"/>
      <c r="D867" s="58"/>
      <c r="E867" s="50"/>
      <c r="F867" s="59"/>
      <c r="G867" s="60"/>
      <c r="H867" s="61" t="str">
        <f t="shared" si="1"/>
        <v/>
      </c>
    </row>
    <row r="868">
      <c r="A868" s="56"/>
      <c r="C868" s="57"/>
      <c r="D868" s="58"/>
      <c r="E868" s="50"/>
      <c r="F868" s="59"/>
      <c r="G868" s="60"/>
      <c r="H868" s="61" t="str">
        <f t="shared" si="1"/>
        <v/>
      </c>
    </row>
    <row r="869">
      <c r="A869" s="56"/>
      <c r="C869" s="57"/>
      <c r="D869" s="58"/>
      <c r="E869" s="50"/>
      <c r="F869" s="59"/>
      <c r="G869" s="60"/>
      <c r="H869" s="61" t="str">
        <f t="shared" si="1"/>
        <v/>
      </c>
    </row>
    <row r="870">
      <c r="A870" s="56"/>
      <c r="C870" s="57"/>
      <c r="D870" s="58"/>
      <c r="E870" s="50"/>
      <c r="F870" s="59"/>
      <c r="G870" s="60"/>
      <c r="H870" s="61" t="str">
        <f t="shared" si="1"/>
        <v/>
      </c>
    </row>
    <row r="871">
      <c r="A871" s="56"/>
      <c r="C871" s="57"/>
      <c r="D871" s="58"/>
      <c r="E871" s="50"/>
      <c r="F871" s="59"/>
      <c r="G871" s="60"/>
      <c r="H871" s="61" t="str">
        <f t="shared" si="1"/>
        <v/>
      </c>
    </row>
    <row r="872">
      <c r="A872" s="56"/>
      <c r="C872" s="57"/>
      <c r="D872" s="58"/>
      <c r="E872" s="50"/>
      <c r="F872" s="59"/>
      <c r="G872" s="60"/>
      <c r="H872" s="61" t="str">
        <f t="shared" si="1"/>
        <v/>
      </c>
    </row>
    <row r="873">
      <c r="A873" s="56"/>
      <c r="C873" s="57"/>
      <c r="D873" s="58"/>
      <c r="E873" s="50"/>
      <c r="F873" s="59"/>
      <c r="G873" s="60"/>
      <c r="H873" s="61" t="str">
        <f t="shared" si="1"/>
        <v/>
      </c>
    </row>
    <row r="874">
      <c r="A874" s="56"/>
      <c r="C874" s="57"/>
      <c r="D874" s="58"/>
      <c r="E874" s="50"/>
      <c r="F874" s="59"/>
      <c r="G874" s="60"/>
      <c r="H874" s="61" t="str">
        <f t="shared" si="1"/>
        <v/>
      </c>
    </row>
    <row r="875">
      <c r="A875" s="56"/>
      <c r="C875" s="57"/>
      <c r="D875" s="58"/>
      <c r="E875" s="50"/>
      <c r="F875" s="59"/>
      <c r="G875" s="60"/>
      <c r="H875" s="61" t="str">
        <f t="shared" si="1"/>
        <v/>
      </c>
    </row>
    <row r="876">
      <c r="A876" s="56"/>
      <c r="C876" s="57"/>
      <c r="D876" s="58"/>
      <c r="E876" s="50"/>
      <c r="F876" s="59"/>
      <c r="G876" s="60"/>
      <c r="H876" s="61" t="str">
        <f t="shared" si="1"/>
        <v/>
      </c>
    </row>
    <row r="877">
      <c r="A877" s="56"/>
      <c r="C877" s="57"/>
      <c r="D877" s="58"/>
      <c r="E877" s="50"/>
      <c r="F877" s="59"/>
      <c r="G877" s="60"/>
      <c r="H877" s="61" t="str">
        <f t="shared" si="1"/>
        <v/>
      </c>
    </row>
    <row r="878">
      <c r="A878" s="56"/>
      <c r="C878" s="57"/>
      <c r="D878" s="58"/>
      <c r="E878" s="50"/>
      <c r="F878" s="59"/>
      <c r="G878" s="60"/>
      <c r="H878" s="61" t="str">
        <f t="shared" si="1"/>
        <v/>
      </c>
    </row>
    <row r="879">
      <c r="A879" s="56"/>
      <c r="C879" s="57"/>
      <c r="D879" s="58"/>
      <c r="E879" s="50"/>
      <c r="F879" s="59"/>
      <c r="G879" s="60"/>
      <c r="H879" s="61" t="str">
        <f t="shared" si="1"/>
        <v/>
      </c>
    </row>
    <row r="880">
      <c r="A880" s="56"/>
      <c r="C880" s="57"/>
      <c r="D880" s="58"/>
      <c r="E880" s="50"/>
      <c r="F880" s="59"/>
      <c r="G880" s="60"/>
      <c r="H880" s="61" t="str">
        <f t="shared" si="1"/>
        <v/>
      </c>
    </row>
    <row r="881">
      <c r="A881" s="56"/>
      <c r="C881" s="57"/>
      <c r="D881" s="58"/>
      <c r="E881" s="50"/>
      <c r="F881" s="59"/>
      <c r="G881" s="60"/>
      <c r="H881" s="61" t="str">
        <f t="shared" si="1"/>
        <v/>
      </c>
    </row>
    <row r="882">
      <c r="A882" s="56"/>
      <c r="C882" s="57"/>
      <c r="D882" s="58"/>
      <c r="E882" s="50"/>
      <c r="F882" s="59"/>
      <c r="G882" s="60"/>
      <c r="H882" s="61" t="str">
        <f t="shared" si="1"/>
        <v/>
      </c>
    </row>
    <row r="883">
      <c r="A883" s="56"/>
      <c r="C883" s="57"/>
      <c r="D883" s="58"/>
      <c r="E883" s="50"/>
      <c r="F883" s="59"/>
      <c r="G883" s="60"/>
      <c r="H883" s="61" t="str">
        <f t="shared" si="1"/>
        <v/>
      </c>
    </row>
    <row r="884">
      <c r="A884" s="56"/>
      <c r="C884" s="57"/>
      <c r="D884" s="58"/>
      <c r="E884" s="50"/>
      <c r="F884" s="59"/>
      <c r="G884" s="60"/>
      <c r="H884" s="61" t="str">
        <f t="shared" si="1"/>
        <v/>
      </c>
    </row>
    <row r="885">
      <c r="A885" s="56"/>
      <c r="C885" s="57"/>
      <c r="D885" s="58"/>
      <c r="E885" s="50"/>
      <c r="F885" s="59"/>
      <c r="G885" s="60"/>
      <c r="H885" s="61" t="str">
        <f t="shared" si="1"/>
        <v/>
      </c>
    </row>
    <row r="886">
      <c r="A886" s="56"/>
      <c r="C886" s="57"/>
      <c r="D886" s="58"/>
      <c r="E886" s="50"/>
      <c r="F886" s="59"/>
      <c r="G886" s="60"/>
      <c r="H886" s="61" t="str">
        <f t="shared" si="1"/>
        <v/>
      </c>
    </row>
    <row r="887">
      <c r="A887" s="56"/>
      <c r="C887" s="57"/>
      <c r="D887" s="58"/>
      <c r="E887" s="50"/>
      <c r="F887" s="59"/>
      <c r="G887" s="60"/>
      <c r="H887" s="61" t="str">
        <f t="shared" si="1"/>
        <v/>
      </c>
    </row>
    <row r="888">
      <c r="A888" s="56"/>
      <c r="C888" s="57"/>
      <c r="D888" s="58"/>
      <c r="E888" s="50"/>
      <c r="F888" s="59"/>
      <c r="G888" s="60"/>
      <c r="H888" s="61" t="str">
        <f t="shared" si="1"/>
        <v/>
      </c>
    </row>
    <row r="889">
      <c r="A889" s="56"/>
      <c r="C889" s="57"/>
      <c r="D889" s="58"/>
      <c r="E889" s="50"/>
      <c r="F889" s="59"/>
      <c r="G889" s="60"/>
      <c r="H889" s="61" t="str">
        <f t="shared" si="1"/>
        <v/>
      </c>
    </row>
    <row r="890">
      <c r="A890" s="56"/>
      <c r="C890" s="57"/>
      <c r="D890" s="58"/>
      <c r="E890" s="50"/>
      <c r="F890" s="59"/>
      <c r="G890" s="60"/>
      <c r="H890" s="61" t="str">
        <f t="shared" si="1"/>
        <v/>
      </c>
    </row>
    <row r="891">
      <c r="A891" s="56"/>
      <c r="C891" s="57"/>
      <c r="D891" s="58"/>
      <c r="E891" s="50"/>
      <c r="F891" s="59"/>
      <c r="G891" s="60"/>
      <c r="H891" s="61" t="str">
        <f t="shared" si="1"/>
        <v/>
      </c>
    </row>
    <row r="892">
      <c r="A892" s="56"/>
      <c r="C892" s="57"/>
      <c r="D892" s="58"/>
      <c r="E892" s="50"/>
      <c r="F892" s="59"/>
      <c r="G892" s="60"/>
      <c r="H892" s="61" t="str">
        <f t="shared" si="1"/>
        <v/>
      </c>
    </row>
    <row r="893">
      <c r="A893" s="56"/>
      <c r="C893" s="57"/>
      <c r="D893" s="58"/>
      <c r="E893" s="50"/>
      <c r="F893" s="59"/>
      <c r="G893" s="60"/>
      <c r="H893" s="61" t="str">
        <f t="shared" si="1"/>
        <v/>
      </c>
    </row>
    <row r="894">
      <c r="A894" s="56"/>
      <c r="C894" s="57"/>
      <c r="D894" s="58"/>
      <c r="E894" s="50"/>
      <c r="F894" s="59"/>
      <c r="G894" s="60"/>
      <c r="H894" s="61" t="str">
        <f t="shared" si="1"/>
        <v/>
      </c>
    </row>
    <row r="895">
      <c r="A895" s="56"/>
      <c r="C895" s="57"/>
      <c r="D895" s="58"/>
      <c r="E895" s="50"/>
      <c r="F895" s="59"/>
      <c r="G895" s="60"/>
      <c r="H895" s="61" t="str">
        <f t="shared" si="1"/>
        <v/>
      </c>
    </row>
    <row r="896">
      <c r="A896" s="56"/>
      <c r="C896" s="57"/>
      <c r="D896" s="58"/>
      <c r="E896" s="50"/>
      <c r="F896" s="59"/>
      <c r="G896" s="60"/>
      <c r="H896" s="61" t="str">
        <f t="shared" si="1"/>
        <v/>
      </c>
    </row>
    <row r="897">
      <c r="A897" s="56"/>
      <c r="C897" s="57"/>
      <c r="D897" s="58"/>
      <c r="E897" s="50"/>
      <c r="F897" s="59"/>
      <c r="G897" s="60"/>
      <c r="H897" s="61" t="str">
        <f t="shared" si="1"/>
        <v/>
      </c>
    </row>
    <row r="898">
      <c r="A898" s="56"/>
      <c r="C898" s="57"/>
      <c r="D898" s="58"/>
      <c r="E898" s="50"/>
      <c r="F898" s="59"/>
      <c r="G898" s="60"/>
      <c r="H898" s="61" t="str">
        <f t="shared" si="1"/>
        <v/>
      </c>
    </row>
    <row r="899">
      <c r="A899" s="56"/>
      <c r="C899" s="57"/>
      <c r="D899" s="58"/>
      <c r="E899" s="50"/>
      <c r="F899" s="59"/>
      <c r="G899" s="60"/>
      <c r="H899" s="61" t="str">
        <f t="shared" si="1"/>
        <v/>
      </c>
    </row>
    <row r="900">
      <c r="A900" s="56"/>
      <c r="C900" s="57"/>
      <c r="D900" s="58"/>
      <c r="E900" s="50"/>
      <c r="F900" s="59"/>
      <c r="G900" s="60"/>
      <c r="H900" s="61" t="str">
        <f t="shared" si="1"/>
        <v/>
      </c>
    </row>
    <row r="901">
      <c r="A901" s="56"/>
      <c r="C901" s="57"/>
      <c r="D901" s="58"/>
      <c r="E901" s="50"/>
      <c r="F901" s="59"/>
      <c r="G901" s="60"/>
      <c r="H901" s="61" t="str">
        <f t="shared" si="1"/>
        <v/>
      </c>
    </row>
    <row r="902">
      <c r="A902" s="56"/>
      <c r="C902" s="57"/>
      <c r="D902" s="58"/>
      <c r="E902" s="50"/>
      <c r="F902" s="59"/>
      <c r="G902" s="60"/>
      <c r="H902" s="61" t="str">
        <f t="shared" si="1"/>
        <v/>
      </c>
    </row>
    <row r="903">
      <c r="A903" s="56"/>
      <c r="C903" s="57"/>
      <c r="D903" s="58"/>
      <c r="E903" s="50"/>
      <c r="F903" s="59"/>
      <c r="G903" s="60"/>
      <c r="H903" s="61" t="str">
        <f t="shared" si="1"/>
        <v/>
      </c>
    </row>
    <row r="904">
      <c r="A904" s="56"/>
      <c r="C904" s="57"/>
      <c r="D904" s="58"/>
      <c r="E904" s="50"/>
      <c r="F904" s="59"/>
      <c r="G904" s="60"/>
      <c r="H904" s="61" t="str">
        <f t="shared" si="1"/>
        <v/>
      </c>
    </row>
    <row r="905">
      <c r="A905" s="56"/>
      <c r="C905" s="57"/>
      <c r="D905" s="58"/>
      <c r="E905" s="50"/>
      <c r="F905" s="59"/>
      <c r="G905" s="60"/>
      <c r="H905" s="61" t="str">
        <f t="shared" si="1"/>
        <v/>
      </c>
    </row>
    <row r="906">
      <c r="A906" s="56"/>
      <c r="C906" s="57"/>
      <c r="D906" s="58"/>
      <c r="E906" s="50"/>
      <c r="F906" s="59"/>
      <c r="G906" s="60"/>
      <c r="H906" s="61" t="str">
        <f t="shared" si="1"/>
        <v/>
      </c>
    </row>
    <row r="907">
      <c r="A907" s="56"/>
      <c r="C907" s="57"/>
      <c r="D907" s="58"/>
      <c r="E907" s="50"/>
      <c r="F907" s="59"/>
      <c r="G907" s="60"/>
      <c r="H907" s="61" t="str">
        <f t="shared" si="1"/>
        <v/>
      </c>
    </row>
    <row r="908">
      <c r="A908" s="56"/>
      <c r="C908" s="57"/>
      <c r="D908" s="58"/>
      <c r="E908" s="50"/>
      <c r="F908" s="59"/>
      <c r="G908" s="60"/>
      <c r="H908" s="61" t="str">
        <f t="shared" si="1"/>
        <v/>
      </c>
    </row>
    <row r="909">
      <c r="A909" s="56"/>
      <c r="C909" s="57"/>
      <c r="D909" s="58"/>
      <c r="E909" s="50"/>
      <c r="F909" s="59"/>
      <c r="G909" s="60"/>
      <c r="H909" s="61" t="str">
        <f t="shared" si="1"/>
        <v/>
      </c>
    </row>
    <row r="910">
      <c r="A910" s="56"/>
      <c r="C910" s="57"/>
      <c r="D910" s="58"/>
      <c r="E910" s="50"/>
      <c r="F910" s="59"/>
      <c r="G910" s="60"/>
      <c r="H910" s="61" t="str">
        <f t="shared" si="1"/>
        <v/>
      </c>
    </row>
    <row r="911">
      <c r="A911" s="56"/>
      <c r="C911" s="57"/>
      <c r="D911" s="58"/>
      <c r="E911" s="50"/>
      <c r="F911" s="59"/>
      <c r="G911" s="60"/>
      <c r="H911" s="61" t="str">
        <f t="shared" si="1"/>
        <v/>
      </c>
    </row>
    <row r="912">
      <c r="A912" s="56"/>
      <c r="C912" s="57"/>
      <c r="D912" s="58"/>
      <c r="E912" s="50"/>
      <c r="F912" s="59"/>
      <c r="G912" s="60"/>
      <c r="H912" s="61" t="str">
        <f t="shared" si="1"/>
        <v/>
      </c>
    </row>
    <row r="913">
      <c r="A913" s="56"/>
      <c r="C913" s="57"/>
      <c r="D913" s="58"/>
      <c r="E913" s="50"/>
      <c r="F913" s="59"/>
      <c r="G913" s="60"/>
      <c r="H913" s="61" t="str">
        <f t="shared" si="1"/>
        <v/>
      </c>
    </row>
    <row r="914">
      <c r="A914" s="56"/>
      <c r="C914" s="57"/>
      <c r="D914" s="58"/>
      <c r="E914" s="50"/>
      <c r="F914" s="59"/>
      <c r="G914" s="60"/>
      <c r="H914" s="61" t="str">
        <f t="shared" si="1"/>
        <v/>
      </c>
    </row>
    <row r="915">
      <c r="A915" s="56"/>
      <c r="C915" s="57"/>
      <c r="D915" s="58"/>
      <c r="E915" s="50"/>
      <c r="F915" s="59"/>
      <c r="G915" s="60"/>
      <c r="H915" s="61" t="str">
        <f t="shared" si="1"/>
        <v/>
      </c>
    </row>
    <row r="916">
      <c r="A916" s="56"/>
      <c r="C916" s="57"/>
      <c r="D916" s="58"/>
      <c r="E916" s="50"/>
      <c r="F916" s="59"/>
      <c r="G916" s="60"/>
      <c r="H916" s="61" t="str">
        <f t="shared" si="1"/>
        <v/>
      </c>
    </row>
    <row r="917">
      <c r="A917" s="56"/>
      <c r="C917" s="57"/>
      <c r="D917" s="58"/>
      <c r="E917" s="50"/>
      <c r="F917" s="59"/>
      <c r="G917" s="60"/>
      <c r="H917" s="61" t="str">
        <f t="shared" si="1"/>
        <v/>
      </c>
    </row>
    <row r="918">
      <c r="A918" s="56"/>
      <c r="C918" s="57"/>
      <c r="D918" s="58"/>
      <c r="E918" s="50"/>
      <c r="F918" s="59"/>
      <c r="G918" s="60"/>
      <c r="H918" s="61" t="str">
        <f t="shared" si="1"/>
        <v/>
      </c>
    </row>
    <row r="919">
      <c r="A919" s="56"/>
      <c r="C919" s="57"/>
      <c r="D919" s="58"/>
      <c r="E919" s="50"/>
      <c r="F919" s="59"/>
      <c r="G919" s="60"/>
      <c r="H919" s="61" t="str">
        <f t="shared" si="1"/>
        <v/>
      </c>
    </row>
    <row r="920">
      <c r="A920" s="56"/>
      <c r="C920" s="57"/>
      <c r="D920" s="58"/>
      <c r="E920" s="50"/>
      <c r="F920" s="59"/>
      <c r="G920" s="60"/>
      <c r="H920" s="61" t="str">
        <f t="shared" si="1"/>
        <v/>
      </c>
    </row>
    <row r="921">
      <c r="A921" s="56"/>
      <c r="C921" s="57"/>
      <c r="D921" s="58"/>
      <c r="E921" s="50"/>
      <c r="F921" s="59"/>
      <c r="G921" s="60"/>
      <c r="H921" s="61" t="str">
        <f t="shared" si="1"/>
        <v/>
      </c>
    </row>
    <row r="922">
      <c r="A922" s="56"/>
      <c r="C922" s="57"/>
      <c r="D922" s="58"/>
      <c r="E922" s="50"/>
      <c r="F922" s="59"/>
      <c r="G922" s="60"/>
      <c r="H922" s="61" t="str">
        <f t="shared" si="1"/>
        <v/>
      </c>
    </row>
    <row r="923">
      <c r="A923" s="56"/>
      <c r="C923" s="57"/>
      <c r="D923" s="58"/>
      <c r="E923" s="50"/>
      <c r="F923" s="59"/>
      <c r="G923" s="60"/>
      <c r="H923" s="61" t="str">
        <f t="shared" si="1"/>
        <v/>
      </c>
    </row>
    <row r="924">
      <c r="A924" s="56"/>
      <c r="C924" s="57"/>
      <c r="D924" s="58"/>
      <c r="E924" s="50"/>
      <c r="F924" s="59"/>
      <c r="G924" s="60"/>
      <c r="H924" s="61" t="str">
        <f t="shared" si="1"/>
        <v/>
      </c>
    </row>
    <row r="925">
      <c r="A925" s="56"/>
      <c r="C925" s="57"/>
      <c r="D925" s="58"/>
      <c r="E925" s="50"/>
      <c r="F925" s="59"/>
      <c r="G925" s="60"/>
      <c r="H925" s="61" t="str">
        <f t="shared" si="1"/>
        <v/>
      </c>
    </row>
    <row r="926">
      <c r="A926" s="56"/>
      <c r="C926" s="57"/>
      <c r="D926" s="58"/>
      <c r="E926" s="50"/>
      <c r="F926" s="59"/>
      <c r="G926" s="60"/>
      <c r="H926" s="61" t="str">
        <f t="shared" si="1"/>
        <v/>
      </c>
    </row>
    <row r="927">
      <c r="A927" s="56"/>
      <c r="C927" s="57"/>
      <c r="D927" s="58"/>
      <c r="E927" s="50"/>
      <c r="F927" s="59"/>
      <c r="G927" s="60"/>
      <c r="H927" s="61" t="str">
        <f t="shared" si="1"/>
        <v/>
      </c>
    </row>
    <row r="928">
      <c r="A928" s="56"/>
      <c r="C928" s="57"/>
      <c r="D928" s="58"/>
      <c r="E928" s="50"/>
      <c r="F928" s="59"/>
      <c r="G928" s="60"/>
      <c r="H928" s="61" t="str">
        <f t="shared" si="1"/>
        <v/>
      </c>
    </row>
    <row r="929">
      <c r="A929" s="56"/>
      <c r="C929" s="57"/>
      <c r="D929" s="58"/>
      <c r="E929" s="50"/>
      <c r="F929" s="59"/>
      <c r="G929" s="60"/>
      <c r="H929" s="61" t="str">
        <f t="shared" si="1"/>
        <v/>
      </c>
    </row>
    <row r="930">
      <c r="A930" s="56"/>
      <c r="C930" s="57"/>
      <c r="D930" s="58"/>
      <c r="E930" s="50"/>
      <c r="F930" s="59"/>
      <c r="G930" s="60"/>
      <c r="H930" s="61" t="str">
        <f t="shared" si="1"/>
        <v/>
      </c>
    </row>
    <row r="931">
      <c r="A931" s="56"/>
      <c r="C931" s="57"/>
      <c r="D931" s="58"/>
      <c r="E931" s="50"/>
      <c r="F931" s="59"/>
      <c r="G931" s="60"/>
      <c r="H931" s="61" t="str">
        <f t="shared" si="1"/>
        <v/>
      </c>
    </row>
    <row r="932">
      <c r="A932" s="56"/>
      <c r="C932" s="57"/>
      <c r="D932" s="58"/>
      <c r="E932" s="50"/>
      <c r="F932" s="59"/>
      <c r="G932" s="60"/>
      <c r="H932" s="61" t="str">
        <f t="shared" si="1"/>
        <v/>
      </c>
    </row>
    <row r="933">
      <c r="A933" s="56"/>
      <c r="C933" s="57"/>
      <c r="D933" s="58"/>
      <c r="E933" s="50"/>
      <c r="F933" s="59"/>
      <c r="G933" s="60"/>
      <c r="H933" s="61" t="str">
        <f t="shared" si="1"/>
        <v/>
      </c>
    </row>
    <row r="934">
      <c r="A934" s="56"/>
      <c r="C934" s="57"/>
      <c r="D934" s="58"/>
      <c r="E934" s="50"/>
      <c r="F934" s="59"/>
      <c r="G934" s="60"/>
      <c r="H934" s="61" t="str">
        <f t="shared" si="1"/>
        <v/>
      </c>
    </row>
    <row r="935">
      <c r="A935" s="56"/>
      <c r="C935" s="57"/>
      <c r="D935" s="58"/>
      <c r="E935" s="50"/>
      <c r="F935" s="59"/>
      <c r="G935" s="60"/>
      <c r="H935" s="61" t="str">
        <f t="shared" si="1"/>
        <v/>
      </c>
    </row>
    <row r="936">
      <c r="A936" s="56"/>
      <c r="C936" s="57"/>
      <c r="D936" s="58"/>
      <c r="E936" s="50"/>
      <c r="F936" s="59"/>
      <c r="G936" s="60"/>
      <c r="H936" s="61" t="str">
        <f t="shared" si="1"/>
        <v/>
      </c>
    </row>
    <row r="937">
      <c r="A937" s="56"/>
      <c r="C937" s="57"/>
      <c r="D937" s="58"/>
      <c r="E937" s="50"/>
      <c r="F937" s="59"/>
      <c r="G937" s="60"/>
      <c r="H937" s="61" t="str">
        <f t="shared" si="1"/>
        <v/>
      </c>
    </row>
    <row r="938">
      <c r="A938" s="56"/>
      <c r="C938" s="57"/>
      <c r="D938" s="58"/>
      <c r="E938" s="50"/>
      <c r="F938" s="59"/>
      <c r="G938" s="60"/>
      <c r="H938" s="61" t="str">
        <f t="shared" si="1"/>
        <v/>
      </c>
    </row>
    <row r="939">
      <c r="A939" s="56"/>
      <c r="C939" s="57"/>
      <c r="D939" s="58"/>
      <c r="E939" s="50"/>
      <c r="F939" s="59"/>
      <c r="G939" s="60"/>
      <c r="H939" s="61" t="str">
        <f t="shared" si="1"/>
        <v/>
      </c>
    </row>
    <row r="940">
      <c r="A940" s="56"/>
      <c r="C940" s="57"/>
      <c r="D940" s="58"/>
      <c r="E940" s="50"/>
      <c r="F940" s="59"/>
      <c r="G940" s="60"/>
      <c r="H940" s="61" t="str">
        <f t="shared" si="1"/>
        <v/>
      </c>
    </row>
    <row r="941">
      <c r="A941" s="56"/>
      <c r="C941" s="57"/>
      <c r="D941" s="58"/>
      <c r="E941" s="50"/>
      <c r="F941" s="59"/>
      <c r="G941" s="60"/>
      <c r="H941" s="61" t="str">
        <f t="shared" si="1"/>
        <v/>
      </c>
    </row>
    <row r="942">
      <c r="A942" s="56"/>
      <c r="C942" s="57"/>
      <c r="D942" s="58"/>
      <c r="E942" s="50"/>
      <c r="F942" s="59"/>
      <c r="G942" s="60"/>
      <c r="H942" s="61" t="str">
        <f t="shared" si="1"/>
        <v/>
      </c>
    </row>
    <row r="943">
      <c r="A943" s="56"/>
      <c r="C943" s="57"/>
      <c r="D943" s="58"/>
      <c r="E943" s="50"/>
      <c r="F943" s="59"/>
      <c r="G943" s="60"/>
      <c r="H943" s="61" t="str">
        <f t="shared" si="1"/>
        <v/>
      </c>
    </row>
    <row r="944">
      <c r="A944" s="56"/>
      <c r="C944" s="57"/>
      <c r="D944" s="58"/>
      <c r="E944" s="50"/>
      <c r="F944" s="59"/>
      <c r="G944" s="60"/>
      <c r="H944" s="61" t="str">
        <f t="shared" si="1"/>
        <v/>
      </c>
    </row>
    <row r="945">
      <c r="A945" s="56"/>
      <c r="C945" s="57"/>
      <c r="D945" s="58"/>
      <c r="E945" s="50"/>
      <c r="F945" s="59"/>
      <c r="G945" s="60"/>
      <c r="H945" s="61" t="str">
        <f t="shared" si="1"/>
        <v/>
      </c>
    </row>
    <row r="946">
      <c r="A946" s="56"/>
      <c r="C946" s="57"/>
      <c r="D946" s="58"/>
      <c r="E946" s="50"/>
      <c r="F946" s="59"/>
      <c r="G946" s="60"/>
      <c r="H946" s="61" t="str">
        <f t="shared" si="1"/>
        <v/>
      </c>
    </row>
    <row r="947">
      <c r="A947" s="56"/>
      <c r="C947" s="57"/>
      <c r="D947" s="58"/>
      <c r="E947" s="50"/>
      <c r="F947" s="59"/>
      <c r="G947" s="60"/>
      <c r="H947" s="61" t="str">
        <f t="shared" si="1"/>
        <v/>
      </c>
    </row>
    <row r="948">
      <c r="A948" s="56"/>
      <c r="C948" s="57"/>
      <c r="D948" s="58"/>
      <c r="E948" s="50"/>
      <c r="F948" s="59"/>
      <c r="G948" s="60"/>
      <c r="H948" s="61" t="str">
        <f t="shared" si="1"/>
        <v/>
      </c>
    </row>
    <row r="949">
      <c r="A949" s="56"/>
      <c r="C949" s="57"/>
      <c r="D949" s="58"/>
      <c r="E949" s="50"/>
      <c r="F949" s="59"/>
      <c r="G949" s="60"/>
      <c r="H949" s="61" t="str">
        <f t="shared" si="1"/>
        <v/>
      </c>
    </row>
    <row r="950">
      <c r="A950" s="56"/>
      <c r="C950" s="57"/>
      <c r="D950" s="58"/>
      <c r="E950" s="50"/>
      <c r="F950" s="59"/>
      <c r="G950" s="60"/>
      <c r="H950" s="61" t="str">
        <f t="shared" si="1"/>
        <v/>
      </c>
    </row>
    <row r="951">
      <c r="A951" s="56"/>
      <c r="C951" s="57"/>
      <c r="D951" s="58"/>
      <c r="E951" s="50"/>
      <c r="F951" s="59"/>
      <c r="G951" s="60"/>
      <c r="H951" s="61" t="str">
        <f t="shared" si="1"/>
        <v/>
      </c>
    </row>
    <row r="952">
      <c r="A952" s="56"/>
      <c r="C952" s="57"/>
      <c r="D952" s="58"/>
      <c r="E952" s="50"/>
      <c r="F952" s="59"/>
      <c r="G952" s="60"/>
      <c r="H952" s="61" t="str">
        <f t="shared" si="1"/>
        <v/>
      </c>
    </row>
    <row r="953">
      <c r="A953" s="56"/>
      <c r="C953" s="57"/>
      <c r="D953" s="58"/>
      <c r="E953" s="50"/>
      <c r="F953" s="59"/>
      <c r="G953" s="60"/>
      <c r="H953" s="61" t="str">
        <f t="shared" si="1"/>
        <v/>
      </c>
    </row>
    <row r="954">
      <c r="A954" s="56"/>
      <c r="C954" s="57"/>
      <c r="D954" s="58"/>
      <c r="E954" s="50"/>
      <c r="F954" s="59"/>
      <c r="G954" s="60"/>
      <c r="H954" s="61" t="str">
        <f t="shared" si="1"/>
        <v/>
      </c>
    </row>
    <row r="955">
      <c r="A955" s="56"/>
      <c r="C955" s="57"/>
      <c r="D955" s="58"/>
      <c r="E955" s="50"/>
      <c r="F955" s="59"/>
      <c r="G955" s="60"/>
      <c r="H955" s="61" t="str">
        <f t="shared" si="1"/>
        <v/>
      </c>
    </row>
    <row r="956">
      <c r="A956" s="56"/>
      <c r="C956" s="57"/>
      <c r="D956" s="58"/>
      <c r="E956" s="50"/>
      <c r="F956" s="59"/>
      <c r="G956" s="60"/>
      <c r="H956" s="61" t="str">
        <f t="shared" si="1"/>
        <v/>
      </c>
    </row>
    <row r="957">
      <c r="A957" s="56"/>
      <c r="C957" s="57"/>
      <c r="D957" s="58"/>
      <c r="E957" s="50"/>
      <c r="F957" s="59"/>
      <c r="G957" s="60"/>
      <c r="H957" s="61" t="str">
        <f t="shared" si="1"/>
        <v/>
      </c>
    </row>
    <row r="958">
      <c r="A958" s="56"/>
      <c r="C958" s="57"/>
      <c r="D958" s="58"/>
      <c r="E958" s="50"/>
      <c r="F958" s="59"/>
      <c r="G958" s="60"/>
      <c r="H958" s="61" t="str">
        <f t="shared" si="1"/>
        <v/>
      </c>
    </row>
    <row r="959">
      <c r="A959" s="56"/>
      <c r="C959" s="57"/>
      <c r="D959" s="58"/>
      <c r="E959" s="50"/>
      <c r="F959" s="59"/>
      <c r="G959" s="60"/>
      <c r="H959" s="61" t="str">
        <f t="shared" si="1"/>
        <v/>
      </c>
    </row>
    <row r="960">
      <c r="A960" s="56"/>
      <c r="C960" s="57"/>
      <c r="D960" s="58"/>
      <c r="E960" s="50"/>
      <c r="F960" s="59"/>
      <c r="G960" s="60"/>
      <c r="H960" s="61" t="str">
        <f t="shared" si="1"/>
        <v/>
      </c>
    </row>
    <row r="961">
      <c r="A961" s="56"/>
      <c r="C961" s="57"/>
      <c r="D961" s="58"/>
      <c r="E961" s="50"/>
      <c r="F961" s="59"/>
      <c r="G961" s="60"/>
      <c r="H961" s="61" t="str">
        <f t="shared" si="1"/>
        <v/>
      </c>
    </row>
    <row r="962">
      <c r="A962" s="56"/>
      <c r="C962" s="57"/>
      <c r="D962" s="58"/>
      <c r="E962" s="50"/>
      <c r="F962" s="59"/>
      <c r="G962" s="60"/>
      <c r="H962" s="61" t="str">
        <f t="shared" si="1"/>
        <v/>
      </c>
    </row>
    <row r="963">
      <c r="A963" s="56"/>
      <c r="C963" s="57"/>
      <c r="D963" s="58"/>
      <c r="E963" s="50"/>
      <c r="F963" s="59"/>
      <c r="G963" s="60"/>
      <c r="H963" s="61" t="str">
        <f t="shared" si="1"/>
        <v/>
      </c>
    </row>
    <row r="964">
      <c r="A964" s="56"/>
      <c r="C964" s="57"/>
      <c r="D964" s="58"/>
      <c r="E964" s="50"/>
      <c r="F964" s="59"/>
      <c r="G964" s="60"/>
      <c r="H964" s="61" t="str">
        <f t="shared" si="1"/>
        <v/>
      </c>
    </row>
    <row r="965">
      <c r="A965" s="56"/>
      <c r="C965" s="57"/>
      <c r="D965" s="58"/>
      <c r="E965" s="50"/>
      <c r="F965" s="59"/>
      <c r="G965" s="60"/>
      <c r="H965" s="61" t="str">
        <f t="shared" si="1"/>
        <v/>
      </c>
    </row>
    <row r="966">
      <c r="A966" s="56"/>
      <c r="C966" s="57"/>
      <c r="D966" s="58"/>
      <c r="E966" s="50"/>
      <c r="F966" s="59"/>
      <c r="G966" s="60"/>
      <c r="H966" s="61" t="str">
        <f t="shared" si="1"/>
        <v/>
      </c>
    </row>
    <row r="967">
      <c r="A967" s="56"/>
      <c r="C967" s="57"/>
      <c r="D967" s="58"/>
      <c r="E967" s="50"/>
      <c r="F967" s="59"/>
      <c r="G967" s="60"/>
      <c r="H967" s="61" t="str">
        <f t="shared" si="1"/>
        <v/>
      </c>
    </row>
    <row r="968">
      <c r="A968" s="56"/>
      <c r="C968" s="57"/>
      <c r="D968" s="58"/>
      <c r="E968" s="50"/>
      <c r="F968" s="59"/>
      <c r="G968" s="60"/>
      <c r="H968" s="61" t="str">
        <f t="shared" si="1"/>
        <v/>
      </c>
    </row>
    <row r="969">
      <c r="A969" s="56"/>
      <c r="C969" s="57"/>
      <c r="D969" s="58"/>
      <c r="E969" s="50"/>
      <c r="F969" s="59"/>
      <c r="G969" s="60"/>
      <c r="H969" s="61" t="str">
        <f t="shared" si="1"/>
        <v/>
      </c>
    </row>
    <row r="970">
      <c r="A970" s="56"/>
      <c r="C970" s="57"/>
      <c r="D970" s="58"/>
      <c r="E970" s="50"/>
      <c r="F970" s="59"/>
      <c r="G970" s="60"/>
      <c r="H970" s="61" t="str">
        <f t="shared" si="1"/>
        <v/>
      </c>
    </row>
    <row r="971">
      <c r="A971" s="56"/>
      <c r="C971" s="57"/>
      <c r="D971" s="58"/>
      <c r="E971" s="50"/>
      <c r="F971" s="59"/>
      <c r="G971" s="60"/>
      <c r="H971" s="61" t="str">
        <f t="shared" si="1"/>
        <v/>
      </c>
    </row>
    <row r="972">
      <c r="A972" s="56"/>
      <c r="C972" s="57"/>
      <c r="D972" s="58"/>
      <c r="E972" s="50"/>
      <c r="F972" s="59"/>
      <c r="G972" s="60"/>
      <c r="H972" s="61" t="str">
        <f t="shared" si="1"/>
        <v/>
      </c>
    </row>
    <row r="973">
      <c r="A973" s="56"/>
      <c r="C973" s="57"/>
      <c r="D973" s="58"/>
      <c r="E973" s="50"/>
      <c r="F973" s="59"/>
      <c r="G973" s="60"/>
      <c r="H973" s="61" t="str">
        <f t="shared" si="1"/>
        <v/>
      </c>
    </row>
    <row r="974">
      <c r="A974" s="56"/>
      <c r="C974" s="57"/>
      <c r="D974" s="58"/>
      <c r="E974" s="50"/>
      <c r="F974" s="59"/>
      <c r="G974" s="60"/>
      <c r="H974" s="61" t="str">
        <f t="shared" si="1"/>
        <v/>
      </c>
    </row>
    <row r="975">
      <c r="A975" s="56"/>
      <c r="C975" s="57"/>
      <c r="D975" s="58"/>
      <c r="E975" s="50"/>
      <c r="F975" s="59"/>
      <c r="G975" s="60"/>
      <c r="H975" s="61" t="str">
        <f t="shared" si="1"/>
        <v/>
      </c>
    </row>
    <row r="976">
      <c r="A976" s="56"/>
      <c r="C976" s="57"/>
      <c r="D976" s="58"/>
      <c r="E976" s="50"/>
      <c r="F976" s="59"/>
      <c r="G976" s="60"/>
      <c r="H976" s="61" t="str">
        <f t="shared" si="1"/>
        <v/>
      </c>
    </row>
    <row r="977">
      <c r="A977" s="56"/>
      <c r="C977" s="57"/>
      <c r="D977" s="58"/>
      <c r="E977" s="50"/>
      <c r="F977" s="59"/>
      <c r="G977" s="60"/>
      <c r="H977" s="61" t="str">
        <f t="shared" si="1"/>
        <v/>
      </c>
    </row>
    <row r="978">
      <c r="A978" s="56"/>
      <c r="C978" s="57"/>
      <c r="D978" s="58"/>
      <c r="E978" s="50"/>
      <c r="F978" s="59"/>
      <c r="G978" s="60"/>
      <c r="H978" s="61" t="str">
        <f t="shared" si="1"/>
        <v/>
      </c>
    </row>
    <row r="979">
      <c r="A979" s="56"/>
      <c r="C979" s="57"/>
      <c r="D979" s="58"/>
      <c r="E979" s="50"/>
      <c r="F979" s="59"/>
      <c r="G979" s="60"/>
      <c r="H979" s="61" t="str">
        <f t="shared" si="1"/>
        <v/>
      </c>
    </row>
    <row r="980">
      <c r="A980" s="56"/>
      <c r="C980" s="57"/>
      <c r="D980" s="58"/>
      <c r="E980" s="50"/>
      <c r="F980" s="59"/>
      <c r="G980" s="60"/>
      <c r="H980" s="61" t="str">
        <f t="shared" si="1"/>
        <v/>
      </c>
    </row>
    <row r="981">
      <c r="A981" s="56"/>
      <c r="C981" s="57"/>
      <c r="D981" s="58"/>
      <c r="E981" s="50"/>
      <c r="F981" s="59"/>
      <c r="G981" s="60"/>
      <c r="H981" s="61" t="str">
        <f t="shared" si="1"/>
        <v/>
      </c>
    </row>
    <row r="982">
      <c r="A982" s="56"/>
      <c r="C982" s="57"/>
      <c r="D982" s="58"/>
      <c r="E982" s="50"/>
      <c r="F982" s="59"/>
      <c r="G982" s="60"/>
      <c r="H982" s="61" t="str">
        <f t="shared" si="1"/>
        <v/>
      </c>
    </row>
    <row r="983">
      <c r="A983" s="56"/>
      <c r="C983" s="57"/>
      <c r="D983" s="58"/>
      <c r="E983" s="50"/>
      <c r="F983" s="59"/>
      <c r="G983" s="60"/>
      <c r="H983" s="61" t="str">
        <f t="shared" si="1"/>
        <v/>
      </c>
    </row>
    <row r="984">
      <c r="A984" s="56"/>
      <c r="C984" s="57"/>
      <c r="D984" s="58"/>
      <c r="E984" s="50"/>
      <c r="F984" s="59"/>
      <c r="G984" s="60"/>
      <c r="H984" s="61" t="str">
        <f t="shared" si="1"/>
        <v/>
      </c>
    </row>
    <row r="985">
      <c r="A985" s="56"/>
      <c r="C985" s="57"/>
      <c r="D985" s="58"/>
      <c r="E985" s="50"/>
      <c r="F985" s="59"/>
      <c r="G985" s="60"/>
      <c r="H985" s="61" t="str">
        <f t="shared" si="1"/>
        <v/>
      </c>
    </row>
    <row r="986">
      <c r="A986" s="56"/>
      <c r="C986" s="57"/>
      <c r="D986" s="58"/>
      <c r="E986" s="50"/>
      <c r="F986" s="59"/>
      <c r="G986" s="60"/>
      <c r="H986" s="61" t="str">
        <f t="shared" si="1"/>
        <v/>
      </c>
    </row>
    <row r="987">
      <c r="A987" s="56"/>
      <c r="C987" s="57"/>
      <c r="D987" s="58"/>
      <c r="E987" s="50"/>
      <c r="F987" s="59"/>
      <c r="G987" s="60"/>
      <c r="H987" s="61" t="str">
        <f t="shared" si="1"/>
        <v/>
      </c>
    </row>
    <row r="988">
      <c r="A988" s="56"/>
      <c r="C988" s="57"/>
      <c r="D988" s="58"/>
      <c r="E988" s="50"/>
      <c r="F988" s="59"/>
      <c r="G988" s="60"/>
      <c r="H988" s="61" t="str">
        <f t="shared" si="1"/>
        <v/>
      </c>
    </row>
    <row r="989">
      <c r="A989" s="56"/>
      <c r="C989" s="57"/>
      <c r="D989" s="58"/>
      <c r="E989" s="50"/>
      <c r="F989" s="59"/>
      <c r="G989" s="60"/>
      <c r="H989" s="61" t="str">
        <f t="shared" si="1"/>
        <v/>
      </c>
    </row>
    <row r="990">
      <c r="A990" s="56"/>
      <c r="C990" s="57"/>
      <c r="D990" s="58"/>
      <c r="E990" s="50"/>
      <c r="F990" s="59"/>
      <c r="G990" s="60"/>
      <c r="H990" s="61" t="str">
        <f t="shared" si="1"/>
        <v/>
      </c>
    </row>
    <row r="991">
      <c r="A991" s="56"/>
      <c r="C991" s="57"/>
      <c r="D991" s="58"/>
      <c r="E991" s="50"/>
      <c r="F991" s="59"/>
      <c r="G991" s="60"/>
      <c r="H991" s="61" t="str">
        <f t="shared" si="1"/>
        <v/>
      </c>
    </row>
    <row r="992">
      <c r="A992" s="56"/>
      <c r="C992" s="57"/>
      <c r="D992" s="58"/>
      <c r="E992" s="50"/>
      <c r="F992" s="59"/>
      <c r="G992" s="60"/>
      <c r="H992" s="61" t="str">
        <f t="shared" si="1"/>
        <v/>
      </c>
    </row>
    <row r="993">
      <c r="A993" s="56"/>
      <c r="C993" s="57"/>
      <c r="D993" s="58"/>
      <c r="E993" s="50"/>
      <c r="F993" s="59"/>
      <c r="G993" s="60"/>
      <c r="H993" s="61" t="str">
        <f t="shared" si="1"/>
        <v/>
      </c>
    </row>
    <row r="994">
      <c r="A994" s="56"/>
      <c r="C994" s="57"/>
      <c r="D994" s="58"/>
      <c r="E994" s="50"/>
      <c r="F994" s="59"/>
      <c r="G994" s="60"/>
      <c r="H994" s="61" t="str">
        <f t="shared" si="1"/>
        <v/>
      </c>
    </row>
    <row r="995">
      <c r="A995" s="56"/>
      <c r="C995" s="57"/>
      <c r="D995" s="58"/>
      <c r="E995" s="50"/>
      <c r="F995" s="59"/>
      <c r="G995" s="60"/>
      <c r="H995" s="61" t="str">
        <f t="shared" si="1"/>
        <v/>
      </c>
    </row>
    <row r="996">
      <c r="A996" s="56"/>
      <c r="C996" s="57"/>
      <c r="D996" s="58"/>
      <c r="E996" s="50"/>
      <c r="F996" s="59"/>
      <c r="G996" s="60"/>
      <c r="H996" s="61" t="str">
        <f t="shared" si="1"/>
        <v/>
      </c>
    </row>
    <row r="997">
      <c r="A997" s="56"/>
      <c r="C997" s="57"/>
      <c r="D997" s="58"/>
      <c r="E997" s="50"/>
      <c r="F997" s="59"/>
      <c r="G997" s="60"/>
      <c r="H997" s="61" t="str">
        <f t="shared" si="1"/>
        <v/>
      </c>
    </row>
    <row r="998">
      <c r="A998" s="56"/>
      <c r="C998" s="57"/>
      <c r="D998" s="58"/>
      <c r="E998" s="50"/>
      <c r="F998" s="59"/>
      <c r="G998" s="60"/>
      <c r="H998" s="61" t="str">
        <f t="shared" si="1"/>
        <v/>
      </c>
    </row>
    <row r="999">
      <c r="A999" s="56"/>
      <c r="C999" s="57"/>
      <c r="D999" s="58"/>
      <c r="E999" s="50"/>
      <c r="F999" s="59"/>
      <c r="G999" s="60"/>
      <c r="H999" s="61" t="str">
        <f t="shared" si="1"/>
        <v/>
      </c>
    </row>
    <row r="1000">
      <c r="A1000" s="56"/>
      <c r="C1000" s="57"/>
      <c r="D1000" s="58"/>
      <c r="E1000" s="50"/>
      <c r="F1000" s="59"/>
      <c r="G1000" s="60"/>
      <c r="H1000" s="61" t="str">
        <f t="shared" si="1"/>
        <v/>
      </c>
    </row>
    <row r="1001">
      <c r="A1001" s="56"/>
      <c r="C1001" s="57"/>
      <c r="D1001" s="58"/>
      <c r="E1001" s="50"/>
      <c r="F1001" s="59"/>
      <c r="G1001" s="60"/>
      <c r="H1001" s="61" t="str">
        <f t="shared" si="1"/>
        <v/>
      </c>
    </row>
    <row r="1002">
      <c r="A1002" s="56"/>
      <c r="C1002" s="57"/>
      <c r="D1002" s="58"/>
      <c r="E1002" s="50"/>
      <c r="F1002" s="59"/>
      <c r="G1002" s="60"/>
      <c r="H1002" s="61" t="str">
        <f t="shared" si="1"/>
        <v/>
      </c>
    </row>
    <row r="1003">
      <c r="A1003" s="56"/>
      <c r="C1003" s="57"/>
      <c r="D1003" s="58"/>
      <c r="E1003" s="50"/>
      <c r="F1003" s="59"/>
      <c r="G1003" s="60"/>
      <c r="H1003" s="61" t="str">
        <f t="shared" si="1"/>
        <v/>
      </c>
    </row>
    <row r="1004">
      <c r="A1004" s="56"/>
      <c r="C1004" s="57"/>
      <c r="D1004" s="58"/>
      <c r="E1004" s="50"/>
      <c r="F1004" s="59"/>
      <c r="G1004" s="60"/>
      <c r="H1004" s="61" t="str">
        <f t="shared" si="1"/>
        <v/>
      </c>
    </row>
    <row r="1005">
      <c r="A1005" s="56"/>
      <c r="C1005" s="57"/>
      <c r="D1005" s="58"/>
      <c r="E1005" s="50"/>
      <c r="F1005" s="59"/>
      <c r="G1005" s="60"/>
      <c r="H1005" s="61" t="str">
        <f t="shared" si="1"/>
        <v/>
      </c>
    </row>
    <row r="1006">
      <c r="A1006" s="56"/>
      <c r="C1006" s="57"/>
      <c r="D1006" s="58"/>
      <c r="E1006" s="50"/>
      <c r="F1006" s="59"/>
      <c r="G1006" s="60"/>
      <c r="H1006" s="61" t="str">
        <f t="shared" si="1"/>
        <v/>
      </c>
    </row>
    <row r="1007">
      <c r="A1007" s="56"/>
      <c r="C1007" s="57"/>
      <c r="D1007" s="58"/>
      <c r="E1007" s="50"/>
      <c r="F1007" s="59"/>
      <c r="G1007" s="60"/>
      <c r="H1007" s="61" t="str">
        <f t="shared" si="1"/>
        <v/>
      </c>
    </row>
    <row r="1008">
      <c r="A1008" s="56"/>
      <c r="C1008" s="57"/>
      <c r="D1008" s="58"/>
      <c r="E1008" s="50"/>
      <c r="F1008" s="59"/>
      <c r="G1008" s="60"/>
      <c r="H1008" s="61" t="str">
        <f t="shared" si="1"/>
        <v/>
      </c>
    </row>
    <row r="1009">
      <c r="A1009" s="56"/>
      <c r="C1009" s="57"/>
      <c r="D1009" s="58"/>
      <c r="E1009" s="50"/>
      <c r="F1009" s="59"/>
      <c r="G1009" s="60"/>
      <c r="H1009" s="61" t="str">
        <f t="shared" si="1"/>
        <v/>
      </c>
    </row>
    <row r="1010">
      <c r="A1010" s="56"/>
      <c r="C1010" s="57"/>
      <c r="D1010" s="58"/>
      <c r="E1010" s="50"/>
      <c r="F1010" s="59"/>
      <c r="G1010" s="60"/>
      <c r="H1010" s="61" t="str">
        <f t="shared" si="1"/>
        <v/>
      </c>
    </row>
    <row r="1011">
      <c r="A1011" s="56"/>
      <c r="C1011" s="57"/>
      <c r="D1011" s="58"/>
      <c r="E1011" s="50"/>
      <c r="F1011" s="59"/>
      <c r="G1011" s="60"/>
      <c r="H1011" s="61" t="str">
        <f t="shared" si="1"/>
        <v/>
      </c>
    </row>
    <row r="1012">
      <c r="A1012" s="56"/>
      <c r="C1012" s="57"/>
      <c r="D1012" s="58"/>
      <c r="E1012" s="50"/>
      <c r="F1012" s="59"/>
      <c r="G1012" s="60"/>
      <c r="H1012" s="61" t="str">
        <f t="shared" si="1"/>
        <v/>
      </c>
    </row>
    <row r="1013">
      <c r="A1013" s="56"/>
      <c r="C1013" s="57"/>
      <c r="D1013" s="58"/>
      <c r="E1013" s="50"/>
      <c r="F1013" s="59"/>
      <c r="G1013" s="60"/>
      <c r="H1013" s="61" t="str">
        <f t="shared" si="1"/>
        <v/>
      </c>
    </row>
    <row r="1014">
      <c r="A1014" s="56"/>
      <c r="C1014" s="57"/>
      <c r="D1014" s="58"/>
      <c r="E1014" s="50"/>
      <c r="F1014" s="59"/>
      <c r="G1014" s="60"/>
      <c r="H1014" s="61" t="str">
        <f t="shared" si="1"/>
        <v/>
      </c>
    </row>
    <row r="1015">
      <c r="A1015" s="56"/>
      <c r="C1015" s="57"/>
      <c r="D1015" s="58"/>
      <c r="E1015" s="50"/>
      <c r="F1015" s="59"/>
      <c r="G1015" s="60"/>
      <c r="H1015" s="61" t="str">
        <f t="shared" si="1"/>
        <v/>
      </c>
    </row>
    <row r="1016">
      <c r="A1016" s="56"/>
      <c r="C1016" s="57"/>
      <c r="D1016" s="58"/>
      <c r="E1016" s="50"/>
      <c r="F1016" s="59"/>
      <c r="G1016" s="60"/>
      <c r="H1016" s="61" t="str">
        <f t="shared" si="1"/>
        <v/>
      </c>
    </row>
    <row r="1017">
      <c r="A1017" s="56"/>
      <c r="C1017" s="57"/>
      <c r="D1017" s="58"/>
      <c r="E1017" s="50"/>
      <c r="F1017" s="59"/>
      <c r="G1017" s="60"/>
      <c r="H1017" s="61" t="str">
        <f t="shared" si="1"/>
        <v/>
      </c>
    </row>
    <row r="1018">
      <c r="A1018" s="56"/>
      <c r="C1018" s="57"/>
      <c r="D1018" s="58"/>
      <c r="E1018" s="50"/>
      <c r="F1018" s="59"/>
      <c r="G1018" s="60"/>
      <c r="H1018" s="61" t="str">
        <f t="shared" si="1"/>
        <v/>
      </c>
    </row>
    <row r="1019">
      <c r="A1019" s="56"/>
      <c r="C1019" s="57"/>
      <c r="D1019" s="58"/>
      <c r="E1019" s="50"/>
      <c r="F1019" s="59"/>
      <c r="G1019" s="60"/>
      <c r="H1019" s="61" t="str">
        <f t="shared" si="1"/>
        <v/>
      </c>
    </row>
    <row r="1020">
      <c r="A1020" s="56"/>
      <c r="C1020" s="57"/>
      <c r="D1020" s="58"/>
      <c r="E1020" s="50"/>
      <c r="F1020" s="59"/>
      <c r="G1020" s="60"/>
      <c r="H1020" s="61" t="str">
        <f t="shared" si="1"/>
        <v/>
      </c>
    </row>
    <row r="1021">
      <c r="A1021" s="56"/>
      <c r="C1021" s="57"/>
      <c r="D1021" s="58"/>
      <c r="E1021" s="50"/>
      <c r="F1021" s="59"/>
      <c r="G1021" s="60"/>
      <c r="H1021" s="61" t="str">
        <f t="shared" si="1"/>
        <v/>
      </c>
    </row>
    <row r="1022">
      <c r="A1022" s="56"/>
      <c r="C1022" s="57"/>
      <c r="D1022" s="58"/>
      <c r="E1022" s="50"/>
      <c r="F1022" s="59"/>
      <c r="G1022" s="60"/>
      <c r="H1022" s="61" t="str">
        <f t="shared" si="1"/>
        <v/>
      </c>
    </row>
    <row r="1023">
      <c r="A1023" s="56"/>
      <c r="C1023" s="57"/>
      <c r="D1023" s="58"/>
      <c r="E1023" s="50"/>
      <c r="F1023" s="59"/>
      <c r="G1023" s="60"/>
      <c r="H1023" s="61" t="str">
        <f t="shared" si="1"/>
        <v/>
      </c>
    </row>
    <row r="1024">
      <c r="A1024" s="56"/>
      <c r="C1024" s="57"/>
      <c r="D1024" s="58"/>
      <c r="E1024" s="50"/>
      <c r="F1024" s="59"/>
      <c r="G1024" s="60"/>
      <c r="H1024" s="61" t="str">
        <f t="shared" si="1"/>
        <v/>
      </c>
    </row>
    <row r="1025">
      <c r="A1025" s="56"/>
      <c r="C1025" s="57"/>
      <c r="D1025" s="58"/>
      <c r="E1025" s="50"/>
      <c r="F1025" s="59"/>
      <c r="G1025" s="60"/>
      <c r="H1025" s="61" t="str">
        <f t="shared" si="1"/>
        <v/>
      </c>
    </row>
    <row r="1026">
      <c r="A1026" s="56"/>
      <c r="C1026" s="57"/>
      <c r="D1026" s="58"/>
      <c r="E1026" s="50"/>
      <c r="F1026" s="59"/>
      <c r="G1026" s="60"/>
      <c r="H1026" s="61" t="str">
        <f t="shared" si="1"/>
        <v/>
      </c>
    </row>
    <row r="1027">
      <c r="A1027" s="56"/>
      <c r="C1027" s="57"/>
      <c r="D1027" s="58"/>
      <c r="E1027" s="50"/>
      <c r="F1027" s="59"/>
      <c r="G1027" s="60"/>
      <c r="H1027" s="61" t="str">
        <f t="shared" si="1"/>
        <v/>
      </c>
    </row>
    <row r="1028">
      <c r="A1028" s="56"/>
      <c r="C1028" s="57"/>
      <c r="D1028" s="58"/>
      <c r="E1028" s="50"/>
      <c r="F1028" s="59"/>
      <c r="G1028" s="60"/>
      <c r="H1028" s="61" t="str">
        <f t="shared" si="1"/>
        <v/>
      </c>
    </row>
    <row r="1029">
      <c r="A1029" s="56"/>
      <c r="C1029" s="57"/>
      <c r="D1029" s="58"/>
      <c r="E1029" s="50"/>
      <c r="F1029" s="59"/>
      <c r="G1029" s="60"/>
      <c r="H1029" s="61" t="str">
        <f t="shared" si="1"/>
        <v/>
      </c>
    </row>
    <row r="1030">
      <c r="A1030" s="56"/>
      <c r="C1030" s="57"/>
      <c r="D1030" s="58"/>
      <c r="E1030" s="50"/>
      <c r="F1030" s="59"/>
      <c r="G1030" s="60"/>
      <c r="H1030" s="61" t="str">
        <f t="shared" si="1"/>
        <v/>
      </c>
    </row>
    <row r="1031">
      <c r="A1031" s="56"/>
      <c r="C1031" s="57"/>
      <c r="D1031" s="58"/>
      <c r="E1031" s="50"/>
      <c r="F1031" s="59"/>
      <c r="G1031" s="60"/>
      <c r="H1031" s="61" t="str">
        <f t="shared" si="1"/>
        <v/>
      </c>
    </row>
    <row r="1032">
      <c r="A1032" s="56"/>
      <c r="C1032" s="57"/>
      <c r="D1032" s="58"/>
      <c r="E1032" s="50"/>
      <c r="F1032" s="59"/>
      <c r="G1032" s="60"/>
      <c r="H1032" s="61" t="str">
        <f t="shared" si="1"/>
        <v/>
      </c>
    </row>
    <row r="1033">
      <c r="A1033" s="56"/>
      <c r="C1033" s="57"/>
      <c r="D1033" s="58"/>
      <c r="E1033" s="50"/>
      <c r="F1033" s="59"/>
      <c r="G1033" s="60"/>
      <c r="H1033" s="61" t="str">
        <f t="shared" si="1"/>
        <v/>
      </c>
    </row>
    <row r="1034">
      <c r="A1034" s="56"/>
      <c r="C1034" s="57"/>
      <c r="D1034" s="58"/>
      <c r="E1034" s="50"/>
      <c r="F1034" s="59"/>
      <c r="G1034" s="60"/>
      <c r="H1034" s="61" t="str">
        <f t="shared" si="1"/>
        <v/>
      </c>
    </row>
    <row r="1035">
      <c r="A1035" s="56"/>
      <c r="C1035" s="57"/>
      <c r="D1035" s="58"/>
      <c r="E1035" s="50"/>
      <c r="F1035" s="59"/>
      <c r="G1035" s="60"/>
      <c r="H1035" s="61" t="str">
        <f t="shared" si="1"/>
        <v/>
      </c>
    </row>
    <row r="1036">
      <c r="A1036" s="56"/>
      <c r="C1036" s="57"/>
      <c r="D1036" s="58"/>
      <c r="E1036" s="50"/>
      <c r="F1036" s="59"/>
      <c r="G1036" s="60"/>
      <c r="H1036" s="61" t="str">
        <f t="shared" si="1"/>
        <v/>
      </c>
    </row>
    <row r="1037">
      <c r="A1037" s="56"/>
      <c r="C1037" s="57"/>
      <c r="D1037" s="58"/>
      <c r="E1037" s="50"/>
      <c r="F1037" s="59"/>
      <c r="G1037" s="60"/>
      <c r="H1037" s="61" t="str">
        <f t="shared" si="1"/>
        <v/>
      </c>
    </row>
    <row r="1038">
      <c r="A1038" s="56"/>
      <c r="C1038" s="57"/>
      <c r="D1038" s="58"/>
      <c r="E1038" s="50"/>
      <c r="F1038" s="59"/>
      <c r="G1038" s="60"/>
      <c r="H1038" s="61" t="str">
        <f t="shared" si="1"/>
        <v/>
      </c>
    </row>
    <row r="1039">
      <c r="A1039" s="56"/>
      <c r="C1039" s="57"/>
      <c r="D1039" s="58"/>
      <c r="E1039" s="50"/>
      <c r="F1039" s="59"/>
      <c r="G1039" s="60"/>
      <c r="H1039" s="61" t="str">
        <f t="shared" si="1"/>
        <v/>
      </c>
    </row>
    <row r="1040">
      <c r="A1040" s="56"/>
      <c r="C1040" s="57"/>
      <c r="D1040" s="58"/>
      <c r="E1040" s="50"/>
      <c r="F1040" s="59"/>
      <c r="G1040" s="60"/>
      <c r="H1040" s="61" t="str">
        <f t="shared" si="1"/>
        <v/>
      </c>
    </row>
    <row r="1041">
      <c r="A1041" s="56"/>
      <c r="C1041" s="57"/>
      <c r="D1041" s="58"/>
      <c r="E1041" s="50"/>
      <c r="F1041" s="59"/>
      <c r="G1041" s="60"/>
      <c r="H1041" s="61" t="str">
        <f t="shared" si="1"/>
        <v/>
      </c>
    </row>
    <row r="1042">
      <c r="A1042" s="56"/>
      <c r="C1042" s="57"/>
      <c r="D1042" s="58"/>
      <c r="E1042" s="50"/>
      <c r="F1042" s="59"/>
      <c r="G1042" s="60"/>
      <c r="H1042" s="61" t="str">
        <f t="shared" si="1"/>
        <v/>
      </c>
    </row>
    <row r="1043">
      <c r="A1043" s="56"/>
      <c r="C1043" s="57"/>
      <c r="D1043" s="58"/>
      <c r="E1043" s="50"/>
      <c r="F1043" s="59"/>
      <c r="G1043" s="60"/>
      <c r="H1043" s="61" t="str">
        <f t="shared" si="1"/>
        <v/>
      </c>
    </row>
    <row r="1044">
      <c r="A1044" s="56"/>
      <c r="C1044" s="57"/>
      <c r="D1044" s="58"/>
      <c r="E1044" s="50"/>
      <c r="F1044" s="59"/>
      <c r="G1044" s="60"/>
      <c r="H1044" s="61" t="str">
        <f t="shared" si="1"/>
        <v/>
      </c>
    </row>
    <row r="1045">
      <c r="A1045" s="56"/>
      <c r="C1045" s="57"/>
      <c r="D1045" s="58"/>
      <c r="E1045" s="50"/>
      <c r="F1045" s="59"/>
      <c r="G1045" s="60"/>
      <c r="H1045" s="61" t="str">
        <f t="shared" si="1"/>
        <v/>
      </c>
    </row>
    <row r="1046">
      <c r="A1046" s="56"/>
      <c r="C1046" s="57"/>
      <c r="D1046" s="58"/>
      <c r="E1046" s="50"/>
      <c r="F1046" s="59"/>
      <c r="G1046" s="60"/>
      <c r="H1046" s="61" t="str">
        <f t="shared" si="1"/>
        <v/>
      </c>
    </row>
    <row r="1047">
      <c r="A1047" s="56"/>
      <c r="C1047" s="57"/>
      <c r="D1047" s="58"/>
      <c r="E1047" s="50"/>
      <c r="F1047" s="59"/>
      <c r="G1047" s="60"/>
      <c r="H1047" s="61" t="str">
        <f t="shared" si="1"/>
        <v/>
      </c>
    </row>
    <row r="1048">
      <c r="A1048" s="56"/>
      <c r="C1048" s="57"/>
      <c r="D1048" s="58"/>
      <c r="E1048" s="50"/>
      <c r="F1048" s="59"/>
      <c r="G1048" s="60"/>
      <c r="H1048" s="61" t="str">
        <f t="shared" si="1"/>
        <v/>
      </c>
    </row>
    <row r="1049">
      <c r="A1049" s="56"/>
      <c r="C1049" s="57"/>
      <c r="D1049" s="58"/>
      <c r="E1049" s="50"/>
      <c r="F1049" s="59"/>
      <c r="G1049" s="60"/>
      <c r="H1049" s="61" t="str">
        <f t="shared" si="1"/>
        <v/>
      </c>
    </row>
    <row r="1050">
      <c r="A1050" s="56"/>
      <c r="C1050" s="57"/>
      <c r="D1050" s="58"/>
      <c r="E1050" s="50"/>
      <c r="F1050" s="59"/>
      <c r="G1050" s="60"/>
      <c r="H1050" s="61" t="str">
        <f t="shared" si="1"/>
        <v/>
      </c>
    </row>
    <row r="1051">
      <c r="A1051" s="56"/>
      <c r="C1051" s="57"/>
      <c r="D1051" s="58"/>
      <c r="E1051" s="50"/>
      <c r="F1051" s="59"/>
      <c r="G1051" s="60"/>
      <c r="H1051" s="61" t="str">
        <f t="shared" si="1"/>
        <v/>
      </c>
    </row>
    <row r="1052">
      <c r="A1052" s="56"/>
      <c r="C1052" s="57"/>
      <c r="D1052" s="58"/>
      <c r="E1052" s="50"/>
      <c r="F1052" s="59"/>
      <c r="G1052" s="60"/>
      <c r="H1052" s="61" t="str">
        <f t="shared" si="1"/>
        <v/>
      </c>
    </row>
    <row r="1053">
      <c r="A1053" s="56"/>
      <c r="C1053" s="57"/>
      <c r="D1053" s="58"/>
      <c r="E1053" s="50"/>
      <c r="F1053" s="59"/>
      <c r="G1053" s="60"/>
      <c r="H1053" s="61" t="str">
        <f t="shared" si="1"/>
        <v/>
      </c>
    </row>
    <row r="1054">
      <c r="A1054" s="56"/>
      <c r="C1054" s="57"/>
      <c r="D1054" s="58"/>
      <c r="E1054" s="50"/>
      <c r="F1054" s="59"/>
      <c r="G1054" s="60"/>
      <c r="H1054" s="61" t="str">
        <f t="shared" si="1"/>
        <v/>
      </c>
    </row>
    <row r="1055">
      <c r="A1055" s="56"/>
      <c r="C1055" s="57"/>
      <c r="D1055" s="58"/>
      <c r="E1055" s="50"/>
      <c r="F1055" s="59"/>
      <c r="G1055" s="60"/>
      <c r="H1055" s="61" t="str">
        <f t="shared" si="1"/>
        <v/>
      </c>
    </row>
    <row r="1056">
      <c r="A1056" s="56"/>
      <c r="C1056" s="57"/>
      <c r="D1056" s="58"/>
      <c r="E1056" s="50"/>
      <c r="F1056" s="59"/>
      <c r="G1056" s="60"/>
      <c r="H1056" s="61" t="str">
        <f t="shared" si="1"/>
        <v/>
      </c>
    </row>
    <row r="1057">
      <c r="A1057" s="56"/>
      <c r="C1057" s="57"/>
      <c r="D1057" s="58"/>
      <c r="E1057" s="50"/>
      <c r="F1057" s="59"/>
      <c r="G1057" s="60"/>
      <c r="H1057" s="61" t="str">
        <f t="shared" si="1"/>
        <v/>
      </c>
    </row>
    <row r="1058">
      <c r="A1058" s="56"/>
      <c r="C1058" s="57"/>
      <c r="D1058" s="58"/>
      <c r="E1058" s="50"/>
      <c r="F1058" s="59"/>
      <c r="G1058" s="60"/>
      <c r="H1058" s="61" t="str">
        <f t="shared" si="1"/>
        <v/>
      </c>
    </row>
    <row r="1059">
      <c r="A1059" s="56"/>
      <c r="C1059" s="57"/>
      <c r="D1059" s="58"/>
      <c r="E1059" s="50"/>
      <c r="F1059" s="59"/>
      <c r="G1059" s="60"/>
      <c r="H1059" s="61" t="str">
        <f t="shared" si="1"/>
        <v/>
      </c>
    </row>
    <row r="1060">
      <c r="A1060" s="56"/>
      <c r="C1060" s="57"/>
      <c r="D1060" s="58"/>
      <c r="E1060" s="50"/>
      <c r="F1060" s="59"/>
      <c r="G1060" s="60"/>
      <c r="H1060" s="61" t="str">
        <f t="shared" si="1"/>
        <v/>
      </c>
    </row>
    <row r="1061">
      <c r="A1061" s="56"/>
      <c r="C1061" s="57"/>
      <c r="D1061" s="58"/>
      <c r="E1061" s="50"/>
      <c r="F1061" s="59"/>
      <c r="G1061" s="60"/>
      <c r="H1061" s="61" t="str">
        <f t="shared" si="1"/>
        <v/>
      </c>
    </row>
    <row r="1062">
      <c r="A1062" s="56"/>
      <c r="C1062" s="57"/>
      <c r="D1062" s="58"/>
      <c r="E1062" s="50"/>
      <c r="F1062" s="59"/>
      <c r="G1062" s="60"/>
      <c r="H1062" s="61" t="str">
        <f t="shared" si="1"/>
        <v/>
      </c>
    </row>
    <row r="1063">
      <c r="A1063" s="56"/>
      <c r="C1063" s="57"/>
      <c r="D1063" s="58"/>
      <c r="E1063" s="50"/>
      <c r="F1063" s="59"/>
      <c r="G1063" s="60"/>
      <c r="H1063" s="61" t="str">
        <f t="shared" si="1"/>
        <v/>
      </c>
    </row>
    <row r="1064">
      <c r="A1064" s="56"/>
      <c r="C1064" s="57"/>
      <c r="D1064" s="58"/>
      <c r="E1064" s="50"/>
      <c r="F1064" s="59"/>
      <c r="G1064" s="60"/>
      <c r="H1064" s="61" t="str">
        <f t="shared" si="1"/>
        <v/>
      </c>
    </row>
    <row r="1065">
      <c r="A1065" s="56"/>
      <c r="C1065" s="57"/>
      <c r="D1065" s="58"/>
      <c r="E1065" s="50"/>
      <c r="F1065" s="59"/>
      <c r="G1065" s="60"/>
      <c r="H1065" s="61" t="str">
        <f t="shared" si="1"/>
        <v/>
      </c>
    </row>
    <row r="1066">
      <c r="A1066" s="56"/>
      <c r="C1066" s="57"/>
      <c r="D1066" s="58"/>
      <c r="E1066" s="50"/>
      <c r="F1066" s="59"/>
      <c r="G1066" s="60"/>
      <c r="H1066" s="61" t="str">
        <f t="shared" si="1"/>
        <v/>
      </c>
    </row>
    <row r="1067">
      <c r="A1067" s="56"/>
      <c r="C1067" s="57"/>
      <c r="D1067" s="58"/>
      <c r="E1067" s="50"/>
      <c r="F1067" s="59"/>
      <c r="G1067" s="60"/>
      <c r="H1067" s="61" t="str">
        <f t="shared" si="1"/>
        <v/>
      </c>
    </row>
    <row r="1068">
      <c r="A1068" s="56"/>
      <c r="C1068" s="57"/>
      <c r="D1068" s="58"/>
      <c r="E1068" s="50"/>
      <c r="F1068" s="59"/>
      <c r="G1068" s="60"/>
      <c r="H1068" s="61" t="str">
        <f t="shared" si="1"/>
        <v/>
      </c>
    </row>
    <row r="1069">
      <c r="A1069" s="56"/>
      <c r="C1069" s="57"/>
      <c r="D1069" s="58"/>
      <c r="E1069" s="50"/>
      <c r="F1069" s="59"/>
      <c r="G1069" s="60"/>
      <c r="H1069" s="61" t="str">
        <f t="shared" si="1"/>
        <v/>
      </c>
    </row>
    <row r="1070">
      <c r="A1070" s="56"/>
      <c r="C1070" s="57"/>
      <c r="D1070" s="58"/>
      <c r="E1070" s="50"/>
      <c r="F1070" s="59"/>
      <c r="G1070" s="60"/>
      <c r="H1070" s="61" t="str">
        <f t="shared" si="1"/>
        <v/>
      </c>
    </row>
    <row r="1071">
      <c r="A1071" s="56"/>
      <c r="C1071" s="57"/>
      <c r="D1071" s="58"/>
      <c r="E1071" s="50"/>
      <c r="F1071" s="59"/>
      <c r="G1071" s="60"/>
      <c r="H1071" s="61" t="str">
        <f t="shared" si="1"/>
        <v/>
      </c>
    </row>
    <row r="1072">
      <c r="A1072" s="56"/>
      <c r="C1072" s="57"/>
      <c r="D1072" s="58"/>
      <c r="E1072" s="50"/>
      <c r="F1072" s="59"/>
      <c r="G1072" s="60"/>
      <c r="H1072" s="61" t="str">
        <f t="shared" si="1"/>
        <v/>
      </c>
    </row>
    <row r="1073">
      <c r="A1073" s="56"/>
      <c r="C1073" s="57"/>
      <c r="D1073" s="58"/>
      <c r="E1073" s="50"/>
      <c r="F1073" s="59"/>
      <c r="G1073" s="60"/>
      <c r="H1073" s="61" t="str">
        <f t="shared" si="1"/>
        <v/>
      </c>
    </row>
    <row r="1074">
      <c r="A1074" s="56"/>
      <c r="C1074" s="57"/>
      <c r="D1074" s="58"/>
      <c r="E1074" s="50"/>
      <c r="F1074" s="59"/>
      <c r="G1074" s="60"/>
      <c r="H1074" s="61" t="str">
        <f t="shared" si="1"/>
        <v/>
      </c>
    </row>
    <row r="1075">
      <c r="A1075" s="56"/>
      <c r="C1075" s="57"/>
      <c r="D1075" s="58"/>
      <c r="E1075" s="50"/>
      <c r="F1075" s="59"/>
      <c r="G1075" s="60"/>
      <c r="H1075" s="61" t="str">
        <f t="shared" si="1"/>
        <v/>
      </c>
    </row>
    <row r="1076">
      <c r="A1076" s="56"/>
      <c r="C1076" s="57"/>
      <c r="D1076" s="58"/>
      <c r="E1076" s="50"/>
      <c r="F1076" s="59"/>
      <c r="G1076" s="60"/>
      <c r="H1076" s="61" t="str">
        <f t="shared" si="1"/>
        <v/>
      </c>
    </row>
    <row r="1077">
      <c r="A1077" s="56"/>
      <c r="C1077" s="57"/>
      <c r="D1077" s="58"/>
      <c r="E1077" s="50"/>
      <c r="F1077" s="59"/>
      <c r="G1077" s="60"/>
      <c r="H1077" s="61" t="str">
        <f t="shared" si="1"/>
        <v/>
      </c>
    </row>
    <row r="1078">
      <c r="A1078" s="56"/>
      <c r="C1078" s="57"/>
      <c r="D1078" s="58"/>
      <c r="E1078" s="50"/>
      <c r="F1078" s="59"/>
      <c r="G1078" s="60"/>
      <c r="H1078" s="61" t="str">
        <f t="shared" si="1"/>
        <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5.14"/>
    <col customWidth="1" min="2" max="2" width="30.43"/>
    <col customWidth="1" min="3" max="3" width="46.0"/>
  </cols>
  <sheetData>
    <row r="1">
      <c r="A1" s="9" t="s">
        <v>281</v>
      </c>
      <c r="B1" s="9" t="s">
        <v>65</v>
      </c>
      <c r="C1" s="9" t="s">
        <v>66</v>
      </c>
    </row>
    <row r="2">
      <c r="A2" s="62" t="s">
        <v>282</v>
      </c>
      <c r="B2" s="17" t="s">
        <v>283</v>
      </c>
      <c r="C2" s="17" t="s">
        <v>284</v>
      </c>
    </row>
    <row r="3">
      <c r="A3" s="62" t="s">
        <v>285</v>
      </c>
      <c r="B3" t="s">
        <v>283</v>
      </c>
      <c r="C3" t="s">
        <v>286</v>
      </c>
    </row>
    <row r="4">
      <c r="A4" s="62" t="s">
        <v>287</v>
      </c>
      <c r="B4" t="s">
        <v>288</v>
      </c>
      <c r="C4" t="s">
        <v>289</v>
      </c>
    </row>
    <row r="5">
      <c r="A5" s="62" t="s">
        <v>290</v>
      </c>
      <c r="B5" s="17" t="s">
        <v>288</v>
      </c>
      <c r="C5" s="17" t="s">
        <v>291</v>
      </c>
    </row>
    <row r="6">
      <c r="A6" s="62" t="s">
        <v>87</v>
      </c>
      <c r="B6" t="s">
        <v>292</v>
      </c>
      <c r="C6" t="s">
        <v>293</v>
      </c>
    </row>
    <row r="7">
      <c r="A7" s="62" t="s">
        <v>294</v>
      </c>
      <c r="B7" s="17" t="s">
        <v>292</v>
      </c>
      <c r="C7" s="17" t="s">
        <v>295</v>
      </c>
    </row>
    <row r="8">
      <c r="A8" s="62" t="s">
        <v>296</v>
      </c>
      <c r="B8" s="17" t="s">
        <v>292</v>
      </c>
      <c r="C8" s="17" t="s">
        <v>297</v>
      </c>
    </row>
    <row r="9">
      <c r="A9" s="62" t="s">
        <v>74</v>
      </c>
      <c r="B9" t="s">
        <v>298</v>
      </c>
      <c r="C9" t="s">
        <v>299</v>
      </c>
    </row>
    <row r="10">
      <c r="A10" s="62" t="s">
        <v>300</v>
      </c>
      <c r="B10" s="17" t="s">
        <v>298</v>
      </c>
      <c r="C10" s="17" t="s">
        <v>301</v>
      </c>
    </row>
    <row r="11">
      <c r="A11" s="62" t="s">
        <v>94</v>
      </c>
      <c r="B11" t="s">
        <v>302</v>
      </c>
      <c r="C11" t="s">
        <v>303</v>
      </c>
    </row>
    <row r="12">
      <c r="A12" s="62" t="s">
        <v>304</v>
      </c>
      <c r="B12" s="17" t="s">
        <v>302</v>
      </c>
      <c r="C12" s="17" t="s">
        <v>305</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3" max="3" width="18.29"/>
    <col customWidth="1" min="4" max="4" width="22.0"/>
    <col customWidth="1" min="5" max="5" width="75.14"/>
  </cols>
  <sheetData>
    <row r="1">
      <c r="A1" s="63" t="s">
        <v>306</v>
      </c>
      <c r="B1" s="63" t="s">
        <v>307</v>
      </c>
      <c r="C1" s="63" t="s">
        <v>308</v>
      </c>
      <c r="D1" s="63" t="s">
        <v>309</v>
      </c>
      <c r="E1" s="63" t="s">
        <v>310</v>
      </c>
    </row>
    <row r="2">
      <c r="A2" s="64">
        <f t="array" ref="A2">IF(ISNUMBER(INDEX(Investment!$T:$T,ROWS(Investment!$T:$T))),COUNTIFS(Investment!$W2:$W6,"&lt;&gt;HOLD*",Investment!$T2:$T6,"&lt;&gt;0"),0)</f>
        <v>0</v>
      </c>
      <c r="B2" s="65"/>
      <c r="C2" s="66"/>
      <c r="D2" s="19" t="s">
        <v>311</v>
      </c>
      <c r="E2" s="19" t="s">
        <v>312</v>
      </c>
    </row>
    <row r="3">
      <c r="A3" s="64">
        <f>IF(DateTime!$B$12,COUNTIFS(Investment!$AQ2:$AQ6,"&gt;"&amp;DateTime!B1-TIME(0,30,0),Investment!$AQ2:$AQ6,"&lt;"&amp;DateTime!B1-TIME(0,15,0)),0)</f>
        <v>0</v>
      </c>
      <c r="B3" s="65"/>
      <c r="C3" s="66"/>
      <c r="D3" s="19" t="s">
        <v>313</v>
      </c>
      <c r="E3" s="19" t="s">
        <v>314</v>
      </c>
    </row>
    <row r="4">
      <c r="A4" s="64">
        <f>COUNTIFS(Historic!$H:$H,"XXXXXX")</f>
        <v>0</v>
      </c>
      <c r="B4" s="65"/>
      <c r="C4" s="66"/>
      <c r="D4" s="19" t="s">
        <v>315</v>
      </c>
      <c r="E4" s="19" t="s">
        <v>316</v>
      </c>
    </row>
    <row r="5">
      <c r="A5" s="64">
        <f>IF(AND(DateTime!$B$6&gt;=28,Allocation!$B$12&lt;&gt;Allocation!$B$13,Allocation!$B$13&lt;&gt;Allocation!$B$14),Allocation!$B$13,0)</f>
        <v>0</v>
      </c>
      <c r="B5" s="65"/>
      <c r="C5" s="66"/>
      <c r="D5" s="19" t="s">
        <v>317</v>
      </c>
      <c r="E5" s="19" t="s">
        <v>318</v>
      </c>
    </row>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13.29"/>
    <col customWidth="1" min="2" max="2" width="17.57"/>
  </cols>
  <sheetData>
    <row r="1">
      <c r="A1" s="67" t="s">
        <v>319</v>
      </c>
      <c r="B1" s="68">
        <f>NOW()</f>
        <v>44146.97638</v>
      </c>
    </row>
    <row r="2">
      <c r="A2" s="67" t="s">
        <v>46</v>
      </c>
      <c r="B2" s="69">
        <f>DATEVALUE($B$1)</f>
        <v>44146</v>
      </c>
    </row>
    <row r="3">
      <c r="A3" s="67" t="s">
        <v>320</v>
      </c>
      <c r="B3" s="70">
        <f>TIMEVALUE($B$1)</f>
        <v>0.9763773148</v>
      </c>
    </row>
    <row r="4">
      <c r="A4" s="67" t="s">
        <v>321</v>
      </c>
      <c r="B4">
        <f>YEAR($B$1)</f>
        <v>2020</v>
      </c>
    </row>
    <row r="5">
      <c r="A5" s="67" t="s">
        <v>322</v>
      </c>
      <c r="B5">
        <f>MONTH($B$1)</f>
        <v>11</v>
      </c>
    </row>
    <row r="6">
      <c r="A6" s="67" t="s">
        <v>323</v>
      </c>
      <c r="B6">
        <f>DAY($B$1)</f>
        <v>11</v>
      </c>
    </row>
    <row r="7">
      <c r="A7" s="67" t="s">
        <v>324</v>
      </c>
      <c r="B7">
        <f>WEEKDAY($B$1,2)</f>
        <v>3</v>
      </c>
    </row>
    <row r="8">
      <c r="A8" s="71" t="s">
        <v>325</v>
      </c>
      <c r="B8" s="72">
        <v>1.0</v>
      </c>
    </row>
    <row r="9">
      <c r="A9" s="67" t="s">
        <v>326</v>
      </c>
      <c r="B9" s="19">
        <v>5.0</v>
      </c>
    </row>
    <row r="10">
      <c r="A10" s="67" t="s">
        <v>327</v>
      </c>
      <c r="B10" s="73">
        <f>TIME(9,0,0)</f>
        <v>0.375</v>
      </c>
    </row>
    <row r="11">
      <c r="A11" s="67" t="s">
        <v>328</v>
      </c>
      <c r="B11" s="73">
        <f>TIME(17,35,0)</f>
        <v>0.7326388889</v>
      </c>
    </row>
    <row r="12">
      <c r="A12" s="67" t="s">
        <v>329</v>
      </c>
      <c r="B12" s="19" t="b">
        <f>AND($B$7&gt;=$B$8,$B$7&lt;=$B$9,$B$3&gt;$B$10,$B$3&lt;$B$11)</f>
        <v>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44.86"/>
    <col customWidth="1" min="4" max="4" width="12.57"/>
    <col customWidth="1" min="5" max="5" width="12.71"/>
  </cols>
  <sheetData>
    <row r="1">
      <c r="A1" s="9" t="str">
        <f>IFERROR(__xludf.DUMMYFUNCTION("UNIQUE(Historic!$C:$C)"),"Label")</f>
        <v>Label</v>
      </c>
      <c r="B1" s="9" t="s">
        <v>68</v>
      </c>
      <c r="C1" s="9" t="s">
        <v>70</v>
      </c>
      <c r="D1" s="9" t="s">
        <v>330</v>
      </c>
      <c r="E1" s="9" t="s">
        <v>331</v>
      </c>
    </row>
    <row r="2">
      <c r="A2" t="str">
        <f>IFERROR(__xludf.DUMMYFUNCTION("""COMPUTED_VALUE"""),"Vanguard S&amp;P 500 UCITS")</f>
        <v>Vanguard S&amp;P 500 UCITS</v>
      </c>
      <c r="B2" s="74">
        <f>IF($A2&lt;&gt;"",SUMIFS(Historic!E:E,Historic!$C:$C,$A2),)</f>
        <v>4536</v>
      </c>
      <c r="C2" s="74">
        <f>IF($A2&lt;&gt;"",SUMIFS(Historic!G:G,Historic!$C:$C,$A2),)</f>
        <v>-149180.58</v>
      </c>
      <c r="D2" s="75">
        <f>IF(AND($A2&lt;&gt;"",MAXIFS(Investment!$M:$M,Investment!$H:$H,LEFT($A2,30)&amp;"*")),MAXIFS(Investment!$M:$M,Investment!$H:$H,LEFT($A2,30)&amp;"*"),)</f>
        <v>57.638</v>
      </c>
      <c r="E2" s="76">
        <f>IF(AND($A2&lt;&gt;"",MAXIFS(Investment!$AI:$AI,Investment!$H:$H,LEFT($A2,30)&amp;"*")),MAXIFS(Investment!$AI:$AI,Investment!$H:$H,LEFT($A2,30)&amp;"*"),)</f>
        <v>53.03217829</v>
      </c>
    </row>
    <row r="3">
      <c r="A3" t="str">
        <f>IFERROR(__xludf.DUMMYFUNCTION("""COMPUTED_VALUE"""),"iShares Treasury Bond 20+ UCITS")</f>
        <v>iShares Treasury Bond 20+ UCITS</v>
      </c>
      <c r="B3" s="74">
        <f>IF($A3&lt;&gt;"",SUMIFS(Historic!E:E,Historic!$C:$C,$A3),)</f>
        <v>119696</v>
      </c>
      <c r="C3" s="74">
        <f>IF($A3&lt;&gt;"",SUMIFS(Historic!G:G,Historic!$C:$C,$A3),)</f>
        <v>-527568.78</v>
      </c>
      <c r="D3" s="75">
        <f>IF(AND($A3&lt;&gt;"",MAXIFS(Investment!$M:$M,Investment!$H:$H,LEFT($A3,30)&amp;"*")),MAXIFS(Investment!$M:$M,Investment!$H:$H,LEFT($A3,30)&amp;"*"),)</f>
        <v>4.9448</v>
      </c>
      <c r="E3" s="76">
        <f>IF(AND($A3&lt;&gt;"",MAXIFS(Investment!$AI:$AI,Investment!$H:$H,LEFT($A3,30)&amp;"*")),MAXIFS(Investment!$AI:$AI,Investment!$H:$H,LEFT($A3,30)&amp;"*"),)</f>
        <v>5.200445736</v>
      </c>
    </row>
    <row r="4">
      <c r="A4" t="str">
        <f>IFERROR(__xludf.DUMMYFUNCTION("""COMPUTED_VALUE"""),"iShares Treasury Bond 7-10 UCITS")</f>
        <v>iShares Treasury Bond 7-10 UCITS</v>
      </c>
      <c r="B4" s="74">
        <f>IF($A4&lt;&gt;"",SUMIFS(Historic!E:E,Historic!$C:$C,$A4),)</f>
        <v>1157</v>
      </c>
      <c r="C4" s="74">
        <f>IF($A4&lt;&gt;"",SUMIFS(Historic!G:G,Historic!$C:$C,$A4),)</f>
        <v>-193615.94</v>
      </c>
      <c r="D4" s="75">
        <f>IF(AND($A4&lt;&gt;"",MAXIFS(Investment!$M:$M,Investment!$H:$H,LEFT($A4,30)&amp;"*")),MAXIFS(Investment!$M:$M,Investment!$H:$H,LEFT($A4,30)&amp;"*"),)</f>
        <v>186.46</v>
      </c>
      <c r="E4" s="76">
        <f>IF(AND($A4&lt;&gt;"",MAXIFS(Investment!$AI:$AI,Investment!$H:$H,LEFT($A4,30)&amp;"*")),MAXIFS(Investment!$AI:$AI,Investment!$H:$H,LEFT($A4,30)&amp;"*"),)</f>
        <v>192.8896899</v>
      </c>
    </row>
    <row r="5">
      <c r="A5" t="str">
        <f>IFERROR(__xludf.DUMMYFUNCTION("""COMPUTED_VALUE"""),"")</f>
        <v/>
      </c>
      <c r="B5" s="74" t="str">
        <f>IF($A5&lt;&gt;"",SUMIFS(Historic!E:E,Historic!$C:$C,$A5),)</f>
        <v/>
      </c>
      <c r="C5" s="74" t="str">
        <f>IF($A5&lt;&gt;"",SUMIFS(Historic!G:G,Historic!$C:$C,$A5),)</f>
        <v/>
      </c>
      <c r="D5" s="75" t="str">
        <f>IF(AND($A5&lt;&gt;"",MAXIFS(Investment!$M:$M,Investment!$H:$H,LEFT($A5,30)&amp;"*")),MAXIFS(Investment!$M:$M,Investment!$H:$H,LEFT($A5,30)&amp;"*"),)</f>
        <v/>
      </c>
      <c r="E5" s="76" t="str">
        <f>IF(AND($A5&lt;&gt;"",MAXIFS(Investment!$AI:$AI,Investment!$H:$H,LEFT($A5,30)&amp;"*")),MAXIFS(Investment!$AI:$AI,Investment!$H:$H,LEFT($A5,30)&amp;"*"),)</f>
        <v/>
      </c>
    </row>
    <row r="6">
      <c r="A6" t="str">
        <f>IFERROR(__xludf.DUMMYFUNCTION("""COMPUTED_VALUE"""),"ETFS All Commodities ETC")</f>
        <v>ETFS All Commodities ETC</v>
      </c>
      <c r="B6" s="74">
        <f>IF($A6&lt;&gt;"",SUMIFS(Historic!E:E,Historic!$C:$C,$A6),)</f>
        <v>23046</v>
      </c>
      <c r="C6" s="74">
        <f>IF($A6&lt;&gt;"",SUMIFS(Historic!G:G,Historic!$C:$C,$A6),)</f>
        <v>-158228.19</v>
      </c>
      <c r="D6" s="75">
        <f>IF(AND($A6&lt;&gt;"",MAXIFS(Investment!$M:$M,Investment!$H:$H,LEFT($A6,30)&amp;"*")),MAXIFS(Investment!$M:$M,Investment!$H:$H,LEFT($A6,30)&amp;"*"),)</f>
        <v>6.493</v>
      </c>
      <c r="E6" s="76">
        <f>IF(AND($A6&lt;&gt;"",MAXIFS(Investment!$AI:$AI,Investment!$H:$H,LEFT($A6,30)&amp;"*")),MAXIFS(Investment!$AI:$AI,Investment!$H:$H,LEFT($A6,30)&amp;"*"),)</f>
        <v>6.451418605</v>
      </c>
    </row>
    <row r="7">
      <c r="A7" t="str">
        <f>IFERROR(__xludf.DUMMYFUNCTION("""COMPUTED_VALUE"""),"ETFS Physical Gold")</f>
        <v>ETFS Physical Gold</v>
      </c>
      <c r="B7" s="74">
        <f>IF($A7&lt;&gt;"",SUMIFS(Historic!E:E,Historic!$C:$C,$A7),)</f>
        <v>286</v>
      </c>
      <c r="C7" s="74">
        <f>IF($A7&lt;&gt;"",SUMIFS(Historic!G:G,Historic!$C:$C,$A7),)</f>
        <v>-23756.49</v>
      </c>
      <c r="D7" s="75">
        <f>IF(AND($A7&lt;&gt;"",MAXIFS(Investment!$M:$M,Investment!$H:$H,LEFT($A7,30)&amp;"*")),MAXIFS(Investment!$M:$M,Investment!$H:$H,LEFT($A7,30)&amp;"*"),)</f>
        <v>150.28</v>
      </c>
      <c r="E7" s="76">
        <f>IF(AND($A7&lt;&gt;"",MAXIFS(Investment!$AI:$AI,Investment!$H:$H,LEFT($A7,30)&amp;"*")),MAXIFS(Investment!$AI:$AI,Investment!$H:$H,LEFT($A7,30)&amp;"*"),)</f>
        <v>144.6339922</v>
      </c>
    </row>
    <row r="8">
      <c r="A8" t="str">
        <f>IFERROR(__xludf.DUMMYFUNCTION("""COMPUTED_VALUE"""),"Vanguard Intermediate-Term Treasury ETF")</f>
        <v>Vanguard Intermediate-Term Treasury ETF</v>
      </c>
      <c r="B8" s="74">
        <f>IF($A8&lt;&gt;"",SUMIFS(Historic!E:E,Historic!$C:$C,$A8),)</f>
        <v>0</v>
      </c>
      <c r="C8" s="74">
        <f>IF($A8&lt;&gt;"",SUMIFS(Historic!G:G,Historic!$C:$C,$A8),)</f>
        <v>-1799.24</v>
      </c>
      <c r="D8" s="75" t="str">
        <f>IF(AND($A8&lt;&gt;"",MAXIFS(Investment!$M:$M,Investment!$H:$H,LEFT($A8,30)&amp;"*")),MAXIFS(Investment!$M:$M,Investment!$H:$H,LEFT($A8,30)&amp;"*"),)</f>
        <v/>
      </c>
      <c r="E8" s="76" t="str">
        <f>IF(AND($A8&lt;&gt;"",MAXIFS(Investment!$AI:$AI,Investment!$H:$H,LEFT($A8,30)&amp;"*")),MAXIFS(Investment!$AI:$AI,Investment!$H:$H,LEFT($A8,30)&amp;"*"),)</f>
        <v/>
      </c>
    </row>
    <row r="9">
      <c r="A9" t="str">
        <f>IFERROR(__xludf.DUMMYFUNCTION("""COMPUTED_VALUE"""),"iShares Treasury Bond 20+ UCITS USD Dist")</f>
        <v>iShares Treasury Bond 20+ UCITS USD Dist</v>
      </c>
      <c r="B9" s="74">
        <f>IF($A9&lt;&gt;"",SUMIFS(Historic!E:E,Historic!$C:$C,$A9),)</f>
        <v>0</v>
      </c>
      <c r="C9" s="74">
        <f>IF($A9&lt;&gt;"",SUMIFS(Historic!G:G,Historic!$C:$C,$A9),)</f>
        <v>27424.27</v>
      </c>
      <c r="D9" s="75">
        <f>IF(AND($A9&lt;&gt;"",MAXIFS(Investment!$M:$M,Investment!$H:$H,LEFT($A9,30)&amp;"*")),MAXIFS(Investment!$M:$M,Investment!$H:$H,LEFT($A9,30)&amp;"*"),)</f>
        <v>4.9448</v>
      </c>
      <c r="E9" s="76">
        <f>IF(AND($A9&lt;&gt;"",MAXIFS(Investment!$AI:$AI,Investment!$H:$H,LEFT($A9,30)&amp;"*")),MAXIFS(Investment!$AI:$AI,Investment!$H:$H,LEFT($A9,30)&amp;"*"),)</f>
        <v>5.200445736</v>
      </c>
    </row>
    <row r="10">
      <c r="A10" t="str">
        <f>IFERROR(__xludf.DUMMYFUNCTION("""COMPUTED_VALUE"""),"Vanguard Extended Duration Treasury ETF")</f>
        <v>Vanguard Extended Duration Treasury ETF</v>
      </c>
      <c r="B10" s="74">
        <f>IF($A10&lt;&gt;"",SUMIFS(Historic!E:E,Historic!$C:$C,$A10),)</f>
        <v>0</v>
      </c>
      <c r="C10" s="74">
        <f>IF($A10&lt;&gt;"",SUMIFS(Historic!G:G,Historic!$C:$C,$A10),)</f>
        <v>-4857.35</v>
      </c>
      <c r="D10" s="75" t="str">
        <f>IF(AND($A10&lt;&gt;"",MAXIFS(Investment!$M:$M,Investment!$H:$H,LEFT($A10,30)&amp;"*")),MAXIFS(Investment!$M:$M,Investment!$H:$H,LEFT($A10,30)&amp;"*"),)</f>
        <v/>
      </c>
      <c r="E10" s="76" t="str">
        <f>IF(AND($A10&lt;&gt;"",MAXIFS(Investment!$AI:$AI,Investment!$H:$H,LEFT($A10,30)&amp;"*")),MAXIFS(Investment!$AI:$AI,Investment!$H:$H,LEFT($A10,30)&amp;"*"),)</f>
        <v/>
      </c>
    </row>
    <row r="11">
      <c r="A11" t="str">
        <f>IFERROR(__xludf.DUMMYFUNCTION("""COMPUTED_VALUE"""),"iShares Gold Trust")</f>
        <v>iShares Gold Trust</v>
      </c>
      <c r="B11" s="74">
        <f>IF($A11&lt;&gt;"",SUMIFS(Historic!E:E,Historic!$C:$C,$A11),)</f>
        <v>0</v>
      </c>
      <c r="C11" s="74">
        <f>IF($A11&lt;&gt;"",SUMIFS(Historic!G:G,Historic!$C:$C,$A11),)</f>
        <v>140.23</v>
      </c>
      <c r="D11" s="75" t="str">
        <f>IF(AND($A11&lt;&gt;"",MAXIFS(Investment!$M:$M,Investment!$H:$H,LEFT($A11,30)&amp;"*")),MAXIFS(Investment!$M:$M,Investment!$H:$H,LEFT($A11,30)&amp;"*"),)</f>
        <v/>
      </c>
      <c r="E11" s="76" t="str">
        <f>IF(AND($A11&lt;&gt;"",MAXIFS(Investment!$AI:$AI,Investment!$H:$H,LEFT($A11,30)&amp;"*")),MAXIFS(Investment!$AI:$AI,Investment!$H:$H,LEFT($A11,30)&amp;"*"),)</f>
        <v/>
      </c>
    </row>
    <row r="12">
      <c r="A12" t="str">
        <f>IFERROR(__xludf.DUMMYFUNCTION("""COMPUTED_VALUE"""),"iShares 7-10 Year Treasury Bond ETF")</f>
        <v>iShares 7-10 Year Treasury Bond ETF</v>
      </c>
      <c r="B12" s="74">
        <f>IF($A12&lt;&gt;"",SUMIFS(Historic!E:E,Historic!$C:$C,$A12),)</f>
        <v>0</v>
      </c>
      <c r="C12" s="74">
        <f>IF($A12&lt;&gt;"",SUMIFS(Historic!G:G,Historic!$C:$C,$A12),)</f>
        <v>-345.82</v>
      </c>
      <c r="D12" s="75" t="str">
        <f>IF(AND($A12&lt;&gt;"",MAXIFS(Investment!$M:$M,Investment!$H:$H,LEFT($A12,30)&amp;"*")),MAXIFS(Investment!$M:$M,Investment!$H:$H,LEFT($A12,30)&amp;"*"),)</f>
        <v/>
      </c>
      <c r="E12" s="76" t="str">
        <f>IF(AND($A12&lt;&gt;"",MAXIFS(Investment!$AI:$AI,Investment!$H:$H,LEFT($A12,30)&amp;"*")),MAXIFS(Investment!$AI:$AI,Investment!$H:$H,LEFT($A12,30)&amp;"*"),)</f>
        <v/>
      </c>
    </row>
    <row r="13">
      <c r="A13" t="str">
        <f>IFERROR(__xludf.DUMMYFUNCTION("""COMPUTED_VALUE"""),"iShares Diversified Commodity Swap UCITS ETF DE")</f>
        <v>iShares Diversified Commodity Swap UCITS ETF DE</v>
      </c>
      <c r="B13" s="74">
        <f>IF($A13&lt;&gt;"",SUMIFS(Historic!E:E,Historic!$C:$C,$A13),)</f>
        <v>0</v>
      </c>
      <c r="C13" s="74">
        <f>IF($A13&lt;&gt;"",SUMIFS(Historic!G:G,Historic!$C:$C,$A13),)</f>
        <v>-296.42</v>
      </c>
      <c r="D13" s="75" t="str">
        <f>IF(AND($A13&lt;&gt;"",MAXIFS(Investment!$M:$M,Investment!$H:$H,LEFT($A13,30)&amp;"*")),MAXIFS(Investment!$M:$M,Investment!$H:$H,LEFT($A13,30)&amp;"*"),)</f>
        <v/>
      </c>
      <c r="E13" s="76" t="str">
        <f>IF(AND($A13&lt;&gt;"",MAXIFS(Investment!$AI:$AI,Investment!$H:$H,LEFT($A13,30)&amp;"*")),MAXIFS(Investment!$AI:$AI,Investment!$H:$H,LEFT($A13,30)&amp;"*"),)</f>
        <v/>
      </c>
    </row>
    <row r="14">
      <c r="A14" t="str">
        <f>IFERROR(__xludf.DUMMYFUNCTION("""COMPUTED_VALUE"""),"Vanguard Total Stock Market ETF")</f>
        <v>Vanguard Total Stock Market ETF</v>
      </c>
      <c r="B14" s="74">
        <f>IF($A14&lt;&gt;"",SUMIFS(Historic!E:E,Historic!$C:$C,$A14),)</f>
        <v>0</v>
      </c>
      <c r="C14" s="74">
        <f>IF($A14&lt;&gt;"",SUMIFS(Historic!G:G,Historic!$C:$C,$A14),)</f>
        <v>1880.34</v>
      </c>
      <c r="D14" s="75" t="str">
        <f>IF(AND($A14&lt;&gt;"",MAXIFS(Investment!$M:$M,Investment!$H:$H,LEFT($A14,30)&amp;"*")),MAXIFS(Investment!$M:$M,Investment!$H:$H,LEFT($A14,30)&amp;"*"),)</f>
        <v/>
      </c>
      <c r="E14" s="76" t="str">
        <f>IF(AND($A14&lt;&gt;"",MAXIFS(Investment!$AI:$AI,Investment!$H:$H,LEFT($A14,30)&amp;"*")),MAXIFS(Investment!$AI:$AI,Investment!$H:$H,LEFT($A14,30)&amp;"*"),)</f>
        <v/>
      </c>
    </row>
    <row r="15">
      <c r="A15" t="str">
        <f>IFERROR(__xludf.DUMMYFUNCTION("""COMPUTED_VALUE"""),"TOTAL GABON")</f>
        <v>TOTAL GABON</v>
      </c>
      <c r="B15" s="74">
        <f>IF($A15&lt;&gt;"",SUMIFS(Historic!E:E,Historic!$C:$C,$A15),)</f>
        <v>0</v>
      </c>
      <c r="C15" s="74">
        <f>IF($A15&lt;&gt;"",SUMIFS(Historic!G:G,Historic!$C:$C,$A15),)</f>
        <v>-24138.28</v>
      </c>
      <c r="D15" s="75" t="str">
        <f>IF(AND($A15&lt;&gt;"",MAXIFS(Investment!$M:$M,Investment!$H:$H,LEFT($A15,30)&amp;"*")),MAXIFS(Investment!$M:$M,Investment!$H:$H,LEFT($A15,30)&amp;"*"),)</f>
        <v/>
      </c>
      <c r="E15" s="76" t="str">
        <f>IF(AND($A15&lt;&gt;"",MAXIFS(Investment!$AI:$AI,Investment!$H:$H,LEFT($A15,30)&amp;"*")),MAXIFS(Investment!$AI:$AI,Investment!$H:$H,LEFT($A15,30)&amp;"*"),)</f>
        <v/>
      </c>
    </row>
    <row r="16">
      <c r="A16" t="str">
        <f>IFERROR(__xludf.DUMMYFUNCTION("""COMPUTED_VALUE"""),"EDF")</f>
        <v>EDF</v>
      </c>
      <c r="B16" s="74">
        <f>IF($A16&lt;&gt;"",SUMIFS(Historic!E:E,Historic!$C:$C,$A16),)</f>
        <v>0</v>
      </c>
      <c r="C16" s="74">
        <f>IF($A16&lt;&gt;"",SUMIFS(Historic!G:G,Historic!$C:$C,$A16),)</f>
        <v>1451.96</v>
      </c>
      <c r="D16" s="75" t="str">
        <f>IF(AND($A16&lt;&gt;"",MAXIFS(Investment!$M:$M,Investment!$H:$H,LEFT($A16,30)&amp;"*")),MAXIFS(Investment!$M:$M,Investment!$H:$H,LEFT($A16,30)&amp;"*"),)</f>
        <v/>
      </c>
      <c r="E16" s="76" t="str">
        <f>IF(AND($A16&lt;&gt;"",MAXIFS(Investment!$AI:$AI,Investment!$H:$H,LEFT($A16,30)&amp;"*")),MAXIFS(Investment!$AI:$AI,Investment!$H:$H,LEFT($A16,30)&amp;"*"),)</f>
        <v/>
      </c>
    </row>
    <row r="17">
      <c r="A17" t="str">
        <f>IFERROR(__xludf.DUMMYFUNCTION("""COMPUTED_VALUE"""),"BOUYGUES")</f>
        <v>BOUYGUES</v>
      </c>
      <c r="B17" s="74">
        <f>IF($A17&lt;&gt;"",SUMIFS(Historic!E:E,Historic!$C:$C,$A17),)</f>
        <v>0</v>
      </c>
      <c r="C17" s="74">
        <f>IF($A17&lt;&gt;"",SUMIFS(Historic!G:G,Historic!$C:$C,$A17),)</f>
        <v>1091.52</v>
      </c>
      <c r="D17" s="75" t="str">
        <f>IF(AND($A17&lt;&gt;"",MAXIFS(Investment!$M:$M,Investment!$H:$H,LEFT($A17,30)&amp;"*")),MAXIFS(Investment!$M:$M,Investment!$H:$H,LEFT($A17,30)&amp;"*"),)</f>
        <v/>
      </c>
      <c r="E17" s="76" t="str">
        <f>IF(AND($A17&lt;&gt;"",MAXIFS(Investment!$AI:$AI,Investment!$H:$H,LEFT($A17,30)&amp;"*")),MAXIFS(Investment!$AI:$AI,Investment!$H:$H,LEFT($A17,30)&amp;"*"),)</f>
        <v/>
      </c>
    </row>
    <row r="18">
      <c r="A18" t="str">
        <f>IFERROR(__xludf.DUMMYFUNCTION("""COMPUTED_VALUE"""),"TECHNIP")</f>
        <v>TECHNIP</v>
      </c>
      <c r="B18" s="74">
        <f>IF($A18&lt;&gt;"",SUMIFS(Historic!E:E,Historic!$C:$C,$A18),)</f>
        <v>0</v>
      </c>
      <c r="C18" s="74">
        <f>IF($A18&lt;&gt;"",SUMIFS(Historic!G:G,Historic!$C:$C,$A18),)</f>
        <v>-690.07</v>
      </c>
      <c r="D18" s="75" t="str">
        <f>IF(AND($A18&lt;&gt;"",MAXIFS(Investment!$M:$M,Investment!$H:$H,LEFT($A18,30)&amp;"*")),MAXIFS(Investment!$M:$M,Investment!$H:$H,LEFT($A18,30)&amp;"*"),)</f>
        <v/>
      </c>
      <c r="E18" s="76" t="str">
        <f>IF(AND($A18&lt;&gt;"",MAXIFS(Investment!$AI:$AI,Investment!$H:$H,LEFT($A18,30)&amp;"*")),MAXIFS(Investment!$AI:$AI,Investment!$H:$H,LEFT($A18,30)&amp;"*"),)</f>
        <v/>
      </c>
    </row>
    <row r="19">
      <c r="A19" t="str">
        <f>IFERROR(__xludf.DUMMYFUNCTION("""COMPUTED_VALUE"""),"STMICROELECTRONICS")</f>
        <v>STMICROELECTRONICS</v>
      </c>
      <c r="B19" s="74">
        <f>IF($A19&lt;&gt;"",SUMIFS(Historic!E:E,Historic!$C:$C,$A19),)</f>
        <v>0</v>
      </c>
      <c r="C19" s="74">
        <f>IF($A19&lt;&gt;"",SUMIFS(Historic!G:G,Historic!$C:$C,$A19),)</f>
        <v>1209.7</v>
      </c>
      <c r="D19" s="75" t="str">
        <f>IF(AND($A19&lt;&gt;"",MAXIFS(Investment!$M:$M,Investment!$H:$H,LEFT($A19,30)&amp;"*")),MAXIFS(Investment!$M:$M,Investment!$H:$H,LEFT($A19,30)&amp;"*"),)</f>
        <v/>
      </c>
      <c r="E19" s="76" t="str">
        <f>IF(AND($A19&lt;&gt;"",MAXIFS(Investment!$AI:$AI,Investment!$H:$H,LEFT($A19,30)&amp;"*")),MAXIFS(Investment!$AI:$AI,Investment!$H:$H,LEFT($A19,30)&amp;"*"),)</f>
        <v/>
      </c>
    </row>
    <row r="20">
      <c r="A20" t="str">
        <f>IFERROR(__xludf.DUMMYFUNCTION("""COMPUTED_VALUE"""),"ALSTOM REGROUPT")</f>
        <v>ALSTOM REGROUPT</v>
      </c>
      <c r="B20" s="74">
        <f>IF($A20&lt;&gt;"",SUMIFS(Historic!E:E,Historic!$C:$C,$A20),)</f>
        <v>0</v>
      </c>
      <c r="C20" s="74">
        <f>IF($A20&lt;&gt;"",SUMIFS(Historic!G:G,Historic!$C:$C,$A20),)</f>
        <v>3485.4</v>
      </c>
      <c r="D20" s="75" t="str">
        <f>IF(AND($A20&lt;&gt;"",MAXIFS(Investment!$M:$M,Investment!$H:$H,LEFT($A20,30)&amp;"*")),MAXIFS(Investment!$M:$M,Investment!$H:$H,LEFT($A20,30)&amp;"*"),)</f>
        <v/>
      </c>
      <c r="E20" s="76" t="str">
        <f>IF(AND($A20&lt;&gt;"",MAXIFS(Investment!$AI:$AI,Investment!$H:$H,LEFT($A20,30)&amp;"*")),MAXIFS(Investment!$AI:$AI,Investment!$H:$H,LEFT($A20,30)&amp;"*"),)</f>
        <v/>
      </c>
    </row>
    <row r="21">
      <c r="A21" t="str">
        <f>IFERROR(__xludf.DUMMYFUNCTION("""COMPUTED_VALUE"""),"ANF IMMOBILIER")</f>
        <v>ANF IMMOBILIER</v>
      </c>
      <c r="B21" s="74">
        <f>IF($A21&lt;&gt;"",SUMIFS(Historic!E:E,Historic!$C:$C,$A21),)</f>
        <v>0</v>
      </c>
      <c r="C21" s="74">
        <f>IF($A21&lt;&gt;"",SUMIFS(Historic!G:G,Historic!$C:$C,$A21),)</f>
        <v>-5.5</v>
      </c>
      <c r="D21" s="75" t="str">
        <f>IF(AND($A21&lt;&gt;"",MAXIFS(Investment!$M:$M,Investment!$H:$H,LEFT($A21,30)&amp;"*")),MAXIFS(Investment!$M:$M,Investment!$H:$H,LEFT($A21,30)&amp;"*"),)</f>
        <v/>
      </c>
      <c r="E21" s="76" t="str">
        <f>IF(AND($A21&lt;&gt;"",MAXIFS(Investment!$AI:$AI,Investment!$H:$H,LEFT($A21,30)&amp;"*")),MAXIFS(Investment!$AI:$AI,Investment!$H:$H,LEFT($A21,30)&amp;"*"),)</f>
        <v/>
      </c>
    </row>
    <row r="22">
      <c r="A22" t="str">
        <f>IFERROR(__xludf.DUMMYFUNCTION("""COMPUTED_VALUE"""),"SANOFI")</f>
        <v>SANOFI</v>
      </c>
      <c r="B22" s="74">
        <f>IF($A22&lt;&gt;"",SUMIFS(Historic!E:E,Historic!$C:$C,$A22),)</f>
        <v>0</v>
      </c>
      <c r="C22" s="74">
        <f>IF($A22&lt;&gt;"",SUMIFS(Historic!G:G,Historic!$C:$C,$A22),)</f>
        <v>-32.19</v>
      </c>
      <c r="D22" s="75" t="str">
        <f>IF(AND($A22&lt;&gt;"",MAXIFS(Investment!$M:$M,Investment!$H:$H,LEFT($A22,30)&amp;"*")),MAXIFS(Investment!$M:$M,Investment!$H:$H,LEFT($A22,30)&amp;"*"),)</f>
        <v/>
      </c>
      <c r="E22" s="76" t="str">
        <f>IF(AND($A22&lt;&gt;"",MAXIFS(Investment!$AI:$AI,Investment!$H:$H,LEFT($A22,30)&amp;"*")),MAXIFS(Investment!$AI:$AI,Investment!$H:$H,LEFT($A22,30)&amp;"*"),)</f>
        <v/>
      </c>
    </row>
    <row r="23">
      <c r="A23" s="77" t="str">
        <f>IFERROR(__xludf.DUMMYFUNCTION("""COMPUTED_VALUE"""),"UNIBAIL RODAMCO SE")</f>
        <v>UNIBAIL RODAMCO SE</v>
      </c>
      <c r="B23" s="74">
        <f>IF($A23&lt;&gt;"",SUMIFS(Historic!E:E,Historic!$C:$C,$A23),)</f>
        <v>0</v>
      </c>
      <c r="C23" s="74">
        <f>IF($A23&lt;&gt;"",SUMIFS(Historic!G:G,Historic!$C:$C,$A23),)</f>
        <v>107.7</v>
      </c>
      <c r="D23" s="75" t="str">
        <f>IF(AND($A23&lt;&gt;"",MAXIFS(Investment!$M:$M,Investment!$H:$H,LEFT($A23,30)&amp;"*")),MAXIFS(Investment!$M:$M,Investment!$H:$H,LEFT($A23,30)&amp;"*"),)</f>
        <v/>
      </c>
      <c r="E23" s="76" t="str">
        <f>IF(AND($A23&lt;&gt;"",MAXIFS(Investment!$AI:$AI,Investment!$H:$H,LEFT($A23,30)&amp;"*")),MAXIFS(Investment!$AI:$AI,Investment!$H:$H,LEFT($A23,30)&amp;"*"),)</f>
        <v/>
      </c>
    </row>
    <row r="24">
      <c r="A24" t="str">
        <f>IFERROR(__xludf.DUMMYFUNCTION("""COMPUTED_VALUE"""),"ORANGE")</f>
        <v>ORANGE</v>
      </c>
      <c r="B24" s="74">
        <f>IF($A24&lt;&gt;"",SUMIFS(Historic!E:E,Historic!$C:$C,$A24),)</f>
        <v>0</v>
      </c>
      <c r="C24" s="74">
        <f>IF($A24&lt;&gt;"",SUMIFS(Historic!G:G,Historic!$C:$C,$A24),)</f>
        <v>-68.12</v>
      </c>
      <c r="D24" s="75" t="str">
        <f>IF(AND($A24&lt;&gt;"",MAXIFS(Investment!$M:$M,Investment!$H:$H,LEFT($A24,30)&amp;"*")),MAXIFS(Investment!$M:$M,Investment!$H:$H,LEFT($A24,30)&amp;"*"),)</f>
        <v/>
      </c>
      <c r="E24" s="76" t="str">
        <f>IF(AND($A24&lt;&gt;"",MAXIFS(Investment!$AI:$AI,Investment!$H:$H,LEFT($A24,30)&amp;"*")),MAXIFS(Investment!$AI:$AI,Investment!$H:$H,LEFT($A24,30)&amp;"*"),)</f>
        <v/>
      </c>
    </row>
    <row r="25">
      <c r="A25" t="str">
        <f>IFERROR(__xludf.DUMMYFUNCTION("""COMPUTED_VALUE"""),"GDF SUEZ")</f>
        <v>GDF SUEZ</v>
      </c>
      <c r="B25" s="74">
        <f>IF($A25&lt;&gt;"",SUMIFS(Historic!E:E,Historic!$C:$C,$A25),)</f>
        <v>0</v>
      </c>
      <c r="C25" s="74">
        <f>IF($A25&lt;&gt;"",SUMIFS(Historic!G:G,Historic!$C:$C,$A25),)</f>
        <v>123.37</v>
      </c>
      <c r="D25" s="75" t="str">
        <f>IF(AND($A25&lt;&gt;"",MAXIFS(Investment!$M:$M,Investment!$H:$H,LEFT($A25,30)&amp;"*")),MAXIFS(Investment!$M:$M,Investment!$H:$H,LEFT($A25,30)&amp;"*"),)</f>
        <v/>
      </c>
      <c r="E25" s="76" t="str">
        <f>IF(AND($A25&lt;&gt;"",MAXIFS(Investment!$AI:$AI,Investment!$H:$H,LEFT($A25,30)&amp;"*")),MAXIFS(Investment!$AI:$AI,Investment!$H:$H,LEFT($A25,30)&amp;"*"),)</f>
        <v/>
      </c>
    </row>
    <row r="26">
      <c r="A26" t="str">
        <f>IFERROR(__xludf.DUMMYFUNCTION("""COMPUTED_VALUE"""),"ABC ARBITRAGE")</f>
        <v>ABC ARBITRAGE</v>
      </c>
      <c r="B26" s="74">
        <f>IF($A26&lt;&gt;"",SUMIFS(Historic!E:E,Historic!$C:$C,$A26),)</f>
        <v>0</v>
      </c>
      <c r="C26" s="74">
        <f>IF($A26&lt;&gt;"",SUMIFS(Historic!G:G,Historic!$C:$C,$A26),)</f>
        <v>217.06</v>
      </c>
      <c r="D26" s="75" t="str">
        <f>IF(AND($A26&lt;&gt;"",MAXIFS(Investment!$M:$M,Investment!$H:$H,LEFT($A26,30)&amp;"*")),MAXIFS(Investment!$M:$M,Investment!$H:$H,LEFT($A26,30)&amp;"*"),)</f>
        <v/>
      </c>
      <c r="E26" s="76" t="str">
        <f>IF(AND($A26&lt;&gt;"",MAXIFS(Investment!$AI:$AI,Investment!$H:$H,LEFT($A26,30)&amp;"*")),MAXIFS(Investment!$AI:$AI,Investment!$H:$H,LEFT($A26,30)&amp;"*"),)</f>
        <v/>
      </c>
    </row>
    <row r="27">
      <c r="A27" t="str">
        <f>IFERROR(__xludf.DUMMYFUNCTION("""COMPUTED_VALUE"""),"TOTAL SA")</f>
        <v>TOTAL SA</v>
      </c>
      <c r="B27" s="74">
        <f>IF($A27&lt;&gt;"",SUMIFS(Historic!E:E,Historic!$C:$C,$A27),)</f>
        <v>0</v>
      </c>
      <c r="C27" s="74">
        <f>IF($A27&lt;&gt;"",SUMIFS(Historic!G:G,Historic!$C:$C,$A27),)</f>
        <v>137.91</v>
      </c>
      <c r="D27" s="75" t="str">
        <f>IF(AND($A27&lt;&gt;"",MAXIFS(Investment!$M:$M,Investment!$H:$H,LEFT($A27,30)&amp;"*")),MAXIFS(Investment!$M:$M,Investment!$H:$H,LEFT($A27,30)&amp;"*"),)</f>
        <v/>
      </c>
      <c r="E27" s="76" t="str">
        <f>IF(AND($A27&lt;&gt;"",MAXIFS(Investment!$AI:$AI,Investment!$H:$H,LEFT($A27,30)&amp;"*")),MAXIFS(Investment!$AI:$AI,Investment!$H:$H,LEFT($A27,30)&amp;"*"),)</f>
        <v/>
      </c>
    </row>
    <row r="28">
      <c r="A28" t="str">
        <f>IFERROR(__xludf.DUMMYFUNCTION("""COMPUTED_VALUE"""),"FRANCE TELECOM")</f>
        <v>FRANCE TELECOM</v>
      </c>
      <c r="B28" s="74">
        <f>IF($A28&lt;&gt;"",SUMIFS(Historic!E:E,Historic!$C:$C,$A28),)</f>
        <v>0</v>
      </c>
      <c r="C28" s="74">
        <f>IF($A28&lt;&gt;"",SUMIFS(Historic!G:G,Historic!$C:$C,$A28),)</f>
        <v>1049.82</v>
      </c>
      <c r="D28" s="75" t="str">
        <f>IF(AND($A28&lt;&gt;"",MAXIFS(Investment!$M:$M,Investment!$H:$H,LEFT($A28,30)&amp;"*")),MAXIFS(Investment!$M:$M,Investment!$H:$H,LEFT($A28,30)&amp;"*"),)</f>
        <v/>
      </c>
      <c r="E28" s="76" t="str">
        <f>IF(AND($A28&lt;&gt;"",MAXIFS(Investment!$AI:$AI,Investment!$H:$H,LEFT($A28,30)&amp;"*")),MAXIFS(Investment!$AI:$AI,Investment!$H:$H,LEFT($A28,30)&amp;"*"),)</f>
        <v/>
      </c>
    </row>
    <row r="29">
      <c r="A29" t="str">
        <f>IFERROR(__xludf.DUMMYFUNCTION("""COMPUTED_VALUE"""),"VIVENDI")</f>
        <v>VIVENDI</v>
      </c>
      <c r="B29" s="74">
        <f>IF($A29&lt;&gt;"",SUMIFS(Historic!E:E,Historic!$C:$C,$A29),)</f>
        <v>0</v>
      </c>
      <c r="C29" s="74">
        <f>IF($A29&lt;&gt;"",SUMIFS(Historic!G:G,Historic!$C:$C,$A29),)</f>
        <v>460.31</v>
      </c>
      <c r="D29" s="75" t="str">
        <f>IF(AND($A29&lt;&gt;"",MAXIFS(Investment!$M:$M,Investment!$H:$H,LEFT($A29,30)&amp;"*")),MAXIFS(Investment!$M:$M,Investment!$H:$H,LEFT($A29,30)&amp;"*"),)</f>
        <v/>
      </c>
      <c r="E29" s="76" t="str">
        <f>IF(AND($A29&lt;&gt;"",MAXIFS(Investment!$AI:$AI,Investment!$H:$H,LEFT($A29,30)&amp;"*")),MAXIFS(Investment!$AI:$AI,Investment!$H:$H,LEFT($A29,30)&amp;"*"),)</f>
        <v/>
      </c>
    </row>
    <row r="30">
      <c r="A30" t="str">
        <f>IFERROR(__xludf.DUMMYFUNCTION("""COMPUTED_VALUE"""),"PEUGEOT")</f>
        <v>PEUGEOT</v>
      </c>
      <c r="B30" s="74">
        <f>IF($A30&lt;&gt;"",SUMIFS(Historic!E:E,Historic!$C:$C,$A30),)</f>
        <v>0</v>
      </c>
      <c r="C30" s="74">
        <f>IF($A30&lt;&gt;"",SUMIFS(Historic!G:G,Historic!$C:$C,$A30),)</f>
        <v>-532.01</v>
      </c>
      <c r="D30" s="75" t="str">
        <f>IF(AND($A30&lt;&gt;"",MAXIFS(Investment!$M:$M,Investment!$H:$H,LEFT($A30,30)&amp;"*")),MAXIFS(Investment!$M:$M,Investment!$H:$H,LEFT($A30,30)&amp;"*"),)</f>
        <v/>
      </c>
      <c r="E30" s="76" t="str">
        <f>IF(AND($A30&lt;&gt;"",MAXIFS(Investment!$AI:$AI,Investment!$H:$H,LEFT($A30,30)&amp;"*")),MAXIFS(Investment!$AI:$AI,Investment!$H:$H,LEFT($A30,30)&amp;"*"),)</f>
        <v/>
      </c>
    </row>
    <row r="31">
      <c r="A31" t="str">
        <f>IFERROR(__xludf.DUMMYFUNCTION("""COMPUTED_VALUE"""),"CREDIT AGRICOLE")</f>
        <v>CREDIT AGRICOLE</v>
      </c>
      <c r="B31" s="74">
        <f>IF($A31&lt;&gt;"",SUMIFS(Historic!E:E,Historic!$C:$C,$A31),)</f>
        <v>0</v>
      </c>
      <c r="C31" s="74">
        <f>IF($A31&lt;&gt;"",SUMIFS(Historic!G:G,Historic!$C:$C,$A31),)</f>
        <v>173.19</v>
      </c>
      <c r="D31" s="75" t="str">
        <f>IF(AND($A31&lt;&gt;"",MAXIFS(Investment!$M:$M,Investment!$H:$H,LEFT($A31,30)&amp;"*")),MAXIFS(Investment!$M:$M,Investment!$H:$H,LEFT($A31,30)&amp;"*"),)</f>
        <v/>
      </c>
      <c r="E31" s="76" t="str">
        <f>IF(AND($A31&lt;&gt;"",MAXIFS(Investment!$AI:$AI,Investment!$H:$H,LEFT($A31,30)&amp;"*")),MAXIFS(Investment!$AI:$AI,Investment!$H:$H,LEFT($A31,30)&amp;"*"),)</f>
        <v/>
      </c>
    </row>
    <row r="32">
      <c r="A32" t="str">
        <f>IFERROR(__xludf.DUMMYFUNCTION("""COMPUTED_VALUE"""),"VEOLIA ENVIRON")</f>
        <v>VEOLIA ENVIRON</v>
      </c>
      <c r="B32" s="74">
        <f>IF($A32&lt;&gt;"",SUMIFS(Historic!E:E,Historic!$C:$C,$A32),)</f>
        <v>0</v>
      </c>
      <c r="C32" s="74">
        <f>IF($A32&lt;&gt;"",SUMIFS(Historic!G:G,Historic!$C:$C,$A32),)</f>
        <v>401.01</v>
      </c>
      <c r="D32" s="75" t="str">
        <f>IF(AND($A32&lt;&gt;"",MAXIFS(Investment!$M:$M,Investment!$H:$H,LEFT($A32,30)&amp;"*")),MAXIFS(Investment!$M:$M,Investment!$H:$H,LEFT($A32,30)&amp;"*"),)</f>
        <v/>
      </c>
      <c r="E32" s="76" t="str">
        <f>IF(AND($A32&lt;&gt;"",MAXIFS(Investment!$AI:$AI,Investment!$H:$H,LEFT($A32,30)&amp;"*")),MAXIFS(Investment!$AI:$AI,Investment!$H:$H,LEFT($A32,30)&amp;"*"),)</f>
        <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4.43" defaultRowHeight="12.75"/>
  <cols>
    <col customWidth="1" min="1" max="1" width="40.29"/>
    <col customWidth="1" min="2" max="2" width="27.14"/>
  </cols>
  <sheetData>
    <row r="1" ht="14.25" customHeight="1">
      <c r="A1" s="78" t="s">
        <v>1</v>
      </c>
      <c r="B1" s="79">
        <f>B$37+B$29+B$18</f>
        <v>306776.7568</v>
      </c>
    </row>
    <row r="2" ht="14.25" customHeight="1">
      <c r="A2" s="80" t="s">
        <v>332</v>
      </c>
      <c r="B2" s="81">
        <f>$B$3/$B$7</f>
        <v>1.130038725</v>
      </c>
    </row>
    <row r="3" ht="14.25" customHeight="1">
      <c r="A3" s="82" t="s">
        <v>333</v>
      </c>
      <c r="B3" s="83">
        <f>B$37-B$46</f>
        <v>198635.6968</v>
      </c>
    </row>
    <row r="4" ht="14.25" customHeight="1">
      <c r="A4" s="82" t="s">
        <v>334</v>
      </c>
      <c r="B4" s="84">
        <f>B3/B$7/B$8</f>
        <v>0.1176922282</v>
      </c>
    </row>
    <row r="5" ht="14.25" customHeight="1">
      <c r="A5" s="82" t="s">
        <v>335</v>
      </c>
      <c r="B5" s="83">
        <f>SUMIF(Historic!D:D,"=DIVIDEND",Historic!G:G)</f>
        <v>38894.26</v>
      </c>
    </row>
    <row r="6" ht="14.25" customHeight="1">
      <c r="A6" s="82" t="s">
        <v>336</v>
      </c>
      <c r="B6" s="84">
        <f>B5/B$7/B$8</f>
        <v>0.02304496219</v>
      </c>
    </row>
    <row r="7" ht="14.25" customHeight="1">
      <c r="A7" s="82" t="s">
        <v>337</v>
      </c>
      <c r="B7" s="85">
        <f>AVERAGE(Evolution!J:J)</f>
        <v>175777.7787</v>
      </c>
    </row>
    <row r="8" ht="14.25" hidden="1" customHeight="1">
      <c r="A8" s="82" t="s">
        <v>338</v>
      </c>
      <c r="B8" s="86">
        <f t="array" ref="B8">(DateTime!$B$2-INDEX(Historic!A:A, ROWS(Historic!A:A)))/365.25</f>
        <v>9.60164271</v>
      </c>
    </row>
    <row r="9" ht="14.25" customHeight="1">
      <c r="A9" s="82" t="s">
        <v>338</v>
      </c>
      <c r="B9" s="87" t="str">
        <f>ROUNDUP(B8*12) &amp; " months (" &amp; ROUNDUP(B8,1) &amp;  " years)"</f>
        <v>116 months (9.7 years)</v>
      </c>
    </row>
    <row r="10" ht="14.25" customHeight="1">
      <c r="A10" s="82" t="s">
        <v>339</v>
      </c>
      <c r="B10" s="88" t="str">
        <f>ROUNDUP(B1/-B14) &amp; " months (" &amp; ROUNDUP(B1/-B14/12,1) &amp;  " years)"</f>
        <v>249 months (20.7 years)</v>
      </c>
    </row>
    <row r="11" ht="14.25" customHeight="1">
      <c r="A11" s="82" t="s">
        <v>340</v>
      </c>
      <c r="B11" s="88" t="str">
        <f>ROUNDUP(B12/(B13+B14)) &amp; " months (" &amp; ROUNDUP(B12/(B13+B14)/12,1) &amp;  " years)"</f>
        <v>1134 months (94.5 years)</v>
      </c>
    </row>
    <row r="12" ht="14.25" customHeight="1">
      <c r="A12" s="82" t="s">
        <v>341</v>
      </c>
      <c r="B12" s="83">
        <f>B$1+B$14*12/$B6</f>
        <v>-336564.0314</v>
      </c>
    </row>
    <row r="13" ht="14.25" customHeight="1">
      <c r="A13" s="89" t="s">
        <v>342</v>
      </c>
      <c r="B13" s="90">
        <f>(B46+B29+B18)/(12*B8)</f>
        <v>938.5638762</v>
      </c>
    </row>
    <row r="14" ht="14.25" customHeight="1">
      <c r="A14" s="91" t="s">
        <v>8</v>
      </c>
      <c r="B14" s="92">
        <f>AVERAGE(Expenses!B:B)</f>
        <v>-1235.480345</v>
      </c>
    </row>
    <row r="15" ht="14.25" customHeight="1">
      <c r="A15" s="93" t="s">
        <v>343</v>
      </c>
      <c r="B15" s="94">
        <f>-B$14/B$13</f>
        <v>1.316351903</v>
      </c>
    </row>
    <row r="16" ht="14.25" customHeight="1">
      <c r="A16" s="93" t="s">
        <v>7</v>
      </c>
      <c r="B16" s="95">
        <f t="array" ref="B16">INDEX(Expenses!B:B,2)</f>
        <v>-133.02</v>
      </c>
    </row>
    <row r="17" ht="14.25" customHeight="1">
      <c r="A17" s="93" t="s">
        <v>9</v>
      </c>
      <c r="B17" s="95">
        <f>B$22+B$14</f>
        <v>-888.8425281</v>
      </c>
    </row>
    <row r="18" ht="14.25" customHeight="1">
      <c r="A18" s="93" t="s">
        <v>2</v>
      </c>
      <c r="B18" s="96">
        <f>SUM(BankAccount!B:B)</f>
        <v>-835.36</v>
      </c>
    </row>
    <row r="19" ht="14.25" customHeight="1">
      <c r="A19" s="93" t="s">
        <v>344</v>
      </c>
      <c r="B19" s="97">
        <f>$B$21/$B$47*1000</f>
        <v>4.110122265</v>
      </c>
    </row>
    <row r="20" ht="14.25" customHeight="1">
      <c r="A20" s="93" t="s">
        <v>10</v>
      </c>
      <c r="B20" s="96">
        <f>MIN(ROUNDUP(SUM(Budget!B:B,Associate!B:B,-$B$18)/100)*100,0)</f>
        <v>-1000</v>
      </c>
    </row>
    <row r="21" ht="14.25" customHeight="1">
      <c r="A21" s="93" t="s">
        <v>34</v>
      </c>
      <c r="B21" s="97">
        <f t="array" ref="B21">INDEX(Investment!$AV:$AV,ROWS(Investment!$AV:$AV))+$B$57</f>
        <v>703.5754148</v>
      </c>
    </row>
    <row r="22" ht="14.25" customHeight="1">
      <c r="A22" s="93" t="s">
        <v>345</v>
      </c>
      <c r="B22" s="97">
        <f t="array" ref="B22">INDEX(AllocationHistoric!N:N,2)</f>
        <v>346.6378167</v>
      </c>
    </row>
    <row r="23" ht="14.25" customHeight="1">
      <c r="A23" s="93" t="s">
        <v>346</v>
      </c>
      <c r="B23" s="96">
        <f>AVERAGE(OFFSET(AllocationHistoric!$O:$O,1,0,12,1))</f>
        <v>-38.50010891</v>
      </c>
    </row>
    <row r="24" ht="14.25" customHeight="1">
      <c r="A24" s="93" t="s">
        <v>37</v>
      </c>
      <c r="B24" s="96">
        <f>AVERAGE(OFFSET(AllocationHistoric!$H:$H,1,0,12,1))</f>
        <v>6074.374625</v>
      </c>
    </row>
    <row r="25" ht="14.25" customHeight="1">
      <c r="A25" s="93" t="s">
        <v>38</v>
      </c>
      <c r="B25" s="98">
        <f>B27+B24</f>
        <v>10270.8068</v>
      </c>
    </row>
    <row r="26" ht="14.25" customHeight="1">
      <c r="A26" s="93" t="s">
        <v>39</v>
      </c>
      <c r="B26" s="98">
        <f t="array" ref="B26">INDEX(AllocationHistoric!$B:$B,2)+$B$24+SUMIFS(Historic!G:G,Historic!D:D,"APPROVISIONNEMENT",Historic!A:A,"&gt;"&amp;EOMONTH(DateTime!B2,-1))</f>
        <v>377157.0346</v>
      </c>
    </row>
    <row r="27" ht="14.25" customHeight="1">
      <c r="A27" s="93" t="s">
        <v>40</v>
      </c>
      <c r="B27" s="98">
        <f>$B$37-$B$26</f>
        <v>4196.432175</v>
      </c>
    </row>
    <row r="28" ht="14.25" customHeight="1">
      <c r="A28" s="99" t="s">
        <v>41</v>
      </c>
      <c r="B28" s="100">
        <f>$B$27/$B$24+1</f>
        <v>1.690841845</v>
      </c>
    </row>
    <row r="29" ht="14.25" customHeight="1">
      <c r="A29" s="101" t="s">
        <v>347</v>
      </c>
      <c r="B29" s="102">
        <f>SUM(B$30:B$32)</f>
        <v>-73741.35</v>
      </c>
    </row>
    <row r="30" ht="14.25" customHeight="1">
      <c r="A30" s="101" t="s">
        <v>3</v>
      </c>
      <c r="B30" s="102">
        <f>SUMIF(Budget!J:J,"&gt;0")</f>
        <v>9200</v>
      </c>
    </row>
    <row r="31" ht="14.25" customHeight="1">
      <c r="A31" s="101" t="s">
        <v>4</v>
      </c>
      <c r="B31" s="102">
        <f>SUMIF(Budget!J:J,"&lt;0")</f>
        <v>-24211.7</v>
      </c>
    </row>
    <row r="32" ht="14.25" customHeight="1">
      <c r="A32" s="103" t="s">
        <v>5</v>
      </c>
      <c r="B32" s="104">
        <f>-SUM(Associate!J:J)</f>
        <v>-58729.65</v>
      </c>
    </row>
    <row r="33" ht="14.25" hidden="1" customHeight="1">
      <c r="A33" s="105" t="s">
        <v>348</v>
      </c>
      <c r="B33" s="106">
        <f t="array" ref="B33">(DateTime!$B$2-INDEX(Evolution!A:A, ROWS(Evolution!A:A)))/365.25</f>
        <v>5.045859001</v>
      </c>
    </row>
    <row r="34" ht="14.25" customHeight="1">
      <c r="A34" s="107" t="s">
        <v>348</v>
      </c>
      <c r="B34" s="108" t="str">
        <f>ROUNDUP(B33*12) &amp; " months (" &amp; ROUNDUP(B33,1) &amp;  " years)"</f>
        <v>61 months (5.1 years)</v>
      </c>
    </row>
    <row r="35" ht="14.25" customHeight="1">
      <c r="A35" s="109" t="s">
        <v>19</v>
      </c>
      <c r="B35" s="110">
        <f t="array" ref="B35">INDEX(Investment!O:O,ROWS(Investment!O:O))+INDEX(Investment!AM:AM,ROWS(Investment!AM:AM))</f>
        <v>1261671.017</v>
      </c>
    </row>
    <row r="36" ht="14.25" customHeight="1">
      <c r="A36" s="109" t="s">
        <v>20</v>
      </c>
      <c r="B36" s="110">
        <f>SUMIFS(Historic!G:G,Historic!$H:$H,"&lt;&gt;XXXXXX")</f>
        <v>-880317.55</v>
      </c>
    </row>
    <row r="37" ht="14.25" customHeight="1">
      <c r="A37" s="109" t="s">
        <v>21</v>
      </c>
      <c r="B37" s="110">
        <f>B35+B36</f>
        <v>381353.4668</v>
      </c>
    </row>
    <row r="38" ht="14.25" customHeight="1">
      <c r="A38" s="109" t="s">
        <v>22</v>
      </c>
      <c r="B38" s="111">
        <f>$B$37+$B44-SUMIFS(Historic!G:G,Historic!$A:$A,"&gt;" &amp; DATE(2017,4,20),Historic!$B:$B,"")</f>
        <v>210172.3268</v>
      </c>
    </row>
    <row r="39" ht="14.25" customHeight="1">
      <c r="A39" s="109" t="s">
        <v>23</v>
      </c>
      <c r="B39" s="112">
        <f>B38/B$7/B$33</f>
        <v>0.2369607686</v>
      </c>
    </row>
    <row r="40" ht="14.25" customHeight="1">
      <c r="A40" s="109" t="s">
        <v>349</v>
      </c>
      <c r="B40" s="110">
        <f>B38-B42-B44</f>
        <v>192549.1268</v>
      </c>
    </row>
    <row r="41" ht="14.25" customHeight="1">
      <c r="A41" s="109" t="s">
        <v>350</v>
      </c>
      <c r="B41" s="112">
        <f>B40/B$7/B$33</f>
        <v>0.2170913258</v>
      </c>
    </row>
    <row r="42" ht="14.25" customHeight="1">
      <c r="A42" s="109" t="s">
        <v>351</v>
      </c>
      <c r="B42" s="110">
        <f>SUMIFS(Historic!G:G,Historic!D:D,"=DIVIDEND",Historic!B:B,"&lt;&gt;",Historic!H:H,"&lt;&gt;XXXXXX")</f>
        <v>35492.17</v>
      </c>
    </row>
    <row r="43" ht="14.25" customHeight="1">
      <c r="A43" s="113" t="s">
        <v>352</v>
      </c>
      <c r="B43" s="112">
        <f>B42/B$7/B$33</f>
        <v>0.04001598122</v>
      </c>
    </row>
    <row r="44" ht="14.25" customHeight="1">
      <c r="A44" s="113" t="s">
        <v>353</v>
      </c>
      <c r="B44" s="110">
        <f t="array" ref="B44">INDEX(Investment!AF:AF,ROWS(Investment!AF:AF))</f>
        <v>-17868.97</v>
      </c>
    </row>
    <row r="45" ht="14.25" customHeight="1">
      <c r="A45" s="113" t="s">
        <v>354</v>
      </c>
      <c r="B45" s="112">
        <f>B44/B$7/B$33</f>
        <v>-0.02014653846</v>
      </c>
    </row>
    <row r="46" ht="14.25" customHeight="1">
      <c r="A46" s="114" t="s">
        <v>13</v>
      </c>
      <c r="B46" s="115">
        <f>SUMIF(Historic!D:D,"=APPROVISIONNEMENT",Historic!G:G)</f>
        <v>182717.77</v>
      </c>
    </row>
    <row r="47" ht="14.25" customHeight="1">
      <c r="A47" s="116" t="s">
        <v>15</v>
      </c>
      <c r="B47" s="117">
        <f>B37-B38</f>
        <v>171181.14</v>
      </c>
    </row>
    <row r="48" ht="14.25" customHeight="1">
      <c r="A48" s="116" t="s">
        <v>14</v>
      </c>
      <c r="B48" s="117">
        <f t="array" ref="B48">$B$47-$B$46+$B$38-INDEX(Investment!$AD:$AD,ROWS(Investment!$AD:$AD))</f>
        <v>-10685.05</v>
      </c>
    </row>
    <row r="49" ht="14.25" customHeight="1">
      <c r="A49" s="116" t="s">
        <v>25</v>
      </c>
      <c r="B49" s="117">
        <f>Allocation!B12</f>
        <v>878000</v>
      </c>
    </row>
    <row r="50" ht="14.25" customHeight="1">
      <c r="A50" s="116" t="s">
        <v>28</v>
      </c>
      <c r="B50" s="118" t="str">
        <f>ROUND($B$37/($B$37+$B$49)*100,1)&amp;"% ("&amp;ROUND($B$37/($B$37-$B$36)*100,1)&amp;"%)"</f>
        <v>30.3% (30.2%)</v>
      </c>
    </row>
    <row r="51" ht="14.25" customHeight="1">
      <c r="A51" s="116" t="s">
        <v>26</v>
      </c>
      <c r="B51" s="117">
        <f>Allocation!B11</f>
        <v>2851.95876</v>
      </c>
    </row>
    <row r="52" ht="14.25" customHeight="1">
      <c r="A52" s="116" t="s">
        <v>27</v>
      </c>
      <c r="B52" s="117">
        <f>Allocation!B13</f>
        <v>883000</v>
      </c>
    </row>
    <row r="53" ht="14.25" hidden="1" customHeight="1">
      <c r="A53" s="116" t="s">
        <v>355</v>
      </c>
      <c r="B53" s="117" t="str">
        <f>Allocation!B14</f>
        <v/>
      </c>
    </row>
    <row r="54" ht="14.25" customHeight="1">
      <c r="A54" s="119" t="s">
        <v>356</v>
      </c>
      <c r="B54" s="120">
        <f>(SUMIFS(Historic!G:G,Historic!D:D,"=DIVIDEND",Historic!B:B,"&lt;&gt;",Historic!A:A,"&gt;=" &amp; DATE(DateTime!$B$4-1,DateTime!$B$5+1,1))+SUMIFS(Historic!G:G,Historic!D:D,"=COST",Historic!B:B,"",Historic!A:A,"&gt;=" &amp; DATE(DateTime!$B$4-1,DateTime!$B$5+1,1)))/AVERAGE(OFFSET(AllocationHistoric!B$1,1,0,12,1))</f>
        <v>0.01475396306</v>
      </c>
    </row>
    <row r="55" ht="14.25" customHeight="1">
      <c r="A55" s="121" t="s">
        <v>357</v>
      </c>
      <c r="B55" s="122">
        <v>-0.00473</v>
      </c>
    </row>
    <row r="56" ht="14.25" customHeight="1">
      <c r="A56" s="121" t="s">
        <v>29</v>
      </c>
      <c r="B56" s="122">
        <f>MAX(B55,0)+1.25/100</f>
        <v>0.0125</v>
      </c>
    </row>
    <row r="57" ht="14.25" customHeight="1">
      <c r="A57" s="121" t="s">
        <v>11</v>
      </c>
      <c r="B57" s="123">
        <f>ROUND(MIN(Interest!J:J),2)</f>
        <v>-889.76</v>
      </c>
    </row>
    <row r="58" ht="14.25" customHeight="1">
      <c r="A58" s="124" t="s">
        <v>358</v>
      </c>
      <c r="B58" s="125">
        <f t="array" ref="B58">INDEX(Investment!$P:$P,ROWS(Investment!$P:$P))-INDEX(Investment!$O:$O,ROWS(Investment!$O:$O))</f>
        <v>-11196.7657</v>
      </c>
    </row>
    <row r="59" ht="14.25" customHeight="1">
      <c r="A59" s="126" t="s">
        <v>16</v>
      </c>
      <c r="B59" s="127">
        <f t="array" ref="B59">INDEX(Investment!X:X,ROWS(Investment!X:X))</f>
        <v>8037.6128</v>
      </c>
    </row>
    <row r="60" ht="14.25" customHeight="1">
      <c r="A60" s="93" t="s">
        <v>17</v>
      </c>
      <c r="B60" s="127">
        <f>AVERAGEIFS(Evolution!$G:$G,Evolution!$G:$G,"&lt;&gt;0",Evolution!$A:$A,"&gt;=" &amp; DATE(DateTime!$B$4-1,DateTime!$B$5,DateTime!$B$6))</f>
        <v>533.4267907</v>
      </c>
    </row>
    <row r="61" ht="14.25" customHeight="1">
      <c r="A61" s="126" t="s">
        <v>32</v>
      </c>
      <c r="B61" s="128">
        <f>(COUNTIFS(Historic!$J:$J,"&lt;&gt;",Historic!$D:$D,"&lt;&gt;COST")-1)/(DateTime!$B$2-MINIFS(Historic!$A:$A,Historic!$J:$J,"&lt;&gt;'"))*365.25/12</f>
        <v>13.74276691</v>
      </c>
    </row>
    <row r="62" ht="14.25" customHeight="1">
      <c r="A62" s="126" t="s">
        <v>31</v>
      </c>
      <c r="B62" s="98">
        <f>AVERAGE(Historic!$J:$J)</f>
        <v>346.8897461</v>
      </c>
    </row>
    <row r="63" ht="14.25" customHeight="1">
      <c r="A63" s="126" t="s">
        <v>33</v>
      </c>
      <c r="B63" s="129">
        <f>B61*B62</f>
        <v>4767.224925</v>
      </c>
    </row>
    <row r="64" ht="14.25" customHeight="1">
      <c r="A64" s="126" t="s">
        <v>35</v>
      </c>
      <c r="B64" s="129">
        <f>B63+B21</f>
        <v>5470.80034</v>
      </c>
    </row>
    <row r="65" ht="14.25" customHeight="1">
      <c r="A65" s="126" t="s">
        <v>359</v>
      </c>
      <c r="B65" s="98">
        <f>SUM(Historic!$I:$I)/(COUNT(Evolution!A:A)-1)</f>
        <v>158.2599201</v>
      </c>
    </row>
    <row r="66" ht="14.25" customHeight="1">
      <c r="A66" s="126" t="s">
        <v>360</v>
      </c>
      <c r="B66" s="98">
        <f>AVERAGE(Historic!$I:$I)</f>
        <v>323.7932754</v>
      </c>
    </row>
    <row r="67" ht="14.25" customHeight="1">
      <c r="A67" s="126" t="s">
        <v>361</v>
      </c>
      <c r="B67" s="129">
        <f>B66*B61</f>
        <v>4449.815512</v>
      </c>
    </row>
    <row r="68" ht="14.25" customHeight="1">
      <c r="A68" s="126" t="s">
        <v>362</v>
      </c>
      <c r="B68" s="130">
        <f t="array" ref="B68">INDEX(Investment!AL:AL,ROWS(Investment!AL:AL))</f>
        <v>0.003066859852</v>
      </c>
    </row>
    <row r="69" ht="14.25" customHeight="1">
      <c r="A69" s="126" t="s">
        <v>363</v>
      </c>
      <c r="B69" s="131" t="str">
        <f>IF(MAXIFS(Historic!A:A,Historic!J:J,"&lt;0",Historic!D:D,"&lt;&gt;COST")&lt;&gt;0,DateTime!B2-MAXIFS(Historic!A:A,Historic!J:J,"&lt;0",Historic!D:D,"&lt;&gt;COST")&amp;"d ("&amp;ROUND((DateTime!B2-MAXIFS(Historic!A:A,Historic!J:J,"&lt;0",Historic!D:D,"&lt;&gt;COST"))/30,1) &amp; "m)","TOTO")</f>
        <v>204d (6.8m)</v>
      </c>
    </row>
    <row r="70" ht="14.25" customHeight="1">
      <c r="A70" s="126" t="s">
        <v>364</v>
      </c>
      <c r="B70" s="132">
        <f t="array" ref="B70">INDEX(Investment!AQ:AQ,ROWS(Investment!AQ:AQ))</f>
        <v>0.2265810185</v>
      </c>
    </row>
    <row r="71" ht="14.25" customHeight="1">
      <c r="A71" s="126" t="s">
        <v>365</v>
      </c>
      <c r="B71" s="133" t="s">
        <v>366</v>
      </c>
    </row>
  </sheetData>
  <conditionalFormatting sqref="A1:B71">
    <cfRule type="expression" dxfId="0" priority="1">
      <formula>IFERROR(MATCH($A1,SPLIT(TEXTJOIN(";",TRUE,INDIRECT("Settings!$B$1:$F$7")),";"),0),-1)&gt;0</formula>
    </cfRule>
  </conditionalFormatting>
  <conditionalFormatting sqref="B55">
    <cfRule type="expression" dxfId="1" priority="2">
      <formula>ISFORMULA($B55)</formula>
    </cfRule>
  </conditionalFormatting>
  <hyperlinks>
    <hyperlink r:id="rId2" ref="B71"/>
  </hyperlinks>
  <drawing r:id="rId3"/>
  <legacyDrawing r:id="rId4"/>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xSplit="13.0" topLeftCell="N1" activePane="topRight" state="frozen"/>
      <selection activeCell="O2" sqref="O2" pane="topRight"/>
    </sheetView>
  </sheetViews>
  <sheetFormatPr customHeight="1" defaultColWidth="14.43" defaultRowHeight="12.75"/>
  <cols>
    <col customWidth="1" min="1" max="1" width="32.0"/>
    <col customWidth="1" hidden="1" min="2" max="2" width="11.0"/>
    <col customWidth="1" hidden="1" min="3" max="3" width="5.14"/>
    <col customWidth="1" hidden="1" min="4" max="4" width="44.0"/>
    <col customWidth="1" hidden="1" min="5" max="5" width="25.29"/>
    <col customWidth="1" hidden="1" min="6" max="6" width="15.14"/>
    <col customWidth="1" hidden="1" min="7" max="7" width="7.0"/>
    <col customWidth="1" hidden="1" min="8" max="8" width="31.14"/>
    <col customWidth="1" hidden="1" min="9" max="9" width="10.86"/>
    <col customWidth="1" hidden="1" min="10" max="10" width="8.0"/>
    <col customWidth="1" min="11" max="11" width="10.14"/>
    <col customWidth="1" hidden="1" min="12" max="12" width="9.43"/>
    <col customWidth="1" min="13" max="13" width="8.57"/>
    <col customWidth="1" hidden="1" min="14" max="14" width="12.29"/>
    <col customWidth="1" min="15" max="15" width="13.71"/>
    <col customWidth="1" min="16" max="16" width="13.86"/>
    <col customWidth="1" hidden="1" min="17" max="17" width="12.71"/>
    <col customWidth="1" hidden="1" min="18" max="18" width="5.86"/>
    <col customWidth="1" min="19" max="19" width="12.29"/>
    <col customWidth="1" min="20" max="20" width="12.86"/>
    <col customWidth="1" hidden="1" min="21" max="21" width="11.0"/>
    <col customWidth="1" hidden="1" min="22" max="22" width="9.71"/>
    <col customWidth="1" min="23" max="23" width="14.29"/>
    <col customWidth="1" min="24" max="24" width="11.43"/>
    <col customWidth="1" min="25" max="25" width="6.57"/>
    <col customWidth="1" hidden="1" min="26" max="26" width="11.14"/>
    <col customWidth="1" hidden="1" min="27" max="27" width="6.57"/>
    <col customWidth="1" hidden="1" min="28" max="28" width="12.29"/>
    <col customWidth="1" hidden="1" min="29" max="29" width="7.57"/>
    <col customWidth="1" min="30" max="30" width="12.29"/>
    <col customWidth="1" min="31" max="31" width="8.29"/>
    <col customWidth="1" min="32" max="32" width="11.86"/>
    <col customWidth="1" min="33" max="33" width="11.71"/>
    <col customWidth="1" min="34" max="34" width="8.71"/>
    <col customWidth="1" min="35" max="35" width="9.86"/>
    <col customWidth="1" min="36" max="36" width="8.71"/>
    <col customWidth="1" min="37" max="37" width="12.57"/>
    <col customWidth="1" min="38" max="38" width="12.29"/>
    <col customWidth="1" hidden="1" min="39" max="39" width="10.0"/>
    <col customWidth="1" hidden="1" min="40" max="40" width="11.86"/>
    <col customWidth="1" hidden="1" min="41" max="41" width="13.86"/>
    <col customWidth="1" hidden="1" min="42" max="42" width="11.14"/>
    <col customWidth="1" hidden="1" min="43" max="43" width="18.57"/>
    <col customWidth="1" min="44" max="45" width="10.71"/>
    <col customWidth="1" min="46" max="46" width="12.14"/>
    <col customWidth="1" min="47" max="47" width="10.14"/>
    <col customWidth="1" min="48" max="48" width="11.57"/>
    <col customWidth="1" min="49" max="49" width="9.14"/>
    <col customWidth="1" min="50" max="50" width="12.71"/>
    <col customWidth="1" min="51" max="52" width="11.14"/>
    <col customWidth="1" min="53" max="53" width="10.0"/>
    <col customWidth="1" min="54" max="54" width="8.86"/>
    <col customWidth="1" min="55" max="55" width="11.29"/>
    <col customWidth="1" min="56" max="56" width="9.86"/>
    <col customWidth="1" min="57" max="57" width="8.86"/>
    <col customWidth="1" min="58" max="59" width="13.57"/>
  </cols>
  <sheetData>
    <row r="1">
      <c r="A1" s="134" t="s">
        <v>65</v>
      </c>
      <c r="B1" s="135" t="s">
        <v>367</v>
      </c>
      <c r="C1" s="135" t="s">
        <v>368</v>
      </c>
      <c r="D1" s="136" t="s">
        <v>369</v>
      </c>
      <c r="E1" s="136" t="s">
        <v>370</v>
      </c>
      <c r="F1" s="135" t="s">
        <v>281</v>
      </c>
      <c r="G1" s="135" t="s">
        <v>371</v>
      </c>
      <c r="H1" s="135" t="s">
        <v>66</v>
      </c>
      <c r="I1" s="135" t="s">
        <v>372</v>
      </c>
      <c r="J1" s="135" t="s">
        <v>373</v>
      </c>
      <c r="K1" s="137" t="s">
        <v>374</v>
      </c>
      <c r="L1" s="138" t="str">
        <f>IFERROR(__xludf.DUMMYFUNCTION("SWITCH($J1,""Symbol"",,,,""FPX"",IMPORTXML(""https://bloomberg.com/quote/""&amp;$G1&amp;"":""&amp;$J1,""//span[@class='priceText__1853e8a5']""),IMPORTXML(""https://www.investing.com/etfs/""&amp;$D1,""//span[@id='last_last']""))"),"")</f>
        <v/>
      </c>
      <c r="M1" s="138" t="s">
        <v>69</v>
      </c>
      <c r="N1" s="139" t="s">
        <v>375</v>
      </c>
      <c r="O1" s="139" t="s">
        <v>376</v>
      </c>
      <c r="P1" s="140" t="s">
        <v>377</v>
      </c>
      <c r="Q1" s="63" t="s">
        <v>378</v>
      </c>
      <c r="R1" s="63" t="s">
        <v>379</v>
      </c>
      <c r="S1" s="63" t="s">
        <v>380</v>
      </c>
      <c r="T1" s="63" t="s">
        <v>381</v>
      </c>
      <c r="U1" s="63" t="s">
        <v>382</v>
      </c>
      <c r="V1" s="141" t="s">
        <v>383</v>
      </c>
      <c r="W1" s="142" t="s">
        <v>383</v>
      </c>
      <c r="X1" s="143" t="s">
        <v>384</v>
      </c>
      <c r="Y1" s="144" t="s">
        <v>385</v>
      </c>
      <c r="Z1" s="145" t="s">
        <v>386</v>
      </c>
      <c r="AA1" s="145" t="s">
        <v>385</v>
      </c>
      <c r="AB1" s="145" t="s">
        <v>387</v>
      </c>
      <c r="AC1" s="144" t="s">
        <v>385</v>
      </c>
      <c r="AD1" s="146" t="s">
        <v>388</v>
      </c>
      <c r="AE1" s="147" t="s">
        <v>385</v>
      </c>
      <c r="AF1" s="148" t="s">
        <v>389</v>
      </c>
      <c r="AG1" s="135" t="s">
        <v>390</v>
      </c>
      <c r="AH1" s="135" t="s">
        <v>391</v>
      </c>
      <c r="AI1" s="135" t="s">
        <v>392</v>
      </c>
      <c r="AJ1" s="135" t="s">
        <v>393</v>
      </c>
      <c r="AK1" s="135" t="s">
        <v>394</v>
      </c>
      <c r="AL1" s="135" t="s">
        <v>395</v>
      </c>
      <c r="AM1" s="149" t="s">
        <v>396</v>
      </c>
      <c r="AN1" s="141" t="s">
        <v>381</v>
      </c>
      <c r="AO1" s="141" t="s">
        <v>397</v>
      </c>
      <c r="AP1" s="141" t="s">
        <v>398</v>
      </c>
      <c r="AQ1" s="141" t="s">
        <v>399</v>
      </c>
      <c r="AR1" s="150" t="s">
        <v>400</v>
      </c>
      <c r="AS1" s="151" t="s">
        <v>401</v>
      </c>
      <c r="AT1" s="152" t="s">
        <v>402</v>
      </c>
      <c r="AU1" s="138" t="s">
        <v>403</v>
      </c>
      <c r="AV1" s="153" t="s">
        <v>404</v>
      </c>
      <c r="AW1" s="154" t="s">
        <v>405</v>
      </c>
      <c r="AX1" s="154" t="s">
        <v>406</v>
      </c>
      <c r="AY1" s="154" t="s">
        <v>407</v>
      </c>
      <c r="AZ1" s="155" t="s">
        <v>408</v>
      </c>
      <c r="BA1" s="154" t="s">
        <v>409</v>
      </c>
      <c r="BB1" s="154" t="s">
        <v>410</v>
      </c>
      <c r="BC1" s="155" t="s">
        <v>411</v>
      </c>
      <c r="BD1" s="154" t="s">
        <v>412</v>
      </c>
      <c r="BE1" s="154" t="s">
        <v>413</v>
      </c>
      <c r="BF1" s="156" t="s">
        <v>414</v>
      </c>
      <c r="BG1" s="157" t="s">
        <v>415</v>
      </c>
    </row>
    <row r="2">
      <c r="A2" s="158" t="s">
        <v>298</v>
      </c>
      <c r="B2" s="159">
        <v>0.4</v>
      </c>
      <c r="C2" s="160"/>
      <c r="D2" s="161" t="s">
        <v>416</v>
      </c>
      <c r="E2" s="162" t="s">
        <v>417</v>
      </c>
      <c r="F2" s="163" t="s">
        <v>74</v>
      </c>
      <c r="G2" s="164" t="str">
        <f>IFERROR(__xludf.DUMMYFUNCTION("INDEX(SPLIT($E2,"" ""),1,1)"),"IS04")</f>
        <v>IS04</v>
      </c>
      <c r="H2" s="164" t="str">
        <f>IFERROR(__xludf.DUMMYFUNCTION("TRIM(INDEX(SPLIT(SPLIT($E2,$I2,FALSE),"" | "",FALSE),1,2))"),"iShares Treasury Bond 20+ UCITS")</f>
        <v>iShares Treasury Bond 20+ UCITS</v>
      </c>
      <c r="I2" s="164" t="str">
        <f>IFERROR(__xludf.DUMMYFUNCTION("INDEX(SPLIT(SPLIT($E2,""ETF "",FALSE),"" ""),1,COLUMNS(SPLIT(SPLIT($E2,""ETF "",FALSE),"" "")))"),"Xetra")</f>
        <v>Xetra</v>
      </c>
      <c r="J2" s="164" t="str">
        <f t="shared" ref="J2:J6" si="2">SWITCH($I2,"XETRA","GR","Amsterdam","NA","Paris","FP")</f>
        <v>GR</v>
      </c>
      <c r="K2" s="165">
        <f>SUMIFS(Historic!$E:$E,Historic!$C:$C,$H2)</f>
        <v>119696</v>
      </c>
      <c r="L2" s="166"/>
      <c r="M2" s="167">
        <v>4.9448</v>
      </c>
      <c r="N2" s="15">
        <f>IF($K2,-SUMIFS(Historic!G:G,Historic!D:D,"&lt;&gt;DIVIDEND",Historic!C:C,"=" &amp; H2)-$AM2,0)</f>
        <v>536073.71</v>
      </c>
      <c r="O2" s="168">
        <f t="shared" ref="O2:O6" si="3">M2*K2</f>
        <v>591872.7808</v>
      </c>
      <c r="P2" s="169">
        <f t="shared" ref="P2:P6" si="4">$P$7*$B2*(1-$AJ2*3)</f>
        <v>577768.8604</v>
      </c>
      <c r="Q2" s="15">
        <f t="array" ref="Q2">IF(SUMIFS(Historic!G:G,Historic!C:C,"=" &amp; $H2,Historic!E:E,"&lt;&gt;",Historic!A:A,"&gt;=" &amp; DATE(DateTime!$B$4,DateTime!$B$5,1),Historic!A:A,"&lt;=" &amp; DateTime!$B$2)&gt;0,INDEX(Historic!G:G,SUMPRODUCT(MAX(ROW(Historic!G:G)*(Historic!C:C=$H2)*(Historic!E:E&lt;&gt;"")*(Historic!A:A&gt;=DATE(DateTime!$B$4,DateTime!$B$5,1))*(Historic!A:A&lt;=DateTime!$B$2)))),0)</f>
        <v>0</v>
      </c>
      <c r="R2" s="170">
        <f t="shared" ref="R2:R6" si="5">RANK($AH2,$AH$2:$AH$6)-1</f>
        <v>2</v>
      </c>
      <c r="S2" s="171">
        <f t="shared" ref="S2:S6" si="6">ROUNDUP(-T2/$M2)</f>
        <v>0</v>
      </c>
      <c r="T2" s="172">
        <f>IF(AND(($P$7-$O$7)*$AJ2&lt;0,OR($V2*$AH2&gt;0,$V2*$AJ2&lt;0,ABS($AJ2)&gt;0.03)),IF(($P2-$O2)*$AJ2&lt;0,-ROUNDDOWN(($P2-$O2+$U2)/$M2)*$M2,0),IF(((-$V2-$AH2)*$P2+$U2)*($M2-$AI2)&lt;0,IF(AND(ABS((-$V2-$AH2)*$P2+$U2)&lt;1000,ABS(ROUNDUP(1000/$M2)*($M2-$AI2))&gt;Dashboard!$B$62),ROUNDUP(1000/$M2)*$M2*SIGN($M2-$AI2),-ROUNDDOWN(((-$V2-$AH2)*$P2+$U2)/$M2)*$M2),IF($N2=0,-$O$7/SUMIFS($B$2:$B$5,$K$2:$K$5,"&gt;0")*$B2,0)))</f>
        <v>0</v>
      </c>
      <c r="U2" s="173">
        <f t="shared" ref="U2:U6" si="7">ROUNDDOWN((INDEX($U:$U,ROWS($U:$U))-SUMIFS(U:U,R:R,"&lt;"&amp;R2))/$M2)*$M2</f>
        <v>0</v>
      </c>
      <c r="V2" s="174">
        <f t="array" ref="V2">INDEX(Price!$G:$K,2,ROW()-1)</f>
        <v>-0.005708839168</v>
      </c>
      <c r="W2" s="174" t="str">
        <f t="array" ref="W2">IF(AND($AG2&gt;MAX($B2*AVERAGE(Historic!$J:$J),0)*MAX(ABS($AH2*100),1)*(1-$BE2)*5,ABS($T2)&gt;IF($Q2=0,0,1000),OR(AND($T2&lt;0,$M2&lt;$AI2),AND($T2&gt;0,$M2&gt;$AI2),$N2=0),OR($T2*$V2&gt;0,($P$7-$O$7)*$AJ2&lt;0)),IF(OR(AND($T2&lt;0,N2&lt;&gt;0,Dashboard!$B$51&gt;0),$V2&lt;AVERAGEIFS(INDEX(Price!$G:$K,0,ROW()-1),INDEX(Price!$G:$K,0,ROW()-1),"&lt;0")*2),"BUY",IF(OR(AND($T2&gt;0,N2&lt;&gt;0,Dashboard!$B$51&lt;0),$V2&gt;AVERAGEIFS(INDEX(Price!$G:$K,0,ROW()-1),INDEX(Price!$G:$K,0,ROW()-1),"&gt;0")*2),"SELL","HOLD")),"HOLD") &amp; " (" &amp; ROUND($V2*100,2) &amp; "%)"</f>
        <v>HOLD (-0.57%)</v>
      </c>
      <c r="X2" s="169">
        <f t="array" ref="X2">($M2-INDEX(Price!$B:$F,MIN(3,COLUMNS(Price!$B:$F)),ROW()-1))*($K2-SUMIFS(Historic!$E:$E,Historic!$C:$C,$H2,Historic!$A:$A,DateTime!$B$2))+SUMIFS(Historic!$I:$I,Historic!$C:$C,$H2,Historic!$A:$A,DateTime!$B$2)</f>
        <v>2489.6768</v>
      </c>
      <c r="Y2" s="175">
        <f t="shared" ref="Y2:Y6" si="8">IF(OR(X2=0,$N2=0),0,X2/$N2)</f>
        <v>0.004644280728</v>
      </c>
      <c r="Z2" s="18">
        <f>SUMIFS(Historic!G:G,Historic!D:D,"=DIVIDEND",Historic!C:C,"=" &amp; H2,Historic!H:H,"&lt;&gt;XXXXXX")</f>
        <v>8504.93</v>
      </c>
      <c r="AA2" s="174">
        <f t="shared" ref="AA2:AA6" si="9">IF(OR(Z2=0,$N2=0),0,Z2/$N2)</f>
        <v>0.01586522495</v>
      </c>
      <c r="AB2" s="18">
        <f t="shared" ref="AB2:AB6" si="10">O2-N2</f>
        <v>55799.0708</v>
      </c>
      <c r="AC2" s="175">
        <f t="shared" ref="AC2:AC6" si="11">IF(OR(AB2=0,$N2=0),0,AB2/$N2)</f>
        <v>0.1040884299</v>
      </c>
      <c r="AD2" s="176">
        <f t="shared" ref="AD2:AE2" si="1">Z2+AB2</f>
        <v>64304.0008</v>
      </c>
      <c r="AE2" s="177">
        <f t="shared" si="1"/>
        <v>0.1199536549</v>
      </c>
      <c r="AF2" s="178">
        <f>IF(AND($T2,OR($C2="",AND($Q2&lt;&gt;0,$T2&lt;&gt;0,OR(ABS($T2)&lt;=1000,SIGN($T2)&lt;&gt;SIGN($Q2))))),2+0.02/100*ABS($T2),0)+IF(Dashboard!$B$49&lt;-Dashboard!$B$36,$T2*4/100/360*(EOMONTH(DateTime!$B$2,0)-DateTime!$B$2),0)</f>
        <v>0</v>
      </c>
      <c r="AG2" s="168">
        <f t="shared" ref="AG2:AG6" si="13">$S2*$AI2+$T2-$AF2</f>
        <v>0</v>
      </c>
      <c r="AH2" s="179">
        <f t="shared" ref="AH2:AH6" si="14">IF(OR($P2=0,$O2=0),0,1-$P2/$O2)</f>
        <v>0.02382931064</v>
      </c>
      <c r="AI2" s="180">
        <f t="array" ref="AI2">AVERAGEIFS(OFFSET(INDEX(Price!$B:$F,0,ROW()-1),0,0,ROWS(Price!$B:$F),1),Price!$A:$A,"&gt;" &amp; DATE(DateTime!$B$4-1,DateTime!$B$5,DateTime!$B$6))</f>
        <v>5.200445736</v>
      </c>
      <c r="AJ2" s="174">
        <f t="shared" ref="AJ2:AJ6" si="15">1-$AI2/$M2</f>
        <v>-0.05169991434</v>
      </c>
      <c r="AK2" s="180">
        <f t="array" ref="AK2">AVERAGEIFS(OFFSET(INDEX(Price!$B:$F,0,ROW()-1),0,0,ROWS(Price!$B:$F),1),Price!$A:$A,"&lt;=" &amp; DATE(DateTime!$B$4,IF(DateTime!$B$5&gt;0,DateTime!$B$5-1,1),DateTime!$B$6))</f>
        <v>5.171962109</v>
      </c>
      <c r="AL2" s="174">
        <f t="shared" ref="AL2:AL6" si="16">1-$AK2/$AI2</f>
        <v>0.005477151095</v>
      </c>
      <c r="AM2" s="181">
        <v>0.0</v>
      </c>
      <c r="AN2" s="168">
        <f t="shared" ref="AN2:AN6" si="17">ROUNDDOWN(($P2-$O2)/$M2)*$M2</f>
        <v>-14102.5696</v>
      </c>
      <c r="AO2" s="168">
        <f t="shared" ref="AO2:AO6" si="18">$AI2*$K2</f>
        <v>622472.5529</v>
      </c>
      <c r="AP2" s="180">
        <f t="shared" ref="AP2:AP6" si="19">IF($K2&lt;&gt;0,$N2/$K2,)</f>
        <v>4.478626771</v>
      </c>
      <c r="AQ2" s="182">
        <v>44146.74979814814</v>
      </c>
      <c r="AR2" s="183">
        <f>IF(MAXIFS(Historic!$A:$A,Historic!$C:$C,LEFT($H2,40)&amp;"*",Historic!$D:$D,"DIVIDEND",Historic!$G:$G,"&gt;0")&lt;&gt;0,MAXIFS(Historic!$A:$A,Historic!$C:$C,LEFT($H2,40)&amp;"*",Historic!$D:$D,"DIVIDEND",Historic!$G:$G,"&gt;0"),)</f>
        <v>44006</v>
      </c>
      <c r="AS2" s="184">
        <f>IF(MAXIFS(Historic!$A:$A,Historic!$C:$C,LEFT($H2,40)&amp;"*",Historic!$D:$D,"DIVIDEND",Historic!$A:$A,"&lt;"&amp;AR2)&lt;&gt;0,EDATE(AR2,ROUND((AR2-MAXIFS(Historic!$A:$A,Historic!$C:$C,LEFT($H2,40)&amp;"*",Historic!$D:$D,"DIVIDEND",Historic!$A:$A,"&lt;"&amp;AR2))/365.25*4,0)*3),)</f>
        <v>44189</v>
      </c>
      <c r="AT2" s="185" t="str">
        <f>IF($AS2,$AS2-DateTime!$B$2&amp;"d ("&amp;ROUND(($AS2-DateTime!$B$2)/30,1) &amp; "m)",)</f>
        <v>43d (1.4m)</v>
      </c>
      <c r="AU2" s="172">
        <f>IF($AR2,SUMIFS(Historic!$G:$G,Historic!$C:$C,LEFT($H2,40)&amp;"*",Historic!$D:$D,"DIVIDEND",Historic!$A:$A,"&gt;="&amp;$AR2)/SUMIFS(Historic!$E:$E,Historic!$C:$C,LEFT($H2,40)&amp;"*",Historic!$A:$A,"&lt;="&amp;$AR2)*$K2,)</f>
        <v>5531.888426</v>
      </c>
      <c r="AV2" s="186">
        <f t="shared" ref="AV2:AV6" si="20">ROUND(IF($AS2,12/DATEDIF($AR2,$AS2,"M"),1),0)*$AU2/12</f>
        <v>921.9814043</v>
      </c>
      <c r="AW2" s="187">
        <f t="shared" ref="AW2:AW6" si="21">$O2/$O$7</f>
        <v>0.4691182638</v>
      </c>
      <c r="AX2" s="188">
        <f>MAX($B2*AVERAGE(Historic!$J:$J),0)*MAX(ABS($AH2*100),1)*(1-$BE2)*5</f>
        <v>136.008218</v>
      </c>
      <c r="AY2" s="188">
        <f>MAX($B2*AVERAGE(Historic!$J:$J),0)*MAX(ABS($AH2*100),1)</f>
        <v>330.6457407</v>
      </c>
      <c r="AZ2" s="189">
        <f t="array" ref="AZ2">(1-(1/100))*MAX(INDEX(Price!$B:$G,0,ROW()-1))</f>
        <v>5.87862</v>
      </c>
      <c r="BA2" s="189">
        <f t="array" ref="BA2">MAX(INDEX(Price!$B:$G,0,ROW()-1))</f>
        <v>5.938</v>
      </c>
      <c r="BB2" s="187">
        <f t="array" ref="BB2">$M2/MAX(INDEX(Price!$B:$F,0,ROW()-1))</f>
        <v>0.8327382957</v>
      </c>
      <c r="BC2" s="189">
        <f t="array" ref="BC2">(1+(1/100))*MIN(INDEX(Price!$B:$G,0,ROW()-1))</f>
        <v>4.58338</v>
      </c>
      <c r="BD2" s="189">
        <f t="array" ref="BD2">MIN(INDEX(Price!$B:$G,0,ROW()-1))</f>
        <v>4.538</v>
      </c>
      <c r="BE2" s="187">
        <f t="array" ref="BE2">MIN(INDEX(Price!$B:$F,0,ROW()-1))/$M2</f>
        <v>0.9177317586</v>
      </c>
      <c r="BF2" s="190" t="str">
        <f>IF(AND($AJ2&lt;0.1,$BE2&gt;0.95),MIN(-AH2*($O2-($BF$7*$B2*(1-$AJ2))/(1+$BE2)),Allocation!$B$11)*$B2,)</f>
        <v/>
      </c>
      <c r="BG2" s="191" t="str">
        <f t="shared" ref="BG2:BG6" si="22">IF(AND($AJ2&gt;0.1,$BB2&gt;0.95),$O2-($BG$7*$B2*(1-$AJ2))/(1+$BB2),)</f>
        <v/>
      </c>
    </row>
    <row r="3">
      <c r="A3" s="158" t="s">
        <v>302</v>
      </c>
      <c r="B3" s="159">
        <v>0.3</v>
      </c>
      <c r="C3" s="192" t="s">
        <v>418</v>
      </c>
      <c r="D3" s="161" t="s">
        <v>419</v>
      </c>
      <c r="E3" s="162" t="s">
        <v>420</v>
      </c>
      <c r="F3" s="163" t="s">
        <v>94</v>
      </c>
      <c r="G3" s="164" t="str">
        <f>IFERROR(__xludf.DUMMYFUNCTION("INDEX(SPLIT($E3,"" ""),1,1)"),"VUSA")</f>
        <v>VUSA</v>
      </c>
      <c r="H3" s="164" t="str">
        <f>IFERROR(__xludf.DUMMYFUNCTION("TRIM(INDEX(SPLIT(SPLIT($E3,$I3,FALSE),"" | "",FALSE),1,2))"),"Vanguard S&amp;P 500 UCITS")</f>
        <v>Vanguard S&amp;P 500 UCITS</v>
      </c>
      <c r="I3" s="164" t="str">
        <f>IFERROR(__xludf.DUMMYFUNCTION("INDEX(SPLIT(SPLIT($E3,""ETF "",FALSE),"" ""),1,COLUMNS(SPLIT(SPLIT($E3,""ETF "",FALSE),"" "")))"),"Amsterdam")</f>
        <v>Amsterdam</v>
      </c>
      <c r="J3" s="164" t="str">
        <f t="shared" si="2"/>
        <v>NA</v>
      </c>
      <c r="K3" s="165">
        <f>SUMIFS(Historic!$E:$E,Historic!$C:$C,$H3)</f>
        <v>4536</v>
      </c>
      <c r="L3" s="166"/>
      <c r="M3" s="167">
        <v>57.638</v>
      </c>
      <c r="N3" s="15">
        <f>IF($K3,-SUMIFS(Historic!G:G,Historic!D:D,"&lt;&gt;DIVIDEND",Historic!C:C,"=" &amp; H3)-$AM3,0)</f>
        <v>161460.57</v>
      </c>
      <c r="O3" s="168">
        <f t="shared" si="3"/>
        <v>261445.968</v>
      </c>
      <c r="P3" s="169">
        <f t="shared" si="4"/>
        <v>285209.9544</v>
      </c>
      <c r="Q3" s="15">
        <f t="array" ref="Q3">IF(SUMIFS(Historic!G:G,Historic!C:C,"=" &amp; $H3,Historic!E:E,"&lt;&gt;",Historic!A:A,"&gt;=" &amp; DATE(DateTime!$B$4,DateTime!$B$5,1),Historic!A:A,"&lt;=" &amp; DateTime!$B$2)&gt;0,INDEX(Historic!G:G,SUMPRODUCT(MAX(ROW(Historic!G:G)*(Historic!C:C=$H3)*(Historic!E:E&lt;&gt;"")*(Historic!A:A&gt;=DATE(DateTime!$B$4,DateTime!$B$5,1))*(Historic!A:A&lt;=DateTime!$B$2)))),0)</f>
        <v>25357.5</v>
      </c>
      <c r="R3" s="170">
        <f t="shared" si="5"/>
        <v>3</v>
      </c>
      <c r="S3" s="171">
        <f t="shared" si="6"/>
        <v>0</v>
      </c>
      <c r="T3" s="172">
        <f>IF(AND(($P$7-$O$7)*$AJ3&lt;0,OR($V3*$AH3&gt;0,$V3*$AJ3&lt;0,ABS($AJ3)&gt;0.03)),IF(($P3-$O3)*$AJ3&lt;0,-ROUNDDOWN(($P3-$O3+$U3)/$M3)*$M3,0),IF(((-$V3-$AH3)*$P3+$U3)*($M3-$AI3)&lt;0,IF(AND(ABS((-$V3-$AH3)*$P3+$U3)&lt;1000,ABS(ROUNDUP(1000/$M3)*($M3-$AI3))&gt;Dashboard!$B$62),ROUNDUP(1000/$M3)*$M3*SIGN($M3-$AI3),-ROUNDDOWN(((-$V3-$AH3)*$P3+$U3)/$M3)*$M3),IF($N3=0,-$O$7/SUMIFS($B$2:$B$5,$K$2:$K$5,"&gt;0")*$B3,0)))</f>
        <v>0</v>
      </c>
      <c r="U3" s="173">
        <f t="shared" si="7"/>
        <v>0</v>
      </c>
      <c r="V3" s="174">
        <f t="array" ref="V3">INDEX(Price!$G:$K,2,ROW()-1)</f>
        <v>0.009192716487</v>
      </c>
      <c r="W3" s="174" t="str">
        <f t="array" ref="W3">IF(AND($AG3&gt;MAX($B3*AVERAGE(Historic!$J:$J),0)*MAX(ABS($AH3*100),1)*(1-$BE3)*5,ABS($T3)&gt;IF($Q3=0,0,1000),OR(AND($T3&lt;0,$M3&lt;$AI3),AND($T3&gt;0,$M3&gt;$AI3),$N3=0),OR($T3*$V3&gt;0,($P$7-$O$7)*$AJ3&lt;0)),IF(OR(AND($T3&lt;0,N3&lt;&gt;0,Dashboard!$B$51&gt;0),$V3&lt;AVERAGEIFS(INDEX(Price!$G:$K,0,ROW()-1),INDEX(Price!$G:$K,0,ROW()-1),"&lt;0")*2),"BUY",IF(OR(AND($T3&gt;0,N3&lt;&gt;0,Dashboard!$B$51&lt;0),$V3&gt;AVERAGEIFS(INDEX(Price!$G:$K,0,ROW()-1),INDEX(Price!$G:$K,0,ROW()-1),"&gt;0")*2),"SELL","HOLD")),"HOLD") &amp; " (" &amp; ROUND($V3*100,2) &amp; "%)"</f>
        <v>HOLD (0.92%)</v>
      </c>
      <c r="X3" s="169">
        <f t="array" ref="X3">($M3-INDEX(Price!$B:$F,MIN(3,COLUMNS(Price!$B:$F)),ROW()-1))*($K3-SUMIFS(Historic!$E:$E,Historic!$C:$C,$H3,Historic!$A:$A,DateTime!$B$2))+SUMIFS(Historic!$I:$I,Historic!$C:$C,$H3,Historic!$A:$A,DateTime!$B$2)</f>
        <v>3665.088</v>
      </c>
      <c r="Y3" s="175">
        <f t="shared" si="8"/>
        <v>0.02269958542</v>
      </c>
      <c r="Z3" s="18">
        <f>SUMIFS(Historic!G:G,Historic!D:D,"=DIVIDEND",Historic!C:C,"=" &amp; H3,Historic!H:H,"&lt;&gt;XXXXXX")</f>
        <v>12279.99</v>
      </c>
      <c r="AA3" s="174">
        <f t="shared" si="9"/>
        <v>0.07605565867</v>
      </c>
      <c r="AB3" s="18">
        <f t="shared" si="10"/>
        <v>99985.398</v>
      </c>
      <c r="AC3" s="175">
        <f t="shared" si="11"/>
        <v>0.619255822</v>
      </c>
      <c r="AD3" s="176">
        <f t="shared" ref="AD3:AE3" si="12">Z3+AB3</f>
        <v>112265.388</v>
      </c>
      <c r="AE3" s="177">
        <f t="shared" si="12"/>
        <v>0.6953114807</v>
      </c>
      <c r="AF3" s="178">
        <f>IF(AND($T3,OR($C3="",AND($Q3&lt;&gt;0,$T3&lt;&gt;0,OR(ABS($T3)&lt;=1000,SIGN($T3)&lt;&gt;SIGN($Q3))))),2+0.02/100*ABS($T3),0)+IF(Dashboard!$B$49&lt;-Dashboard!$B$36,$T3*4/100/360*(EOMONTH(DateTime!$B$2,0)-DateTime!$B$2),0)</f>
        <v>0</v>
      </c>
      <c r="AG3" s="168">
        <f t="shared" si="13"/>
        <v>0</v>
      </c>
      <c r="AH3" s="179">
        <f t="shared" si="14"/>
        <v>-0.09089444581</v>
      </c>
      <c r="AI3" s="180">
        <f t="array" ref="AI3">AVERAGEIFS(OFFSET(INDEX(Price!$B:$F,0,ROW()-1),0,0,ROWS(Price!$B:$F),1),Price!$A:$A,"&gt;" &amp; DATE(DateTime!$B$4-1,DateTime!$B$5,DateTime!$B$6))</f>
        <v>53.03217829</v>
      </c>
      <c r="AJ3" s="174">
        <f t="shared" si="15"/>
        <v>0.07990946434</v>
      </c>
      <c r="AK3" s="180">
        <f t="array" ref="AK3">AVERAGEIFS(OFFSET(INDEX(Price!$B:$F,0,ROW()-1),0,0,ROWS(Price!$B:$F),1),Price!$A:$A,"&lt;=" &amp; DATE(DateTime!$B$4,IF(DateTime!$B$5&gt;0,DateTime!$B$5-1,1),DateTime!$B$6))</f>
        <v>52.70396484</v>
      </c>
      <c r="AL3" s="174">
        <f t="shared" si="16"/>
        <v>0.006188949075</v>
      </c>
      <c r="AM3" s="181">
        <v>0.0</v>
      </c>
      <c r="AN3" s="168">
        <f t="shared" si="17"/>
        <v>23746.856</v>
      </c>
      <c r="AO3" s="168">
        <f t="shared" si="18"/>
        <v>240553.9607</v>
      </c>
      <c r="AP3" s="180">
        <f t="shared" si="19"/>
        <v>35.59536376</v>
      </c>
      <c r="AQ3" s="182">
        <v>44146.74979814814</v>
      </c>
      <c r="AR3" s="183">
        <f>IF(MAXIFS(Historic!$A:$A,Historic!$C:$C,LEFT($H3,40)&amp;"*",Historic!$D:$D,"DIVIDEND",Historic!$G:$G,"&gt;0")&lt;&gt;0,MAXIFS(Historic!$A:$A,Historic!$C:$C,LEFT($H3,40)&amp;"*",Historic!$D:$D,"DIVIDEND",Historic!$G:$G,"&gt;0"),)</f>
        <v>44111</v>
      </c>
      <c r="AS3" s="184">
        <f>IF(MAXIFS(Historic!$A:$A,Historic!$C:$C,LEFT($H3,40)&amp;"*",Historic!$D:$D,"DIVIDEND",Historic!$A:$A,"&lt;"&amp;AR3)&lt;&gt;0,EDATE(AR3,ROUND((AR3-MAXIFS(Historic!$A:$A,Historic!$C:$C,LEFT($H3,40)&amp;"*",Historic!$D:$D,"DIVIDEND",Historic!$A:$A,"&lt;"&amp;AR3))/365.25*4,0)*3),)</f>
        <v>44203</v>
      </c>
      <c r="AT3" s="185" t="str">
        <f>IF($AS3,$AS3-DateTime!$B$2&amp;"d ("&amp;ROUND(($AS3-DateTime!$B$2)/30,1) &amp; "m)",)</f>
        <v>57d (1.9m)</v>
      </c>
      <c r="AU3" s="172">
        <f>IF($AR3,SUMIFS(Historic!$G:$G,Historic!$C:$C,LEFT($H3,40)&amp;"*",Historic!$D:$D,"DIVIDEND",Historic!$A:$A,"&gt;="&amp;$AR3)/SUMIFS(Historic!$E:$E,Historic!$C:$C,LEFT($H3,40)&amp;"*",Historic!$A:$A,"&lt;="&amp;$AR3)*$K3,)</f>
        <v>965.8939952</v>
      </c>
      <c r="AV3" s="186">
        <f t="shared" si="20"/>
        <v>321.9646651</v>
      </c>
      <c r="AW3" s="187">
        <f t="shared" si="21"/>
        <v>0.207222029</v>
      </c>
      <c r="AX3" s="188">
        <f>MAX($B3*AVERAGE(Historic!$J:$J),0)*MAX(ABS($AH3*100),1)*(1-$BE3)*5</f>
        <v>1476.846685</v>
      </c>
      <c r="AY3" s="188">
        <f>MAX($B3*AVERAGE(Historic!$J:$J),0)*MAX(ABS($AH3*100),1)</f>
        <v>945.9105369</v>
      </c>
      <c r="AZ3" s="189">
        <f t="array" ref="AZ3">(1-(1/100))*MAX(INDEX(Price!$B:$G,0,ROW()-1))</f>
        <v>59.1327</v>
      </c>
      <c r="BA3" s="189">
        <f t="array" ref="BA3">MAX(INDEX(Price!$B:$G,0,ROW()-1))</f>
        <v>59.73</v>
      </c>
      <c r="BB3" s="187">
        <f t="array" ref="BB3">$M3/MAX(INDEX(Price!$B:$F,0,ROW()-1))</f>
        <v>0.9649757241</v>
      </c>
      <c r="BC3" s="189">
        <f t="array" ref="BC3">(1+(1/100))*MIN(INDEX(Price!$B:$G,0,ROW()-1))</f>
        <v>40.0364</v>
      </c>
      <c r="BD3" s="189">
        <f t="array" ref="BD3">MIN(INDEX(Price!$B:$G,0,ROW()-1))</f>
        <v>39.64</v>
      </c>
      <c r="BE3" s="187">
        <f t="array" ref="BE3">MIN(INDEX(Price!$B:$F,0,ROW()-1))/$M3</f>
        <v>0.6877407266</v>
      </c>
      <c r="BF3" s="190" t="str">
        <f>IF(AND($AJ3&lt;0.1,$BE3&gt;0.95),MIN(-AH3*($O3-($BF$7*$B3*(1-$AJ3))/(1+$BE3)),Allocation!$B$11)*$B3,)</f>
        <v/>
      </c>
      <c r="BG3" s="191" t="str">
        <f t="shared" si="22"/>
        <v/>
      </c>
    </row>
    <row r="4">
      <c r="A4" s="158" t="s">
        <v>292</v>
      </c>
      <c r="B4" s="159">
        <v>0.15</v>
      </c>
      <c r="C4" s="192" t="s">
        <v>418</v>
      </c>
      <c r="D4" s="161" t="s">
        <v>421</v>
      </c>
      <c r="E4" s="162" t="s">
        <v>422</v>
      </c>
      <c r="F4" s="163" t="s">
        <v>87</v>
      </c>
      <c r="G4" s="164" t="str">
        <f>IFERROR(__xludf.DUMMYFUNCTION("INDEX(SPLIT($E4,"" ""),1,1)"),"BTMA")</f>
        <v>BTMA</v>
      </c>
      <c r="H4" s="164" t="str">
        <f>IFERROR(__xludf.DUMMYFUNCTION("TRIM(INDEX(SPLIT(SPLIT($E4,$I4,FALSE),"" | "",FALSE),1,2))"),"iShares Treasury Bond 7-10 UCITS")</f>
        <v>iShares Treasury Bond 7-10 UCITS</v>
      </c>
      <c r="I4" s="164" t="str">
        <f>IFERROR(__xludf.DUMMYFUNCTION("INDEX(SPLIT(SPLIT($E4,""ETF "",FALSE),"" ""),1,COLUMNS(SPLIT(SPLIT($E4,""ETF "",FALSE),"" "")))"),"Amsterdam")</f>
        <v>Amsterdam</v>
      </c>
      <c r="J4" s="164" t="str">
        <f t="shared" si="2"/>
        <v>NA</v>
      </c>
      <c r="K4" s="165">
        <f>SUMIFS(Historic!$E:$E,Historic!$C:$C,$H4)</f>
        <v>1157</v>
      </c>
      <c r="L4" s="166"/>
      <c r="M4" s="167">
        <v>186.46</v>
      </c>
      <c r="N4" s="15">
        <f>IF($K4,-SUMIFS(Historic!G:G,Historic!D:D,"&lt;&gt;DIVIDEND",Historic!C:C,"=" &amp; H4)-$AM4,0)</f>
        <v>198904.44</v>
      </c>
      <c r="O4" s="168">
        <f t="shared" si="3"/>
        <v>215734.22</v>
      </c>
      <c r="P4" s="169">
        <f t="shared" si="4"/>
        <v>206975.1053</v>
      </c>
      <c r="Q4" s="15">
        <f t="array" ref="Q4">IF(SUMIFS(Historic!G:G,Historic!C:C,"=" &amp; $H4,Historic!E:E,"&lt;&gt;",Historic!A:A,"&gt;=" &amp; DATE(DateTime!$B$4,DateTime!$B$5,1),Historic!A:A,"&lt;=" &amp; DateTime!$B$2)&gt;0,INDEX(Historic!G:G,SUMPRODUCT(MAX(ROW(Historic!G:G)*(Historic!C:C=$H4)*(Historic!E:E&lt;&gt;"")*(Historic!A:A&gt;=DATE(DateTime!$B$4,DateTime!$B$5,1))*(Historic!A:A&lt;=DateTime!$B$2)))),0)</f>
        <v>0</v>
      </c>
      <c r="R4" s="170">
        <f t="shared" si="5"/>
        <v>1</v>
      </c>
      <c r="S4" s="171">
        <f t="shared" si="6"/>
        <v>0</v>
      </c>
      <c r="T4" s="172">
        <f>IF(AND(($P$7-$O$7)*$AJ4&lt;0,OR($V4*$AH4&gt;0,$V4*$AJ4&lt;0,ABS($AJ4)&gt;0.03)),IF(($P4-$O4)*$AJ4&lt;0,-ROUNDDOWN(($P4-$O4+$U4)/$M4)*$M4,0),IF(((-$V4-$AH4)*$P4+$U4)*($M4-$AI4)&lt;0,IF(AND(ABS((-$V4-$AH4)*$P4+$U4)&lt;1000,ABS(ROUNDUP(1000/$M4)*($M4-$AI4))&gt;Dashboard!$B$62),ROUNDUP(1000/$M4)*$M4*SIGN($M4-$AI4),-ROUNDDOWN(((-$V4-$AH4)*$P4+$U4)/$M4)*$M4),IF($N4=0,-$O$7/SUMIFS($B$2:$B$5,$K$2:$K$5,"&gt;0")*$B4,0)))</f>
        <v>0</v>
      </c>
      <c r="U4" s="173">
        <f t="shared" si="7"/>
        <v>0</v>
      </c>
      <c r="V4" s="174">
        <f t="array" ref="V4">INDEX(Price!$G:$K,2,ROW()-1)</f>
        <v>0.00006867028153</v>
      </c>
      <c r="W4" s="174" t="str">
        <f t="array" ref="W4">IF(AND($AG4&gt;MAX($B4*AVERAGE(Historic!$J:$J),0)*MAX(ABS($AH4*100),1)*(1-$BE4)*5,ABS($T4)&gt;IF($Q4=0,0,1000),OR(AND($T4&lt;0,$M4&lt;$AI4),AND($T4&gt;0,$M4&gt;$AI4),$N4=0),OR($T4*$V4&gt;0,($P$7-$O$7)*$AJ4&lt;0)),IF(OR(AND($T4&lt;0,N4&lt;&gt;0,Dashboard!$B$51&gt;0),$V4&lt;AVERAGEIFS(INDEX(Price!$G:$K,0,ROW()-1),INDEX(Price!$G:$K,0,ROW()-1),"&lt;0")*2),"BUY",IF(OR(AND($T4&gt;0,N4&lt;&gt;0,Dashboard!$B$51&lt;0),$V4&gt;AVERAGEIFS(INDEX(Price!$G:$K,0,ROW()-1),INDEX(Price!$G:$K,0,ROW()-1),"&gt;0")*2),"SELL","HOLD")),"HOLD") &amp; " (" &amp; ROUND($V4*100,2) &amp; "%)"</f>
        <v>HOLD (0.01%)</v>
      </c>
      <c r="X4" s="169">
        <f t="array" ref="X4">($M4-INDEX(Price!$B:$F,MIN(3,COLUMNS(Price!$B:$F)),ROW()-1))*($K4-SUMIFS(Historic!$E:$E,Historic!$C:$C,$H4,Historic!$A:$A,DateTime!$B$2))+SUMIFS(Historic!$I:$I,Historic!$C:$C,$H4,Historic!$A:$A,DateTime!$B$2)</f>
        <v>682.63</v>
      </c>
      <c r="Y4" s="175">
        <f t="shared" si="8"/>
        <v>0.003431949533</v>
      </c>
      <c r="Z4" s="18">
        <f>SUMIFS(Historic!G:G,Historic!D:D,"=DIVIDEND",Historic!C:C,"=" &amp; H4,Historic!H:H,"&lt;&gt;XXXXXX")</f>
        <v>5288.5</v>
      </c>
      <c r="AA4" s="174">
        <f t="shared" si="9"/>
        <v>0.02658814454</v>
      </c>
      <c r="AB4" s="18">
        <f t="shared" si="10"/>
        <v>16829.78</v>
      </c>
      <c r="AC4" s="175">
        <f t="shared" si="11"/>
        <v>0.08461238975</v>
      </c>
      <c r="AD4" s="176">
        <f t="shared" ref="AD4:AE4" si="23">Z4+AB4</f>
        <v>22118.28</v>
      </c>
      <c r="AE4" s="177">
        <f t="shared" si="23"/>
        <v>0.1112005343</v>
      </c>
      <c r="AF4" s="178">
        <f>IF(AND($T4,OR($C4="",AND($Q4&lt;&gt;0,$T4&lt;&gt;0,OR(ABS($T4)&lt;=1000,SIGN($T4)&lt;&gt;SIGN($Q4))))),2+0.02/100*ABS($T4),0)+IF(Dashboard!$B$49&lt;-Dashboard!$B$36,$T4*4/100/360*(EOMONTH(DateTime!$B$2,0)-DateTime!$B$2),0)</f>
        <v>0</v>
      </c>
      <c r="AG4" s="168">
        <f t="shared" si="13"/>
        <v>0</v>
      </c>
      <c r="AH4" s="179">
        <f t="shared" si="14"/>
        <v>0.04060141535</v>
      </c>
      <c r="AI4" s="180">
        <f t="array" ref="AI4">AVERAGEIFS(OFFSET(INDEX(Price!$B:$F,0,ROW()-1),0,0,ROWS(Price!$B:$F),1),Price!$A:$A,"&gt;" &amp; DATE(DateTime!$B$4-1,DateTime!$B$5,DateTime!$B$6))</f>
        <v>192.8896899</v>
      </c>
      <c r="AJ4" s="174">
        <f t="shared" si="15"/>
        <v>-0.03448294499</v>
      </c>
      <c r="AK4" s="180">
        <f t="array" ref="AK4">AVERAGEIFS(OFFSET(INDEX(Price!$B:$F,0,ROW()-1),0,0,ROWS(Price!$B:$F),1),Price!$A:$A,"&lt;=" &amp; DATE(DateTime!$B$4,IF(DateTime!$B$5&gt;0,DateTime!$B$5-1,1),DateTime!$B$6))</f>
        <v>192.7420703</v>
      </c>
      <c r="AL4" s="174">
        <f t="shared" si="16"/>
        <v>0.0007653058597</v>
      </c>
      <c r="AM4" s="181">
        <v>0.0</v>
      </c>
      <c r="AN4" s="168">
        <f t="shared" si="17"/>
        <v>-8577.16</v>
      </c>
      <c r="AO4" s="168">
        <f t="shared" si="18"/>
        <v>223173.3712</v>
      </c>
      <c r="AP4" s="180">
        <f t="shared" si="19"/>
        <v>171.9139499</v>
      </c>
      <c r="AQ4" s="182">
        <v>44146.74979814814</v>
      </c>
      <c r="AR4" s="183">
        <f>IF(MAXIFS(Historic!$A:$A,Historic!$C:$C,LEFT($H4,40)&amp;"*",Historic!$D:$D,"DIVIDEND",Historic!$G:$G,"&gt;0")&lt;&gt;0,MAXIFS(Historic!$A:$A,Historic!$C:$C,LEFT($H4,40)&amp;"*",Historic!$D:$D,"DIVIDEND",Historic!$G:$G,"&gt;0"),)</f>
        <v>43978</v>
      </c>
      <c r="AS4" s="184">
        <f>IF(MAXIFS(Historic!$A:$A,Historic!$C:$C,LEFT($H4,40)&amp;"*",Historic!$D:$D,"DIVIDEND",Historic!$A:$A,"&lt;"&amp;AR4)&lt;&gt;0,EDATE(AR4,ROUND((AR4-MAXIFS(Historic!$A:$A,Historic!$C:$C,LEFT($H4,40)&amp;"*",Historic!$D:$D,"DIVIDEND",Historic!$A:$A,"&lt;"&amp;AR4))/365.25*4,0)*3),)</f>
        <v>44162</v>
      </c>
      <c r="AT4" s="185" t="str">
        <f>IF($AS4,$AS4-DateTime!$B$2&amp;"d ("&amp;ROUND(($AS4-DateTime!$B$2)/30,1) &amp; "m)",)</f>
        <v>16d (0.5m)</v>
      </c>
      <c r="AU4" s="172">
        <f>IF($AR4,SUMIFS(Historic!$G:$G,Historic!$C:$C,LEFT($H4,40)&amp;"*",Historic!$D:$D,"DIVIDEND",Historic!$A:$A,"&gt;="&amp;$AR4)/SUMIFS(Historic!$E:$E,Historic!$C:$C,LEFT($H4,40)&amp;"*",Historic!$A:$A,"&lt;="&amp;$AR4)*$K4,)</f>
        <v>2096.336073</v>
      </c>
      <c r="AV4" s="186">
        <f t="shared" si="20"/>
        <v>349.3893455</v>
      </c>
      <c r="AW4" s="187">
        <f t="shared" si="21"/>
        <v>0.1709909055</v>
      </c>
      <c r="AX4" s="188">
        <f>MAX($B4*AVERAGE(Historic!$J:$J),0)*MAX(ABS($AH4*100),1)*(1-$BE4)*5</f>
        <v>34.04730108</v>
      </c>
      <c r="AY4" s="188">
        <f>MAX($B4*AVERAGE(Historic!$J:$J),0)*MAX(ABS($AH4*100),1)</f>
        <v>211.2632199</v>
      </c>
      <c r="AZ4" s="189">
        <f t="array" ref="AZ4">(1-(1/100))*MAX(INDEX(Price!$B:$G,0,ROW()-1))</f>
        <v>206.6328</v>
      </c>
      <c r="BA4" s="189">
        <f t="array" ref="BA4">MAX(INDEX(Price!$B:$G,0,ROW()-1))</f>
        <v>208.72</v>
      </c>
      <c r="BB4" s="187">
        <f t="array" ref="BB4">$M4/MAX(INDEX(Price!$B:$F,0,ROW()-1))</f>
        <v>0.8933499425</v>
      </c>
      <c r="BC4" s="189">
        <f t="array" ref="BC4">(1+(1/100))*MIN(INDEX(Price!$B:$G,0,ROW()-1))</f>
        <v>182.2545</v>
      </c>
      <c r="BD4" s="189">
        <f t="array" ref="BD4">MIN(INDEX(Price!$B:$G,0,ROW()-1))</f>
        <v>180.45</v>
      </c>
      <c r="BE4" s="187">
        <f t="array" ref="BE4">MIN(INDEX(Price!$B:$F,0,ROW()-1))/$M4</f>
        <v>0.9677678859</v>
      </c>
      <c r="BF4" s="190">
        <f>IF(AND($AJ4&lt;0.1,$BE4&gt;0.95),MIN(-AH4*($O4-($BF$7*$B4*(1-$AJ4))/(1+$BE4)),Allocation!$B$11)*$B4,)</f>
        <v>-528.869634</v>
      </c>
      <c r="BG4" s="191" t="str">
        <f t="shared" si="22"/>
        <v/>
      </c>
    </row>
    <row r="5">
      <c r="A5" s="158" t="s">
        <v>288</v>
      </c>
      <c r="B5" s="159">
        <v>0.075</v>
      </c>
      <c r="C5" s="192" t="s">
        <v>418</v>
      </c>
      <c r="D5" s="193" t="s">
        <v>423</v>
      </c>
      <c r="E5" s="162" t="s">
        <v>424</v>
      </c>
      <c r="F5" s="163" t="s">
        <v>287</v>
      </c>
      <c r="G5" s="164" t="str">
        <f>IFERROR(__xludf.DUMMYFUNCTION("INDEX(SPLIT($E5,"" ""),1,1)"),"PHAU")</f>
        <v>PHAU</v>
      </c>
      <c r="H5" s="164" t="str">
        <f>IFERROR(__xludf.DUMMYFUNCTION("TRIM(INDEX(SPLIT(SPLIT($E5,$I5,FALSE),"" | "",FALSE),1,2))"),"ETFS Physical Gold")</f>
        <v>ETFS Physical Gold</v>
      </c>
      <c r="I5" s="164" t="str">
        <f>IFERROR(__xludf.DUMMYFUNCTION("INDEX(SPLIT(SPLIT($E5,""ETF "",FALSE),"" ""),1,COLUMNS(SPLIT(SPLIT($E5,""ETF "",FALSE),"" "")))"),"Amsterdam")</f>
        <v>Amsterdam</v>
      </c>
      <c r="J5" s="164" t="str">
        <f t="shared" si="2"/>
        <v>NA</v>
      </c>
      <c r="K5" s="165">
        <f>SUMIFS(Historic!$E:$E,Historic!$C:$C,$H5)</f>
        <v>286</v>
      </c>
      <c r="L5" s="166"/>
      <c r="M5" s="167">
        <v>150.28</v>
      </c>
      <c r="N5" s="15">
        <f>IF($K5,-SUMIFS(Historic!G:G,Historic!D:D,"&lt;&gt;DIVIDEND",Historic!C:C,"=" &amp; H5)-$AM5,0)</f>
        <v>23756.49</v>
      </c>
      <c r="O5" s="168">
        <f t="shared" si="3"/>
        <v>42980.08</v>
      </c>
      <c r="P5" s="169">
        <f t="shared" si="4"/>
        <v>83215.00025</v>
      </c>
      <c r="Q5" s="15">
        <f t="array" ref="Q5">IF(SUMIFS(Historic!G:G,Historic!C:C,"=" &amp; $H5,Historic!E:E,"&lt;&gt;",Historic!A:A,"&gt;=" &amp; DATE(DateTime!$B$4,DateTime!$B$5,1),Historic!A:A,"&lt;=" &amp; DateTime!$B$2)&gt;0,INDEX(Historic!G:G,SUMPRODUCT(MAX(ROW(Historic!G:G)*(Historic!C:C=$H5)*(Historic!E:E&lt;&gt;"")*(Historic!A:A&gt;=DATE(DateTime!$B$4,DateTime!$B$5,1))*(Historic!A:A&lt;=DateTime!$B$2)))),0)</f>
        <v>0</v>
      </c>
      <c r="R5" s="170">
        <f t="shared" si="5"/>
        <v>4</v>
      </c>
      <c r="S5" s="171">
        <f t="shared" si="6"/>
        <v>0</v>
      </c>
      <c r="T5" s="172">
        <f>IF(AND(($P$7-$O$7)*$AJ5&lt;0,OR($V5*$AH5&gt;0,$V5*$AJ5&lt;0,ABS($AJ5)&gt;0.03)),IF(($P5-$O5)*$AJ5&lt;0,-ROUNDDOWN(($P5-$O5+$U5)/$M5)*$M5,0),IF(((-$V5-$AH5)*$P5+$U5)*($M5-$AI5)&lt;0,IF(AND(ABS((-$V5-$AH5)*$P5+$U5)&lt;1000,ABS(ROUNDUP(1000/$M5)*($M5-$AI5))&gt;Dashboard!$B$62),ROUNDUP(1000/$M5)*$M5*SIGN($M5-$AI5),-ROUNDDOWN(((-$V5-$AH5)*$P5+$U5)/$M5)*$M5),IF($N5=0,-$O$7/SUMIFS($B$2:$B$5,$K$2:$K$5,"&gt;0")*$B5,0)))</f>
        <v>0</v>
      </c>
      <c r="U5" s="173">
        <f t="shared" si="7"/>
        <v>0</v>
      </c>
      <c r="V5" s="174">
        <f t="array" ref="V5">INDEX(Price!$G:$K,2,ROW()-1)</f>
        <v>-0.01233970991</v>
      </c>
      <c r="W5" s="174" t="str">
        <f t="array" ref="W5">IF(AND($AG5&gt;MAX($B5*AVERAGE(Historic!$J:$J),0)*MAX(ABS($AH5*100),1)*(1-$BE5)*5,ABS($T5)&gt;IF($Q5=0,0,1000),OR(AND($T5&lt;0,$M5&lt;$AI5),AND($T5&gt;0,$M5&gt;$AI5),$N5=0),OR($T5*$V5&gt;0,($P$7-$O$7)*$AJ5&lt;0)),IF(OR(AND($T5&lt;0,N5&lt;&gt;0,Dashboard!$B$51&gt;0),$V5&lt;AVERAGEIFS(INDEX(Price!$G:$K,0,ROW()-1),INDEX(Price!$G:$K,0,ROW()-1),"&lt;0")*2),"BUY",IF(OR(AND($T5&gt;0,N5&lt;&gt;0,Dashboard!$B$51&lt;0),$V5&gt;AVERAGEIFS(INDEX(Price!$G:$K,0,ROW()-1),INDEX(Price!$G:$K,0,ROW()-1),"&gt;0")*2),"SELL","HOLD")),"HOLD") &amp; " (" &amp; ROUND($V5*100,2) &amp; "%)"</f>
        <v>HOLD (-1.23%)</v>
      </c>
      <c r="X5" s="169">
        <f t="array" ref="X5">($M5-INDEX(Price!$B:$F,MIN(3,COLUMNS(Price!$B:$F)),ROW()-1))*($K5-SUMIFS(Historic!$E:$E,Historic!$C:$C,$H5,Historic!$A:$A,DateTime!$B$2))+SUMIFS(Historic!$I:$I,Historic!$C:$C,$H5,Historic!$A:$A,DateTime!$B$2)</f>
        <v>-251.68</v>
      </c>
      <c r="Y5" s="175">
        <f t="shared" si="8"/>
        <v>-0.01059415764</v>
      </c>
      <c r="Z5" s="18">
        <f>SUMIFS(Historic!G:G,Historic!D:D,"=DIVIDEND",Historic!C:C,"=" &amp; H5,Historic!H:H,"&lt;&gt;XXXXXX")</f>
        <v>0</v>
      </c>
      <c r="AA5" s="174">
        <f t="shared" si="9"/>
        <v>0</v>
      </c>
      <c r="AB5" s="18">
        <f t="shared" si="10"/>
        <v>19223.59</v>
      </c>
      <c r="AC5" s="175">
        <f t="shared" si="11"/>
        <v>0.8091931931</v>
      </c>
      <c r="AD5" s="176">
        <f t="shared" ref="AD5:AE5" si="24">Z5+AB5</f>
        <v>19223.59</v>
      </c>
      <c r="AE5" s="177">
        <f t="shared" si="24"/>
        <v>0.8091931931</v>
      </c>
      <c r="AF5" s="178">
        <f>IF(AND($T5,OR($C5="",AND($Q5&lt;&gt;0,$T5&lt;&gt;0,OR(ABS($T5)&lt;=1000,SIGN($T5)&lt;&gt;SIGN($Q5))))),2+0.02/100*ABS($T5),0)+IF(Dashboard!$B$49&lt;-Dashboard!$B$36,$T5*4/100/360*(EOMONTH(DateTime!$B$2,0)-DateTime!$B$2),0)</f>
        <v>0</v>
      </c>
      <c r="AG5" s="168">
        <f t="shared" si="13"/>
        <v>0</v>
      </c>
      <c r="AH5" s="179">
        <f t="shared" si="14"/>
        <v>-0.9361294873</v>
      </c>
      <c r="AI5" s="180">
        <f t="array" ref="AI5">AVERAGEIFS(OFFSET(INDEX(Price!$B:$F,0,ROW()-1),0,0,ROWS(Price!$B:$F),1),Price!$A:$A,"&gt;" &amp; DATE(DateTime!$B$4-1,DateTime!$B$5,DateTime!$B$6))</f>
        <v>144.6339922</v>
      </c>
      <c r="AJ5" s="174">
        <f t="shared" si="15"/>
        <v>0.03756992116</v>
      </c>
      <c r="AK5" s="180">
        <f t="array" ref="AK5">AVERAGEIFS(OFFSET(INDEX(Price!$B:$F,0,ROW()-1),0,0,ROWS(Price!$B:$F),1),Price!$A:$A,"&lt;=" &amp; DATE(DateTime!$B$4,IF(DateTime!$B$5&gt;0,DateTime!$B$5-1,1),DateTime!$B$6))</f>
        <v>142.4809766</v>
      </c>
      <c r="AL5" s="174">
        <f t="shared" si="16"/>
        <v>0.01488595905</v>
      </c>
      <c r="AM5" s="181">
        <v>0.0</v>
      </c>
      <c r="AN5" s="168">
        <f t="shared" si="17"/>
        <v>40124.76</v>
      </c>
      <c r="AO5" s="168">
        <f t="shared" si="18"/>
        <v>41365.32178</v>
      </c>
      <c r="AP5" s="180">
        <f t="shared" si="19"/>
        <v>83.06465035</v>
      </c>
      <c r="AQ5" s="182">
        <v>44146.74979814814</v>
      </c>
      <c r="AR5" s="183" t="str">
        <f>IF(MAXIFS(Historic!$A:$A,Historic!$C:$C,LEFT($H5,40)&amp;"*",Historic!$D:$D,"DIVIDEND",Historic!$G:$G,"&gt;0")&lt;&gt;0,MAXIFS(Historic!$A:$A,Historic!$C:$C,LEFT($H5,40)&amp;"*",Historic!$D:$D,"DIVIDEND",Historic!$G:$G,"&gt;0"),)</f>
        <v/>
      </c>
      <c r="AS5" s="184" t="str">
        <f>IF(MAXIFS(Historic!$A:$A,Historic!$C:$C,LEFT($H5,40)&amp;"*",Historic!$D:$D,"DIVIDEND",Historic!$A:$A,"&lt;"&amp;AR5)&lt;&gt;0,EDATE(AR5,ROUND((AR5-MAXIFS(Historic!$A:$A,Historic!$C:$C,LEFT($H5,40)&amp;"*",Historic!$D:$D,"DIVIDEND",Historic!$A:$A,"&lt;"&amp;AR5))/365.25*4,0)*3),)</f>
        <v/>
      </c>
      <c r="AT5" s="185" t="str">
        <f>IF($AS5,$AS5-DateTime!$B$2&amp;"d ("&amp;ROUND(($AS5-DateTime!$B$2)/30,1) &amp; "m)",)</f>
        <v/>
      </c>
      <c r="AU5" s="172" t="str">
        <f>IF($AR5,SUMIFS(Historic!$G:$G,Historic!$C:$C,LEFT($H5,40)&amp;"*",Historic!$D:$D,"DIVIDEND",Historic!$A:$A,"&gt;="&amp;$AR5)/SUMIFS(Historic!$E:$E,Historic!$C:$C,LEFT($H5,40)&amp;"*",Historic!$A:$A,"&lt;="&amp;$AR5)*$K5,)</f>
        <v/>
      </c>
      <c r="AV5" s="186">
        <f t="shared" si="20"/>
        <v>0</v>
      </c>
      <c r="AW5" s="187">
        <f t="shared" si="21"/>
        <v>0.03406600398</v>
      </c>
      <c r="AX5" s="188">
        <f>MAX($B5*AVERAGE(Historic!$J:$J),0)*MAX(ABS($AH5*100),1)*(1-$BE5)*5</f>
        <v>2004.735886</v>
      </c>
      <c r="AY5" s="188">
        <f>MAX($B5*AVERAGE(Historic!$J:$J),0)*MAX(ABS($AH5*100),1)</f>
        <v>2435.502901</v>
      </c>
      <c r="AZ5" s="189">
        <f t="array" ref="AZ5">(1-(1/100))*MAX(INDEX(Price!$B:$G,0,ROW()-1))</f>
        <v>162.7362</v>
      </c>
      <c r="BA5" s="189">
        <f t="array" ref="BA5">MAX(INDEX(Price!$B:$G,0,ROW()-1))</f>
        <v>164.38</v>
      </c>
      <c r="BB5" s="187">
        <f t="array" ref="BB5">$M5/MAX(INDEX(Price!$B:$F,0,ROW()-1))</f>
        <v>0.9142231415</v>
      </c>
      <c r="BC5" s="189">
        <f t="array" ref="BC5">(1+(1/100))*MIN(INDEX(Price!$B:$G,0,ROW()-1))</f>
        <v>126.7954</v>
      </c>
      <c r="BD5" s="189">
        <f t="array" ref="BD5">MIN(INDEX(Price!$B:$G,0,ROW()-1))</f>
        <v>125.54</v>
      </c>
      <c r="BE5" s="187">
        <f t="array" ref="BE5">MIN(INDEX(Price!$B:$F,0,ROW()-1))/$M5</f>
        <v>0.8353739686</v>
      </c>
      <c r="BF5" s="190" t="str">
        <f>IF(AND($AJ5&lt;0.1,$BE5&gt;0.95),MIN(-AH5*($O5-($BF$7*$B5*(1-$AJ5))/(1+$BE5)),Allocation!$B$11)*$B5,)</f>
        <v/>
      </c>
      <c r="BG5" s="191" t="str">
        <f t="shared" si="22"/>
        <v/>
      </c>
    </row>
    <row r="6">
      <c r="A6" s="158" t="s">
        <v>283</v>
      </c>
      <c r="B6" s="159">
        <v>0.075</v>
      </c>
      <c r="C6" s="192" t="s">
        <v>418</v>
      </c>
      <c r="D6" s="193" t="s">
        <v>425</v>
      </c>
      <c r="E6" s="162" t="s">
        <v>426</v>
      </c>
      <c r="F6" s="163" t="s">
        <v>285</v>
      </c>
      <c r="G6" s="164" t="str">
        <f>IFERROR(__xludf.DUMMYFUNCTION("INDEX(SPLIT($E6,"" ""),1,1)"),"AIGCP")</f>
        <v>AIGCP</v>
      </c>
      <c r="H6" s="164" t="str">
        <f>IFERROR(__xludf.DUMMYFUNCTION("TRIM(INDEX(SPLIT(SPLIT($E6,$I6,FALSE),"" | "",FALSE),1,2))"),"ETFS All Commodities ETC")</f>
        <v>ETFS All Commodities ETC</v>
      </c>
      <c r="I6" s="164" t="str">
        <f>IFERROR(__xludf.DUMMYFUNCTION("INDEX(SPLIT(SPLIT($E6,""ETF "",FALSE),"" ""),1,COLUMNS(SPLIT(SPLIT($E6,""ETF "",FALSE),"" "")))"),"Paris")</f>
        <v>Paris</v>
      </c>
      <c r="J6" s="164" t="str">
        <f t="shared" si="2"/>
        <v>FP</v>
      </c>
      <c r="K6" s="165">
        <f>SUMIFS(Historic!$E:$E,Historic!$C:$C,$H6)</f>
        <v>23046</v>
      </c>
      <c r="L6" s="166"/>
      <c r="M6" s="194">
        <v>6.493</v>
      </c>
      <c r="N6" s="15">
        <f>IF($K6,-SUMIFS(Historic!G:G,Historic!D:D,"&lt;&gt;DIVIDEND",Historic!C:C,"=" &amp; H6)-$AM6,0)</f>
        <v>158228.19</v>
      </c>
      <c r="O6" s="168">
        <f t="shared" si="3"/>
        <v>149637.678</v>
      </c>
      <c r="P6" s="169">
        <f t="shared" si="4"/>
        <v>91983.72947</v>
      </c>
      <c r="Q6" s="15">
        <f t="array" ref="Q6">IF(SUMIFS(Historic!G:G,Historic!C:C,"=" &amp; $H6,Historic!E:E,"&lt;&gt;",Historic!A:A,"&gt;=" &amp; DATE(DateTime!$B$4,DateTime!$B$5,1),Historic!A:A,"&lt;=" &amp; DateTime!$B$2)&gt;0,INDEX(Historic!G:G,SUMPRODUCT(MAX(ROW(Historic!G:G)*(Historic!C:C=$H6)*(Historic!E:E&lt;&gt;"")*(Historic!A:A&gt;=DATE(DateTime!$B$4,DateTime!$B$5,1))*(Historic!A:A&lt;=DateTime!$B$2)))),0)</f>
        <v>0</v>
      </c>
      <c r="R6" s="170">
        <f t="shared" si="5"/>
        <v>0</v>
      </c>
      <c r="S6" s="171">
        <f t="shared" si="6"/>
        <v>-8342</v>
      </c>
      <c r="T6" s="172">
        <f>IF(AND(($P$7-$O$7)*$AJ6&lt;0,OR($V6*$AH6&gt;0,$V6*$AJ6&lt;0,ABS($AJ6)&gt;0.03)),IF(($P6-$O6)*$AJ6&lt;0,-ROUNDDOWN(($P6-$O6+$U6)/$M6)*$M6,0),IF(((-$V6-$AH6)*$P6+$U6)*($M6-$AI6)&lt;0,IF(AND(ABS((-$V6-$AH6)*$P6+$U6)&lt;1000,ABS(ROUNDUP(1000/$M6)*($M6-$AI6))&gt;Dashboard!$B$62),ROUNDUP(1000/$M6)*$M6*SIGN($M6-$AI6),-ROUNDDOWN(((-$V6-$AH6)*$P6+$U6)/$M6)*$M6),IF($N6=0,-$O$7/SUMIFS($B$2:$B$5,$K$2:$K$5,"&gt;0")*$B6,0)))</f>
        <v>54164.606</v>
      </c>
      <c r="U6" s="173">
        <f t="shared" si="7"/>
        <v>3486.741</v>
      </c>
      <c r="V6" s="174">
        <f t="array" ref="V6">INDEX(Price!$G:$K,2,ROW()-1)</f>
        <v>0.006348709587</v>
      </c>
      <c r="W6" s="174" t="str">
        <f t="array" ref="W6">IF(AND($AG6&gt;MAX($B6*AVERAGE(Historic!$J:$J),0)*MAX(ABS($AH6*100),1)*(1-$BE6)*5,ABS($T6)&gt;IF($Q6=0,0,1000),OR(AND($T6&lt;0,$M6&lt;$AI6),AND($T6&gt;0,$M6&gt;$AI6),$N6=0),OR($T6*$V6&gt;0,($P$7-$O$7)*$AJ6&lt;0)),IF(OR(AND($T6&lt;0,N6&lt;&gt;0,Dashboard!$B$51&gt;0),$V6&lt;AVERAGEIFS(INDEX(Price!$G:$K,0,ROW()-1),INDEX(Price!$G:$K,0,ROW()-1),"&lt;0")*2),"BUY",IF(OR(AND($T6&gt;0,N6&lt;&gt;0,Dashboard!$B$51&lt;0),$V6&gt;AVERAGEIFS(INDEX(Price!$G:$K,0,ROW()-1),INDEX(Price!$G:$K,0,ROW()-1),"&gt;0")*2),"SELL","HOLD")),"HOLD") &amp; " (" &amp; ROUND($V6*100,2) &amp; "%)"</f>
        <v>HOLD (0.63%)</v>
      </c>
      <c r="X6" s="169">
        <f t="array" ref="X6">($M6-INDEX(Price!$B:$F,MIN(3,COLUMNS(Price!$B:$F)),ROW()-1))*($K6-SUMIFS(Historic!$E:$E,Historic!$C:$C,$H6,Historic!$A:$A,DateTime!$B$2))+SUMIFS(Historic!$I:$I,Historic!$C:$C,$H6,Historic!$A:$A,DateTime!$B$2)</f>
        <v>1451.898</v>
      </c>
      <c r="Y6" s="175">
        <f t="shared" si="8"/>
        <v>0.009175975533</v>
      </c>
      <c r="Z6" s="18">
        <f>SUMIFS(Historic!G:G,Historic!D:D,"=DIVIDEND",Historic!C:C,"=" &amp; H6,Historic!H:H,"&lt;&gt;XXXXXX")</f>
        <v>0</v>
      </c>
      <c r="AA6" s="174">
        <f t="shared" si="9"/>
        <v>0</v>
      </c>
      <c r="AB6" s="18">
        <f t="shared" si="10"/>
        <v>-8590.512</v>
      </c>
      <c r="AC6" s="175">
        <f t="shared" si="11"/>
        <v>-0.05429191853</v>
      </c>
      <c r="AD6" s="195">
        <f t="shared" ref="AD6:AE6" si="25">Z6+AB6</f>
        <v>-8590.512</v>
      </c>
      <c r="AE6" s="177">
        <f t="shared" si="25"/>
        <v>-0.05429191853</v>
      </c>
      <c r="AF6" s="178">
        <f>IF(AND($T6,OR($C6="",AND($Q6&lt;&gt;0,$T6&lt;&gt;0,OR(ABS($T6)&lt;=1000,SIGN($T6)&lt;&gt;SIGN($Q6))))),2+0.02/100*ABS($T6),0)+IF(Dashboard!$B$49&lt;-Dashboard!$B$36,$T6*4/100/360*(EOMONTH(DateTime!$B$2,0)-DateTime!$B$2),0)</f>
        <v>114.3475016</v>
      </c>
      <c r="AG6" s="168">
        <f t="shared" si="13"/>
        <v>232.5244984</v>
      </c>
      <c r="AH6" s="179">
        <f t="shared" si="14"/>
        <v>0.3852903179</v>
      </c>
      <c r="AI6" s="180">
        <f t="array" ref="AI6">AVERAGEIFS(OFFSET(INDEX(Price!$B:$F,0,ROW()-1),0,0,ROWS(Price!$B:$F),1),Price!$A:$A,"&gt;" &amp; DATE(DateTime!$B$4-1,DateTime!$B$5,DateTime!$B$6))</f>
        <v>6.451418605</v>
      </c>
      <c r="AJ6" s="174">
        <f t="shared" si="15"/>
        <v>0.006404034398</v>
      </c>
      <c r="AK6" s="180">
        <f t="array" ref="AK6">AVERAGEIFS(OFFSET(INDEX(Price!$B:$F,0,ROW()-1),0,0,ROWS(Price!$B:$F),1),Price!$A:$A,"&lt;=" &amp; DATE(DateTime!$B$4,IF(DateTime!$B$5&gt;0,DateTime!$B$5-1,1),DateTime!$B$6))</f>
        <v>6.528824219</v>
      </c>
      <c r="AL6" s="174">
        <f t="shared" si="16"/>
        <v>-0.01199823153</v>
      </c>
      <c r="AM6" s="181">
        <v>0.0</v>
      </c>
      <c r="AN6" s="168">
        <f t="shared" si="17"/>
        <v>-57651.347</v>
      </c>
      <c r="AO6" s="168">
        <f t="shared" si="18"/>
        <v>148679.3932</v>
      </c>
      <c r="AP6" s="180">
        <f t="shared" si="19"/>
        <v>6.865755012</v>
      </c>
      <c r="AQ6" s="182">
        <v>44146.74979814814</v>
      </c>
      <c r="AR6" s="183" t="str">
        <f>IF(MAXIFS(Historic!$A:$A,Historic!$C:$C,LEFT($H6,40)&amp;"*",Historic!$D:$D,"DIVIDEND",Historic!$G:$G,"&gt;0")&lt;&gt;0,MAXIFS(Historic!$A:$A,Historic!$C:$C,LEFT($H6,40)&amp;"*",Historic!$D:$D,"DIVIDEND",Historic!$G:$G,"&gt;0"),)</f>
        <v/>
      </c>
      <c r="AS6" s="184" t="str">
        <f>IF(MAXIFS(Historic!$A:$A,Historic!$C:$C,LEFT($H6,40)&amp;"*",Historic!$D:$D,"DIVIDEND",Historic!$A:$A,"&lt;"&amp;AR6)&lt;&gt;0,EDATE(AR6,ROUND((AR6-MAXIFS(Historic!$A:$A,Historic!$C:$C,LEFT($H6,40)&amp;"*",Historic!$D:$D,"DIVIDEND",Historic!$A:$A,"&lt;"&amp;AR6))/365.25*4,0)*3),)</f>
        <v/>
      </c>
      <c r="AT6" s="185" t="str">
        <f>IF($AS6,$AS6-DateTime!$B$2&amp;"d ("&amp;ROUND(($AS6-DateTime!$B$2)/30,1) &amp; "m)",)</f>
        <v/>
      </c>
      <c r="AU6" s="172" t="str">
        <f>IF($AR6,SUMIFS(Historic!$G:$G,Historic!$C:$C,LEFT($H6,40)&amp;"*",Historic!$D:$D,"DIVIDEND",Historic!$A:$A,"&gt;="&amp;$AR6)/SUMIFS(Historic!$E:$E,Historic!$C:$C,LEFT($H6,40)&amp;"*",Historic!$A:$A,"&lt;="&amp;$AR6)*$K6,)</f>
        <v/>
      </c>
      <c r="AV6" s="186">
        <f t="shared" si="20"/>
        <v>0</v>
      </c>
      <c r="AW6" s="187">
        <f t="shared" si="21"/>
        <v>0.1186027977</v>
      </c>
      <c r="AX6" s="188">
        <f>MAX($B6*AVERAGE(Historic!$J:$J),0)*MAX(ABS($AH6*100),1)*(1-$BE6)*5</f>
        <v>623.7014931</v>
      </c>
      <c r="AY6" s="188">
        <f>MAX($B6*AVERAGE(Historic!$J:$J),0)*MAX(ABS($AH6*100),1)</f>
        <v>1002.399454</v>
      </c>
      <c r="AZ6" s="189">
        <f t="array" ref="AZ6">(1-(1/100))*MAX(INDEX(Price!$B:$G,0,ROW()-1))</f>
        <v>7.45668</v>
      </c>
      <c r="BA6" s="189">
        <f t="array" ref="BA6">MAX(INDEX(Price!$B:$G,0,ROW()-1))</f>
        <v>7.532</v>
      </c>
      <c r="BB6" s="187">
        <f t="array" ref="BB6">$M6/MAX(INDEX(Price!$B:$F,0,ROW()-1))</f>
        <v>0.862055231</v>
      </c>
      <c r="BC6" s="189">
        <f t="array" ref="BC6">(1+(1/100))*MIN(INDEX(Price!$B:$G,0,ROW()-1))</f>
        <v>5.74185</v>
      </c>
      <c r="BD6" s="189">
        <f t="array" ref="BD6">MIN(INDEX(Price!$B:$G,0,ROW()-1))</f>
        <v>5.685</v>
      </c>
      <c r="BE6" s="187">
        <f t="array" ref="BE6">MIN(INDEX(Price!$B:$F,0,ROW()-1))/$M6</f>
        <v>0.8755582935</v>
      </c>
      <c r="BF6" s="190" t="str">
        <f>IF(AND($AJ6&lt;0.1,$BE6&gt;0.95),MIN(-AH6*($O6-($BF$7*$B6*(1-$AJ6))/(1+$BE6)),Allocation!$B$11)*$B6,)</f>
        <v/>
      </c>
      <c r="BG6" s="191" t="str">
        <f t="shared" si="22"/>
        <v/>
      </c>
    </row>
    <row r="7">
      <c r="A7" s="196" t="s">
        <v>427</v>
      </c>
      <c r="B7" s="197">
        <f>SUM(OFFSET(B:B,1,0,ROW()-2,1))</f>
        <v>1</v>
      </c>
      <c r="C7" s="198"/>
      <c r="D7" s="199"/>
      <c r="E7" s="200"/>
      <c r="F7" s="201"/>
      <c r="G7" s="202"/>
      <c r="H7" s="203" t="s">
        <v>427</v>
      </c>
      <c r="I7" s="198"/>
      <c r="J7" s="198"/>
      <c r="K7" s="204"/>
      <c r="L7" s="205" t="str">
        <f>IFERROR(__xludf.DUMMYFUNCTION("SWITCH($J7,""Symbol"",,,,""GR"",IMPORTXML(""https://www.investing.com/etfs/""&amp;$D7,""//span[@id='last_last']""),IMPORTXML(""https://bloomberg.com/quote/""&amp;$G1&amp;"":""&amp;$J1,""//span[@class='priceText__1853e8a5']""))"),"")</f>
        <v/>
      </c>
      <c r="M7" s="206"/>
      <c r="N7" s="207">
        <f>SUM(N$1:N$6)+$AM$7</f>
        <v>1078423.69</v>
      </c>
      <c r="O7" s="207">
        <f>SUM(OFFSET(O:O,1,0,ROW()-2,1))</f>
        <v>1261670.727</v>
      </c>
      <c r="P7" s="208">
        <f t="array" ref="P7">(Allocation!$B$17+Dashboard!$B$20+Dashboard!$B$57+INDEX(Evolution!I:I,2)-INDEX(Evolution!H:H,2)+$AU$7)*(1+$AJ$7*3)*0.98</f>
        <v>1250473.961</v>
      </c>
      <c r="Q7" s="209"/>
      <c r="R7" s="207"/>
      <c r="S7" s="207">
        <f>$P$7-$O$7</f>
        <v>-11196.7657</v>
      </c>
      <c r="T7" s="207">
        <f>SUMIFS(OFFSET(T:T,1,0,ROW()-2,1),OFFSET(W:W,1,0,ROW()-2,1),"&lt;&gt;HOLD*")</f>
        <v>0</v>
      </c>
      <c r="U7" s="210">
        <f>$P$7*(1-$AJ$7)-$O$7-$AN7</f>
        <v>3488.924488</v>
      </c>
      <c r="V7" s="209"/>
      <c r="W7" s="211" t="str">
        <f>IFERROR(__xludf.DUMMYFUNCTION("INDEX(SPLIT(IFERROR(VLOOKUP(""SELL*"",OFFSET($W:$W,1,0,ROW()-2,1),1,FALSE),IFERROR(VLOOKUP(""BUY*"",OFFSET($W:$W,1,0,ROW()-2,1),1,FALSE),""HOLD"")),"" ""),1,1)"),"HOLD")</f>
        <v>HOLD</v>
      </c>
      <c r="X7" s="208">
        <f>SUM(OFFSET(X:X,1,0,ROW()-2,1))</f>
        <v>8037.6128</v>
      </c>
      <c r="Y7" s="212">
        <f>IF(OR(X$7=0,$N$7=0),0,X$7/$N$7)</f>
        <v>0.007453112236</v>
      </c>
      <c r="Z7" s="207">
        <f>SUM(OFFSET(Z:Z,1,0,ROW()-2,1))</f>
        <v>26073.42</v>
      </c>
      <c r="AA7" s="213">
        <f>IF(OR(Z$7=0,$N$7=0),0,Z$7/$N$7)</f>
        <v>0.02417734351</v>
      </c>
      <c r="AB7" s="207">
        <f>SUM(OFFSET(AB:AB,1,0,ROW()-2,1))</f>
        <v>183247.3268</v>
      </c>
      <c r="AC7" s="212">
        <f>IF(OR(AB$7=0,$N$7=0),0,AB$7/$N$7)</f>
        <v>0.169921459</v>
      </c>
      <c r="AD7" s="214">
        <f>SUM(OFFSET(AD:AD,1,0,ROW()-2,1))</f>
        <v>209320.7468</v>
      </c>
      <c r="AE7" s="213">
        <f>$AA$7+$AC$7</f>
        <v>0.1940988025</v>
      </c>
      <c r="AF7" s="215">
        <f t="array" ref="AF7">SUMIFS(Historic!G:G,Historic!D:D,"=COST",Historic!A:A,"&gt;="&amp;INDEX(Evolution!A:A, ROWS(Evolution!A:A)))</f>
        <v>-17868.97</v>
      </c>
      <c r="AG7" s="216">
        <f>SUM(OFFSET(AG:AG,1,0,ROW()-2,1))</f>
        <v>232.5244984</v>
      </c>
      <c r="AH7" s="217">
        <f>SUMPRODUCT(OFFSET(AH:AH,1,0,ROW()-2,1),OFFSET($AW:$AW,1,0,ROW()-2,1))</f>
        <v>0.01309222492</v>
      </c>
      <c r="AI7" s="207"/>
      <c r="AJ7" s="213">
        <f>SUMPRODUCT(OFFSET(AJ:AJ,1,0,ROW()-2,1),OFFSET($B:$B,1,0,ROW()-2,1))</f>
        <v>0.001418478483</v>
      </c>
      <c r="AK7" s="217"/>
      <c r="AL7" s="217">
        <f>SUMPRODUCT(OFFSET(AL:AL,1,0,ROW()-2,1),OFFSET($AW:$AW,1,0,ROW()-2,1))</f>
        <v>0.003066859852</v>
      </c>
      <c r="AM7" s="218">
        <v>0.29</v>
      </c>
      <c r="AN7" s="207">
        <f t="shared" ref="AN7:AO7" si="26">SUM(AN$1:AN$6)</f>
        <v>-16459.4606</v>
      </c>
      <c r="AO7" s="207">
        <f t="shared" si="26"/>
        <v>1276244.6</v>
      </c>
      <c r="AP7" s="219"/>
      <c r="AQ7" s="220">
        <f>DateTime!$B$1-MAX($AQ2:$AQ6)</f>
        <v>0.2265810185</v>
      </c>
      <c r="AR7" s="221"/>
      <c r="AS7" s="222"/>
      <c r="AT7" s="223"/>
      <c r="AU7" s="216">
        <f>SUMIFS(OFFSET($AU:$AU,1,0,ROW()-2,1),OFFSET($AS:$AS,1,0,ROW()-2,1),"&lt;="&amp;DateTime!$B$2+15)</f>
        <v>0</v>
      </c>
      <c r="AV7" s="224">
        <f>SUM(OFFSET(AV:AV,1,0,ROW()-2,1))</f>
        <v>1593.335415</v>
      </c>
      <c r="AW7" s="225"/>
      <c r="AX7" s="225"/>
      <c r="AY7" s="225"/>
      <c r="AZ7" s="226"/>
      <c r="BA7" s="225"/>
      <c r="BB7" s="225"/>
      <c r="BC7" s="226"/>
      <c r="BD7" s="225"/>
      <c r="BE7" s="225"/>
      <c r="BF7" s="227">
        <f>AllocationHistoric!$B$2+AllocationHistoric!$C$2+Allocation!$B$15</f>
        <v>1634538.494</v>
      </c>
      <c r="BG7" s="228">
        <f>AllocationHistoric!$B$2+AllocationHistoric!$C$2+Allocation!$B$15</f>
        <v>1634538.494</v>
      </c>
    </row>
  </sheetData>
  <conditionalFormatting sqref="AH2:AH6">
    <cfRule type="cellIs" dxfId="2" priority="1" operator="lessThan">
      <formula>-0.03</formula>
    </cfRule>
  </conditionalFormatting>
  <conditionalFormatting sqref="AH2:AH6">
    <cfRule type="cellIs" dxfId="3" priority="2" operator="greaterThan">
      <formula>0.03</formula>
    </cfRule>
  </conditionalFormatting>
  <conditionalFormatting sqref="T2:T6">
    <cfRule type="expression" dxfId="0" priority="3">
      <formula>AND(ABS(T2)&gt;=1000,LEFT(W2,4)&lt;&gt;"HOLD")</formula>
    </cfRule>
  </conditionalFormatting>
  <conditionalFormatting sqref="V2:W6">
    <cfRule type="beginsWith" dxfId="2" priority="4" operator="beginsWith" text="SELL">
      <formula>LEFT((V2),LEN("SELL"))=("SELL")</formula>
    </cfRule>
  </conditionalFormatting>
  <conditionalFormatting sqref="V2:W6">
    <cfRule type="beginsWith" dxfId="3" priority="5" operator="beginsWith" text="BUY">
      <formula>LEFT((V2),LEN("BUY"))=("BUY")</formula>
    </cfRule>
  </conditionalFormatting>
  <conditionalFormatting sqref="X2:AG7">
    <cfRule type="cellIs" dxfId="4" priority="6" operator="equal">
      <formula>0</formula>
    </cfRule>
  </conditionalFormatting>
  <conditionalFormatting sqref="S2:T6">
    <cfRule type="expression" dxfId="0" priority="7">
      <formula>LEFT($W2,4)&lt;&gt;"HOLD"</formula>
    </cfRule>
  </conditionalFormatting>
  <conditionalFormatting sqref="S2:T6">
    <cfRule type="expression" dxfId="5" priority="8">
      <formula>LEFT($W2,4)="HOLD"</formula>
    </cfRule>
  </conditionalFormatting>
  <conditionalFormatting sqref="N2:N7">
    <cfRule type="expression" dxfId="6" priority="9">
      <formula>ABS($AM2)&gt;0.01</formula>
    </cfRule>
  </conditionalFormatting>
  <conditionalFormatting sqref="AU2:AU6">
    <cfRule type="expression" dxfId="3" priority="10">
      <formula>AND(AS2&lt;&gt;"",AS2&lt;TODAY()+15)</formula>
    </cfRule>
  </conditionalFormatting>
  <conditionalFormatting sqref="AU7">
    <cfRule type="cellIs" dxfId="7" priority="11" operator="greaterThan">
      <formula>0</formula>
    </cfRule>
  </conditionalFormatting>
  <conditionalFormatting sqref="X2:Y7 AD2:AE7 AJ2:AJ7">
    <cfRule type="cellIs" dxfId="8" priority="12" operator="greaterThan">
      <formula>0</formula>
    </cfRule>
  </conditionalFormatting>
  <conditionalFormatting sqref="X2:Y7 AD2:AE7 AJ2:AJ7">
    <cfRule type="cellIs" dxfId="9" priority="13" operator="lessThan">
      <formula>0</formula>
    </cfRule>
  </conditionalFormatting>
  <conditionalFormatting sqref="BG2:BG7">
    <cfRule type="cellIs" dxfId="10" priority="14" operator="greaterThan">
      <formula>0</formula>
    </cfRule>
  </conditionalFormatting>
  <conditionalFormatting sqref="BF2:BF7">
    <cfRule type="cellIs" dxfId="10" priority="15" operator="lessThan">
      <formula>0</formula>
    </cfRule>
  </conditionalFormatting>
  <conditionalFormatting sqref="M7">
    <cfRule type="notContainsBlanks" dxfId="11" priority="16">
      <formula>LEN(TRIM(M7))&gt;0</formula>
    </cfRule>
  </conditionalFormatting>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0.71"/>
    <col customWidth="1" min="2" max="2" width="30.43"/>
    <col customWidth="1" min="3" max="3" width="46.0"/>
    <col customWidth="1" min="4" max="4" width="22.29"/>
    <col customWidth="1" min="5" max="5" width="11.71"/>
    <col customWidth="1" min="6" max="6" width="10.71"/>
    <col customWidth="1" min="7" max="7" width="12.86"/>
    <col customWidth="1" hidden="1" min="8" max="8" width="71.0"/>
    <col customWidth="1" min="9" max="9" width="12.71"/>
    <col customWidth="1" min="10" max="10" width="13.0"/>
  </cols>
  <sheetData>
    <row r="1">
      <c r="A1" s="9" t="s">
        <v>46</v>
      </c>
      <c r="B1" s="9" t="s">
        <v>65</v>
      </c>
      <c r="C1" s="9" t="s">
        <v>66</v>
      </c>
      <c r="D1" s="9" t="s">
        <v>67</v>
      </c>
      <c r="E1" s="9" t="s">
        <v>68</v>
      </c>
      <c r="F1" s="9" t="s">
        <v>69</v>
      </c>
      <c r="G1" s="9" t="s">
        <v>70</v>
      </c>
      <c r="H1" s="9" t="s">
        <v>280</v>
      </c>
      <c r="I1" s="9" t="s">
        <v>428</v>
      </c>
      <c r="J1" s="9" t="s">
        <v>429</v>
      </c>
    </row>
    <row r="2">
      <c r="A2" s="184">
        <v>44144.0</v>
      </c>
      <c r="B2" s="229" t="s">
        <v>302</v>
      </c>
      <c r="C2" s="230" t="s">
        <v>303</v>
      </c>
      <c r="D2" s="231" t="s">
        <v>415</v>
      </c>
      <c r="E2" s="231">
        <v>-30.0</v>
      </c>
      <c r="F2" s="232">
        <v>58.68</v>
      </c>
      <c r="G2" s="233">
        <v>1760.4</v>
      </c>
      <c r="H2" s="234" t="s">
        <v>430</v>
      </c>
      <c r="I2" s="235">
        <f t="array" ref="I2">IFS(AND($B2&lt;&gt;"",$E2&lt;&gt;""),IF(INDEX(HistoricSummary!D:D,MATCH($C2,HistoricSummary!$A:$A,0),1)&lt;&gt;"",$E2*INDEX(HistoricSummary!D:D,MATCH($C2,HistoricSummary!$A:$A,0),1)+$G2,""),AND($B2&lt;&gt;"",$D2="COST",$G2&lt;0),$G2,TRUE,)</f>
        <v>31.26</v>
      </c>
      <c r="J2" s="235">
        <f t="array" ref="J2">IFS(AND($B2&lt;&gt;"",$E2&lt;&gt;""),IF(INDEX(HistoricSummary!E:E,MATCH($C2,HistoricSummary!$A:$A,0),1)&lt;&gt;"",$E2*INDEX(HistoricSummary!E:E,MATCH($C2,HistoricSummary!$A:$A,0),1)+$G2,""),AND($B2&lt;&gt;"",$D2="COST",$G2&lt;0),$G2,TRUE,)</f>
        <v>169.4346512</v>
      </c>
    </row>
    <row r="3">
      <c r="A3" s="184">
        <v>44144.0</v>
      </c>
      <c r="B3" s="229" t="s">
        <v>298</v>
      </c>
      <c r="C3" s="230" t="s">
        <v>299</v>
      </c>
      <c r="D3" s="231" t="s">
        <v>414</v>
      </c>
      <c r="E3" s="231">
        <v>1160.0</v>
      </c>
      <c r="F3" s="232">
        <v>4.92</v>
      </c>
      <c r="G3" s="233">
        <v>-5707.2</v>
      </c>
      <c r="H3" s="234" t="s">
        <v>431</v>
      </c>
      <c r="I3" s="235">
        <f t="array" ref="I3">IFS(AND($B3&lt;&gt;"",$E3&lt;&gt;""),IF(INDEX(HistoricSummary!D:D,MATCH($C3,HistoricSummary!$A:$A,0),1)&lt;&gt;"",$E3*INDEX(HistoricSummary!D:D,MATCH($C3,HistoricSummary!$A:$A,0),1)+$G3,""),AND($B3&lt;&gt;"",$D3="COST",$G3&lt;0),$G3,TRUE,)</f>
        <v>28.768</v>
      </c>
      <c r="J3" s="235">
        <f t="array" ref="J3">IFS(AND($B3&lt;&gt;"",$E3&lt;&gt;""),IF(INDEX(HistoricSummary!E:E,MATCH($C3,HistoricSummary!$A:$A,0),1)&lt;&gt;"",$E3*INDEX(HistoricSummary!E:E,MATCH($C3,HistoricSummary!$A:$A,0),1)+$G3,""),AND($B3&lt;&gt;"",$D3="COST",$G3&lt;0),$G3,TRUE,)</f>
        <v>325.3170543</v>
      </c>
    </row>
    <row r="4">
      <c r="A4" s="184">
        <v>44144.0</v>
      </c>
      <c r="B4" s="229" t="s">
        <v>298</v>
      </c>
      <c r="C4" s="230" t="s">
        <v>299</v>
      </c>
      <c r="D4" s="231" t="s">
        <v>432</v>
      </c>
      <c r="E4" s="231"/>
      <c r="F4" s="232"/>
      <c r="G4" s="233">
        <v>-3.14</v>
      </c>
      <c r="H4" s="234" t="s">
        <v>433</v>
      </c>
      <c r="I4" s="235">
        <f t="array" ref="I4">IFS(AND($B4&lt;&gt;"",$E4&lt;&gt;""),IF(INDEX(HistoricSummary!D:D,MATCH($C4,HistoricSummary!$A:$A,0),1)&lt;&gt;"",$E4*INDEX(HistoricSummary!D:D,MATCH($C4,HistoricSummary!$A:$A,0),1)+$G4,""),AND($B4&lt;&gt;"",$D4="COST",$G4&lt;0),$G4,TRUE,)</f>
        <v>-3.14</v>
      </c>
      <c r="J4" s="235">
        <f t="array" ref="J4">IFS(AND($B4&lt;&gt;"",$E4&lt;&gt;""),IF(INDEX(HistoricSummary!E:E,MATCH($C4,HistoricSummary!$A:$A,0),1)&lt;&gt;"",$E4*INDEX(HistoricSummary!E:E,MATCH($C4,HistoricSummary!$A:$A,0),1)+$G4,""),AND($B4&lt;&gt;"",$D4="COST",$G4&lt;0),$G4,TRUE,)</f>
        <v>-3.14</v>
      </c>
    </row>
    <row r="5">
      <c r="A5" s="184">
        <v>44144.0</v>
      </c>
      <c r="B5" s="229" t="s">
        <v>292</v>
      </c>
      <c r="C5" s="230" t="s">
        <v>293</v>
      </c>
      <c r="D5" s="231" t="s">
        <v>414</v>
      </c>
      <c r="E5" s="231">
        <v>6.0</v>
      </c>
      <c r="F5" s="232">
        <v>185.1</v>
      </c>
      <c r="G5" s="233">
        <v>-1110.6</v>
      </c>
      <c r="H5" s="234" t="s">
        <v>434</v>
      </c>
      <c r="I5" s="235">
        <f t="array" ref="I5">IFS(AND($B5&lt;&gt;"",$E5&lt;&gt;""),IF(INDEX(HistoricSummary!D:D,MATCH($C5,HistoricSummary!$A:$A,0),1)&lt;&gt;"",$E5*INDEX(HistoricSummary!D:D,MATCH($C5,HistoricSummary!$A:$A,0),1)+$G5,""),AND($B5&lt;&gt;"",$D5="COST",$G5&lt;0),$G5,TRUE,)</f>
        <v>8.16</v>
      </c>
      <c r="J5" s="235">
        <f t="array" ref="J5">IFS(AND($B5&lt;&gt;"",$E5&lt;&gt;""),IF(INDEX(HistoricSummary!E:E,MATCH($C5,HistoricSummary!$A:$A,0),1)&lt;&gt;"",$E5*INDEX(HistoricSummary!E:E,MATCH($C5,HistoricSummary!$A:$A,0),1)+$G5,""),AND($B5&lt;&gt;"",$D5="COST",$G5&lt;0),$G5,TRUE,)</f>
        <v>46.73813953</v>
      </c>
    </row>
    <row r="6">
      <c r="A6" s="184">
        <v>44144.0</v>
      </c>
      <c r="B6" s="229" t="s">
        <v>302</v>
      </c>
      <c r="C6" s="230" t="s">
        <v>303</v>
      </c>
      <c r="D6" s="231" t="s">
        <v>415</v>
      </c>
      <c r="E6" s="231">
        <v>-28.0</v>
      </c>
      <c r="F6" s="232">
        <v>58.68</v>
      </c>
      <c r="G6" s="233">
        <v>1643.04</v>
      </c>
      <c r="H6" s="234" t="s">
        <v>435</v>
      </c>
      <c r="I6" s="235">
        <f t="array" ref="I6">IFS(AND($B6&lt;&gt;"",$E6&lt;&gt;""),IF(INDEX(HistoricSummary!D:D,MATCH($C6,HistoricSummary!$A:$A,0),1)&lt;&gt;"",$E6*INDEX(HistoricSummary!D:D,MATCH($C6,HistoricSummary!$A:$A,0),1)+$G6,""),AND($B6&lt;&gt;"",$D6="COST",$G6&lt;0),$G6,TRUE,)</f>
        <v>29.176</v>
      </c>
      <c r="J6" s="235">
        <f t="array" ref="J6">IFS(AND($B6&lt;&gt;"",$E6&lt;&gt;""),IF(INDEX(HistoricSummary!E:E,MATCH($C6,HistoricSummary!$A:$A,0),1)&lt;&gt;"",$E6*INDEX(HistoricSummary!E:E,MATCH($C6,HistoricSummary!$A:$A,0),1)+$G6,""),AND($B6&lt;&gt;"",$D6="COST",$G6&lt;0),$G6,TRUE,)</f>
        <v>158.1390078</v>
      </c>
    </row>
    <row r="7">
      <c r="A7" s="184">
        <v>44144.0</v>
      </c>
      <c r="B7" s="229" t="s">
        <v>292</v>
      </c>
      <c r="C7" s="230" t="s">
        <v>293</v>
      </c>
      <c r="D7" s="231" t="s">
        <v>414</v>
      </c>
      <c r="E7" s="231">
        <v>6.0</v>
      </c>
      <c r="F7" s="232">
        <v>185.15</v>
      </c>
      <c r="G7" s="233">
        <v>-1110.9</v>
      </c>
      <c r="H7" s="234" t="s">
        <v>436</v>
      </c>
      <c r="I7" s="235">
        <f t="array" ref="I7">IFS(AND($B7&lt;&gt;"",$E7&lt;&gt;""),IF(INDEX(HistoricSummary!D:D,MATCH($C7,HistoricSummary!$A:$A,0),1)&lt;&gt;"",$E7*INDEX(HistoricSummary!D:D,MATCH($C7,HistoricSummary!$A:$A,0),1)+$G7,""),AND($B7&lt;&gt;"",$D7="COST",$G7&lt;0),$G7,TRUE,)</f>
        <v>7.86</v>
      </c>
      <c r="J7" s="235">
        <f t="array" ref="J7">IFS(AND($B7&lt;&gt;"",$E7&lt;&gt;""),IF(INDEX(HistoricSummary!E:E,MATCH($C7,HistoricSummary!$A:$A,0),1)&lt;&gt;"",$E7*INDEX(HistoricSummary!E:E,MATCH($C7,HistoricSummary!$A:$A,0),1)+$G7,""),AND($B7&lt;&gt;"",$D7="COST",$G7&lt;0),$G7,TRUE,)</f>
        <v>46.43813953</v>
      </c>
    </row>
    <row r="8">
      <c r="A8" s="184">
        <v>44144.0</v>
      </c>
      <c r="B8" s="229" t="s">
        <v>298</v>
      </c>
      <c r="C8" s="230" t="s">
        <v>299</v>
      </c>
      <c r="D8" s="231" t="s">
        <v>414</v>
      </c>
      <c r="E8" s="231">
        <v>1521.0</v>
      </c>
      <c r="F8" s="232">
        <v>4.94</v>
      </c>
      <c r="G8" s="233">
        <v>-7513.74</v>
      </c>
      <c r="H8" s="234" t="s">
        <v>437</v>
      </c>
      <c r="I8" s="235">
        <f t="array" ref="I8">IFS(AND($B8&lt;&gt;"",$E8&lt;&gt;""),IF(INDEX(HistoricSummary!D:D,MATCH($C8,HistoricSummary!$A:$A,0),1)&lt;&gt;"",$E8*INDEX(HistoricSummary!D:D,MATCH($C8,HistoricSummary!$A:$A,0),1)+$G8,""),AND($B8&lt;&gt;"",$D8="COST",$G8&lt;0),$G8,TRUE,)</f>
        <v>7.3008</v>
      </c>
      <c r="J8" s="235">
        <f t="array" ref="J8">IFS(AND($B8&lt;&gt;"",$E8&lt;&gt;""),IF(INDEX(HistoricSummary!E:E,MATCH($C8,HistoricSummary!$A:$A,0),1)&lt;&gt;"",$E8*INDEX(HistoricSummary!E:E,MATCH($C8,HistoricSummary!$A:$A,0),1)+$G8,""),AND($B8&lt;&gt;"",$D8="COST",$G8&lt;0),$G8,TRUE,)</f>
        <v>396.1379651</v>
      </c>
    </row>
    <row r="9">
      <c r="A9" s="184">
        <v>44144.0</v>
      </c>
      <c r="B9" s="229" t="s">
        <v>298</v>
      </c>
      <c r="C9" s="230" t="s">
        <v>299</v>
      </c>
      <c r="D9" s="231" t="s">
        <v>432</v>
      </c>
      <c r="E9" s="231"/>
      <c r="F9" s="232"/>
      <c r="G9" s="233">
        <v>-1.5</v>
      </c>
      <c r="H9" s="234" t="s">
        <v>438</v>
      </c>
      <c r="I9" s="235">
        <f t="array" ref="I9">IFS(AND($B9&lt;&gt;"",$E9&lt;&gt;""),IF(INDEX(HistoricSummary!D:D,MATCH($C9,HistoricSummary!$A:$A,0),1)&lt;&gt;"",$E9*INDEX(HistoricSummary!D:D,MATCH($C9,HistoricSummary!$A:$A,0),1)+$G9,""),AND($B9&lt;&gt;"",$D9="COST",$G9&lt;0),$G9,TRUE,)</f>
        <v>-1.5</v>
      </c>
      <c r="J9" s="235">
        <f t="array" ref="J9">IFS(AND($B9&lt;&gt;"",$E9&lt;&gt;""),IF(INDEX(HistoricSummary!E:E,MATCH($C9,HistoricSummary!$A:$A,0),1)&lt;&gt;"",$E9*INDEX(HistoricSummary!E:E,MATCH($C9,HistoricSummary!$A:$A,0),1)+$G9,""),AND($B9&lt;&gt;"",$D9="COST",$G9&lt;0),$G9,TRUE,)</f>
        <v>-1.5</v>
      </c>
    </row>
    <row r="10">
      <c r="A10" s="184">
        <v>44144.0</v>
      </c>
      <c r="B10" s="229" t="s">
        <v>302</v>
      </c>
      <c r="C10" s="230" t="s">
        <v>303</v>
      </c>
      <c r="D10" s="231" t="s">
        <v>415</v>
      </c>
      <c r="E10" s="231">
        <v>-64.0</v>
      </c>
      <c r="F10" s="232">
        <v>58.43</v>
      </c>
      <c r="G10" s="233">
        <v>3739.52</v>
      </c>
      <c r="H10" s="234" t="s">
        <v>439</v>
      </c>
      <c r="I10" s="235">
        <f t="array" ref="I10">IFS(AND($B10&lt;&gt;"",$E10&lt;&gt;""),IF(INDEX(HistoricSummary!D:D,MATCH($C10,HistoricSummary!$A:$A,0),1)&lt;&gt;"",$E10*INDEX(HistoricSummary!D:D,MATCH($C10,HistoricSummary!$A:$A,0),1)+$G10,""),AND($B10&lt;&gt;"",$D10="COST",$G10&lt;0),$G10,TRUE,)</f>
        <v>50.688</v>
      </c>
      <c r="J10" s="235">
        <f t="array" ref="J10">IFS(AND($B10&lt;&gt;"",$E10&lt;&gt;""),IF(INDEX(HistoricSummary!E:E,MATCH($C10,HistoricSummary!$A:$A,0),1)&lt;&gt;"",$E10*INDEX(HistoricSummary!E:E,MATCH($C10,HistoricSummary!$A:$A,0),1)+$G10,""),AND($B10&lt;&gt;"",$D10="COST",$G10&lt;0),$G10,TRUE,)</f>
        <v>345.4605891</v>
      </c>
    </row>
    <row r="11">
      <c r="A11" s="184">
        <v>44144.0</v>
      </c>
      <c r="B11" s="229" t="s">
        <v>298</v>
      </c>
      <c r="C11" s="230" t="s">
        <v>299</v>
      </c>
      <c r="D11" s="231" t="s">
        <v>414</v>
      </c>
      <c r="E11" s="231">
        <v>108.0</v>
      </c>
      <c r="F11" s="232">
        <v>4.91</v>
      </c>
      <c r="G11" s="233">
        <v>-530.28</v>
      </c>
      <c r="H11" s="234" t="s">
        <v>440</v>
      </c>
      <c r="I11" s="235">
        <f t="array" ref="I11">IFS(AND($B11&lt;&gt;"",$E11&lt;&gt;""),IF(INDEX(HistoricSummary!D:D,MATCH($C11,HistoricSummary!$A:$A,0),1)&lt;&gt;"",$E11*INDEX(HistoricSummary!D:D,MATCH($C11,HistoricSummary!$A:$A,0),1)+$G11,""),AND($B11&lt;&gt;"",$D11="COST",$G11&lt;0),$G11,TRUE,)</f>
        <v>3.7584</v>
      </c>
      <c r="J11" s="235">
        <f t="array" ref="J11">IFS(AND($B11&lt;&gt;"",$E11&lt;&gt;""),IF(INDEX(HistoricSummary!E:E,MATCH($C11,HistoricSummary!$A:$A,0),1)&lt;&gt;"",$E11*INDEX(HistoricSummary!E:E,MATCH($C11,HistoricSummary!$A:$A,0),1)+$G11,""),AND($B11&lt;&gt;"",$D11="COST",$G11&lt;0),$G11,TRUE,)</f>
        <v>31.36813953</v>
      </c>
    </row>
    <row r="12">
      <c r="A12" s="184">
        <v>44144.0</v>
      </c>
      <c r="B12" s="229" t="s">
        <v>298</v>
      </c>
      <c r="C12" s="230" t="s">
        <v>299</v>
      </c>
      <c r="D12" s="231" t="s">
        <v>432</v>
      </c>
      <c r="E12" s="231"/>
      <c r="F12" s="232"/>
      <c r="G12" s="233">
        <v>-2.11</v>
      </c>
      <c r="H12" s="234" t="s">
        <v>441</v>
      </c>
      <c r="I12" s="235">
        <f t="array" ref="I12">IFS(AND($B12&lt;&gt;"",$E12&lt;&gt;""),IF(INDEX(HistoricSummary!D:D,MATCH($C12,HistoricSummary!$A:$A,0),1)&lt;&gt;"",$E12*INDEX(HistoricSummary!D:D,MATCH($C12,HistoricSummary!$A:$A,0),1)+$G12,""),AND($B12&lt;&gt;"",$D12="COST",$G12&lt;0),$G12,TRUE,)</f>
        <v>-2.11</v>
      </c>
      <c r="J12" s="235">
        <f t="array" ref="J12">IFS(AND($B12&lt;&gt;"",$E12&lt;&gt;""),IF(INDEX(HistoricSummary!E:E,MATCH($C12,HistoricSummary!$A:$A,0),1)&lt;&gt;"",$E12*INDEX(HistoricSummary!E:E,MATCH($C12,HistoricSummary!$A:$A,0),1)+$G12,""),AND($B12&lt;&gt;"",$D12="COST",$G12&lt;0),$G12,TRUE,)</f>
        <v>-2.11</v>
      </c>
    </row>
    <row r="13">
      <c r="A13" s="184">
        <v>44144.0</v>
      </c>
      <c r="B13" s="229" t="s">
        <v>302</v>
      </c>
      <c r="C13" s="230" t="s">
        <v>303</v>
      </c>
      <c r="D13" s="231" t="s">
        <v>415</v>
      </c>
      <c r="E13" s="231">
        <v>-230.0</v>
      </c>
      <c r="F13" s="232">
        <v>58.25</v>
      </c>
      <c r="G13" s="233">
        <v>13397.5</v>
      </c>
      <c r="H13" s="234" t="s">
        <v>442</v>
      </c>
      <c r="I13" s="235">
        <f t="array" ref="I13">IFS(AND($B13&lt;&gt;"",$E13&lt;&gt;""),IF(INDEX(HistoricSummary!D:D,MATCH($C13,HistoricSummary!$A:$A,0),1)&lt;&gt;"",$E13*INDEX(HistoricSummary!D:D,MATCH($C13,HistoricSummary!$A:$A,0),1)+$G13,""),AND($B13&lt;&gt;"",$D13="COST",$G13&lt;0),$G13,TRUE,)</f>
        <v>140.76</v>
      </c>
      <c r="J13" s="235">
        <f t="array" ref="J13">IFS(AND($B13&lt;&gt;"",$E13&lt;&gt;""),IF(INDEX(HistoricSummary!E:E,MATCH($C13,HistoricSummary!$A:$A,0),1)&lt;&gt;"",$E13*INDEX(HistoricSummary!E:E,MATCH($C13,HistoricSummary!$A:$A,0),1)+$G13,""),AND($B13&lt;&gt;"",$D13="COST",$G13&lt;0),$G13,TRUE,)</f>
        <v>1200.098992</v>
      </c>
    </row>
    <row r="14">
      <c r="A14" s="184">
        <v>44144.0</v>
      </c>
      <c r="B14" s="229" t="s">
        <v>292</v>
      </c>
      <c r="C14" s="230" t="s">
        <v>293</v>
      </c>
      <c r="D14" s="231" t="s">
        <v>414</v>
      </c>
      <c r="E14" s="231">
        <v>12.0</v>
      </c>
      <c r="F14" s="232">
        <v>185.35</v>
      </c>
      <c r="G14" s="233">
        <v>-2224.2</v>
      </c>
      <c r="H14" s="234" t="s">
        <v>443</v>
      </c>
      <c r="I14" s="235">
        <f t="array" ref="I14">IFS(AND($B14&lt;&gt;"",$E14&lt;&gt;""),IF(INDEX(HistoricSummary!D:D,MATCH($C14,HistoricSummary!$A:$A,0),1)&lt;&gt;"",$E14*INDEX(HistoricSummary!D:D,MATCH($C14,HistoricSummary!$A:$A,0),1)+$G14,""),AND($B14&lt;&gt;"",$D14="COST",$G14&lt;0),$G14,TRUE,)</f>
        <v>13.32</v>
      </c>
      <c r="J14" s="235">
        <f t="array" ref="J14">IFS(AND($B14&lt;&gt;"",$E14&lt;&gt;""),IF(INDEX(HistoricSummary!E:E,MATCH($C14,HistoricSummary!$A:$A,0),1)&lt;&gt;"",$E14*INDEX(HistoricSummary!E:E,MATCH($C14,HistoricSummary!$A:$A,0),1)+$G14,""),AND($B14&lt;&gt;"",$D14="COST",$G14&lt;0),$G14,TRUE,)</f>
        <v>90.47627907</v>
      </c>
    </row>
    <row r="15">
      <c r="A15" s="184">
        <v>44144.0</v>
      </c>
      <c r="B15" s="229" t="s">
        <v>298</v>
      </c>
      <c r="C15" s="230" t="s">
        <v>299</v>
      </c>
      <c r="D15" s="231" t="s">
        <v>414</v>
      </c>
      <c r="E15" s="231">
        <v>6092.0</v>
      </c>
      <c r="F15" s="232">
        <v>4.91</v>
      </c>
      <c r="G15" s="233">
        <v>-29911.72</v>
      </c>
      <c r="H15" s="234" t="s">
        <v>444</v>
      </c>
      <c r="I15" s="235">
        <f t="array" ref="I15">IFS(AND($B15&lt;&gt;"",$E15&lt;&gt;""),IF(INDEX(HistoricSummary!D:D,MATCH($C15,HistoricSummary!$A:$A,0),1)&lt;&gt;"",$E15*INDEX(HistoricSummary!D:D,MATCH($C15,HistoricSummary!$A:$A,0),1)+$G15,""),AND($B15&lt;&gt;"",$D15="COST",$G15&lt;0),$G15,TRUE,)</f>
        <v>212.0016</v>
      </c>
      <c r="J15" s="235">
        <f t="array" ref="J15">IFS(AND($B15&lt;&gt;"",$E15&lt;&gt;""),IF(INDEX(HistoricSummary!E:E,MATCH($C15,HistoricSummary!$A:$A,0),1)&lt;&gt;"",$E15*INDEX(HistoricSummary!E:E,MATCH($C15,HistoricSummary!$A:$A,0),1)+$G15,""),AND($B15&lt;&gt;"",$D15="COST",$G15&lt;0),$G15,TRUE,)</f>
        <v>1769.395426</v>
      </c>
    </row>
    <row r="16">
      <c r="A16" s="184">
        <v>44144.0</v>
      </c>
      <c r="B16" s="229" t="s">
        <v>298</v>
      </c>
      <c r="C16" s="230" t="s">
        <v>299</v>
      </c>
      <c r="D16" s="231" t="s">
        <v>432</v>
      </c>
      <c r="E16" s="231"/>
      <c r="F16" s="232"/>
      <c r="G16" s="233">
        <v>-7.98</v>
      </c>
      <c r="H16" s="234" t="s">
        <v>445</v>
      </c>
      <c r="I16" s="235">
        <f t="array" ref="I16">IFS(AND($B16&lt;&gt;"",$E16&lt;&gt;""),IF(INDEX(HistoricSummary!D:D,MATCH($C16,HistoricSummary!$A:$A,0),1)&lt;&gt;"",$E16*INDEX(HistoricSummary!D:D,MATCH($C16,HistoricSummary!$A:$A,0),1)+$G16,""),AND($B16&lt;&gt;"",$D16="COST",$G16&lt;0),$G16,TRUE,)</f>
        <v>-7.98</v>
      </c>
      <c r="J16" s="235">
        <f t="array" ref="J16">IFS(AND($B16&lt;&gt;"",$E16&lt;&gt;""),IF(INDEX(HistoricSummary!E:E,MATCH($C16,HistoricSummary!$A:$A,0),1)&lt;&gt;"",$E16*INDEX(HistoricSummary!E:E,MATCH($C16,HistoricSummary!$A:$A,0),1)+$G16,""),AND($B16&lt;&gt;"",$D16="COST",$G16&lt;0),$G16,TRUE,)</f>
        <v>-7.98</v>
      </c>
    </row>
    <row r="17">
      <c r="A17" s="184">
        <v>44144.0</v>
      </c>
      <c r="B17" s="229" t="s">
        <v>302</v>
      </c>
      <c r="C17" s="230" t="s">
        <v>303</v>
      </c>
      <c r="D17" s="231" t="s">
        <v>415</v>
      </c>
      <c r="E17" s="231">
        <v>-760.0</v>
      </c>
      <c r="F17" s="232">
        <v>58.0</v>
      </c>
      <c r="G17" s="233">
        <v>44080.0</v>
      </c>
      <c r="H17" s="234" t="s">
        <v>446</v>
      </c>
      <c r="I17" s="235">
        <f t="array" ref="I17">IFS(AND($B17&lt;&gt;"",$E17&lt;&gt;""),IF(INDEX(HistoricSummary!D:D,MATCH($C17,HistoricSummary!$A:$A,0),1)&lt;&gt;"",$E17*INDEX(HistoricSummary!D:D,MATCH($C17,HistoricSummary!$A:$A,0),1)+$G17,""),AND($B17&lt;&gt;"",$D17="COST",$G17&lt;0),$G17,TRUE,)</f>
        <v>275.12</v>
      </c>
      <c r="J17" s="235">
        <f t="array" ref="J17">IFS(AND($B17&lt;&gt;"",$E17&lt;&gt;""),IF(INDEX(HistoricSummary!E:E,MATCH($C17,HistoricSummary!$A:$A,0),1)&lt;&gt;"",$E17*INDEX(HistoricSummary!E:E,MATCH($C17,HistoricSummary!$A:$A,0),1)+$G17,""),AND($B17&lt;&gt;"",$D17="COST",$G17&lt;0),$G17,TRUE,)</f>
        <v>3775.544496</v>
      </c>
    </row>
    <row r="18">
      <c r="A18" s="184">
        <v>44144.0</v>
      </c>
      <c r="B18" s="229" t="s">
        <v>292</v>
      </c>
      <c r="C18" s="230" t="s">
        <v>293</v>
      </c>
      <c r="D18" s="231" t="s">
        <v>414</v>
      </c>
      <c r="E18" s="231">
        <v>6.0</v>
      </c>
      <c r="F18" s="232">
        <v>186.84</v>
      </c>
      <c r="G18" s="233">
        <v>-1121.04</v>
      </c>
      <c r="H18" s="234" t="s">
        <v>447</v>
      </c>
      <c r="I18" s="235">
        <f t="array" ref="I18">IFS(AND($B18&lt;&gt;"",$E18&lt;&gt;""),IF(INDEX(HistoricSummary!D:D,MATCH($C18,HistoricSummary!$A:$A,0),1)&lt;&gt;"",$E18*INDEX(HistoricSummary!D:D,MATCH($C18,HistoricSummary!$A:$A,0),1)+$G18,""),AND($B18&lt;&gt;"",$D18="COST",$G18&lt;0),$G18,TRUE,)</f>
        <v>-2.28</v>
      </c>
      <c r="J18" s="235">
        <f t="array" ref="J18">IFS(AND($B18&lt;&gt;"",$E18&lt;&gt;""),IF(INDEX(HistoricSummary!E:E,MATCH($C18,HistoricSummary!$A:$A,0),1)&lt;&gt;"",$E18*INDEX(HistoricSummary!E:E,MATCH($C18,HistoricSummary!$A:$A,0),1)+$G18,""),AND($B18&lt;&gt;"",$D18="COST",$G18&lt;0),$G18,TRUE,)</f>
        <v>36.29813953</v>
      </c>
    </row>
    <row r="19">
      <c r="A19" s="184">
        <v>44144.0</v>
      </c>
      <c r="B19" s="229" t="s">
        <v>298</v>
      </c>
      <c r="C19" s="230" t="s">
        <v>299</v>
      </c>
      <c r="D19" s="231" t="s">
        <v>414</v>
      </c>
      <c r="E19" s="231">
        <v>4813.0</v>
      </c>
      <c r="F19" s="232">
        <v>5.05</v>
      </c>
      <c r="G19" s="233">
        <v>-24305.65</v>
      </c>
      <c r="H19" s="234" t="s">
        <v>448</v>
      </c>
      <c r="I19" s="235">
        <f t="array" ref="I19">IFS(AND($B19&lt;&gt;"",$E19&lt;&gt;""),IF(INDEX(HistoricSummary!D:D,MATCH($C19,HistoricSummary!$A:$A,0),1)&lt;&gt;"",$E19*INDEX(HistoricSummary!D:D,MATCH($C19,HistoricSummary!$A:$A,0),1)+$G19,""),AND($B19&lt;&gt;"",$D19="COST",$G19&lt;0),$G19,TRUE,)</f>
        <v>-506.3276</v>
      </c>
      <c r="J19" s="235">
        <f t="array" ref="J19">IFS(AND($B19&lt;&gt;"",$E19&lt;&gt;""),IF(INDEX(HistoricSummary!E:E,MATCH($C19,HistoricSummary!$A:$A,0),1)&lt;&gt;"",$E19*INDEX(HistoricSummary!E:E,MATCH($C19,HistoricSummary!$A:$A,0),1)+$G19,""),AND($B19&lt;&gt;"",$D19="COST",$G19&lt;0),$G19,TRUE,)</f>
        <v>724.0953295</v>
      </c>
    </row>
    <row r="20">
      <c r="A20" s="184">
        <v>44144.0</v>
      </c>
      <c r="B20" s="229" t="s">
        <v>298</v>
      </c>
      <c r="C20" s="230" t="s">
        <v>299</v>
      </c>
      <c r="D20" s="231" t="s">
        <v>432</v>
      </c>
      <c r="E20" s="231"/>
      <c r="F20" s="232"/>
      <c r="G20" s="233">
        <v>-6.86</v>
      </c>
      <c r="H20" s="234" t="s">
        <v>449</v>
      </c>
      <c r="I20" s="235">
        <f t="array" ref="I20">IFS(AND($B20&lt;&gt;"",$E20&lt;&gt;""),IF(INDEX(HistoricSummary!D:D,MATCH($C20,HistoricSummary!$A:$A,0),1)&lt;&gt;"",$E20*INDEX(HistoricSummary!D:D,MATCH($C20,HistoricSummary!$A:$A,0),1)+$G20,""),AND($B20&lt;&gt;"",$D20="COST",$G20&lt;0),$G20,TRUE,)</f>
        <v>-6.86</v>
      </c>
      <c r="J20" s="235">
        <f t="array" ref="J20">IFS(AND($B20&lt;&gt;"",$E20&lt;&gt;""),IF(INDEX(HistoricSummary!E:E,MATCH($C20,HistoricSummary!$A:$A,0),1)&lt;&gt;"",$E20*INDEX(HistoricSummary!E:E,MATCH($C20,HistoricSummary!$A:$A,0),1)+$G20,""),AND($B20&lt;&gt;"",$D20="COST",$G20&lt;0),$G20,TRUE,)</f>
        <v>-6.86</v>
      </c>
    </row>
    <row r="21">
      <c r="A21" s="184">
        <v>44144.0</v>
      </c>
      <c r="B21" s="229" t="s">
        <v>292</v>
      </c>
      <c r="C21" s="230" t="s">
        <v>293</v>
      </c>
      <c r="D21" s="231" t="s">
        <v>414</v>
      </c>
      <c r="E21" s="231">
        <v>14.0</v>
      </c>
      <c r="F21" s="232">
        <v>186.84</v>
      </c>
      <c r="G21" s="233">
        <v>-2615.76</v>
      </c>
      <c r="H21" s="234" t="s">
        <v>450</v>
      </c>
      <c r="I21" s="235">
        <f t="array" ref="I21">IFS(AND($B21&lt;&gt;"",$E21&lt;&gt;""),IF(INDEX(HistoricSummary!D:D,MATCH($C21,HistoricSummary!$A:$A,0),1)&lt;&gt;"",$E21*INDEX(HistoricSummary!D:D,MATCH($C21,HistoricSummary!$A:$A,0),1)+$G21,""),AND($B21&lt;&gt;"",$D21="COST",$G21&lt;0),$G21,TRUE,)</f>
        <v>-5.32</v>
      </c>
      <c r="J21" s="235">
        <f t="array" ref="J21">IFS(AND($B21&lt;&gt;"",$E21&lt;&gt;""),IF(INDEX(HistoricSummary!E:E,MATCH($C21,HistoricSummary!$A:$A,0),1)&lt;&gt;"",$E21*INDEX(HistoricSummary!E:E,MATCH($C21,HistoricSummary!$A:$A,0),1)+$G21,""),AND($B21&lt;&gt;"",$D21="COST",$G21&lt;0),$G21,TRUE,)</f>
        <v>84.69565891</v>
      </c>
    </row>
    <row r="22">
      <c r="A22" s="184">
        <v>44141.0</v>
      </c>
      <c r="B22" s="229" t="s">
        <v>298</v>
      </c>
      <c r="C22" s="230" t="s">
        <v>299</v>
      </c>
      <c r="D22" s="231" t="s">
        <v>414</v>
      </c>
      <c r="E22" s="231">
        <v>1000.0</v>
      </c>
      <c r="F22" s="232">
        <v>5.092</v>
      </c>
      <c r="G22" s="233">
        <v>-5092.0</v>
      </c>
      <c r="H22" s="234" t="s">
        <v>451</v>
      </c>
      <c r="I22" s="235">
        <f t="array" ref="I22">IFS(AND($B22&lt;&gt;"",$E22&lt;&gt;""),IF(INDEX(HistoricSummary!D:D,MATCH($C22,HistoricSummary!$A:$A,0),1)&lt;&gt;"",$E22*INDEX(HistoricSummary!D:D,MATCH($C22,HistoricSummary!$A:$A,0),1)+$G22,""),AND($B22&lt;&gt;"",$D22="COST",$G22&lt;0),$G22,TRUE,)</f>
        <v>-147.2</v>
      </c>
      <c r="J22" s="235">
        <f t="array" ref="J22">IFS(AND($B22&lt;&gt;"",$E22&lt;&gt;""),IF(INDEX(HistoricSummary!E:E,MATCH($C22,HistoricSummary!$A:$A,0),1)&lt;&gt;"",$E22*INDEX(HistoricSummary!E:E,MATCH($C22,HistoricSummary!$A:$A,0),1)+$G22,""),AND($B22&lt;&gt;"",$D22="COST",$G22&lt;0),$G22,TRUE,)</f>
        <v>108.4457364</v>
      </c>
    </row>
    <row r="23">
      <c r="A23" s="184">
        <v>44141.0</v>
      </c>
      <c r="B23" s="229" t="s">
        <v>298</v>
      </c>
      <c r="C23" s="230" t="s">
        <v>299</v>
      </c>
      <c r="D23" s="231" t="s">
        <v>432</v>
      </c>
      <c r="E23" s="231"/>
      <c r="F23" s="232"/>
      <c r="G23" s="233">
        <v>-3.02</v>
      </c>
      <c r="H23" s="234" t="s">
        <v>452</v>
      </c>
      <c r="I23" s="235">
        <f t="array" ref="I23">IFS(AND($B23&lt;&gt;"",$E23&lt;&gt;""),IF(INDEX(HistoricSummary!D:D,MATCH($C23,HistoricSummary!$A:$A,0),1)&lt;&gt;"",$E23*INDEX(HistoricSummary!D:D,MATCH($C23,HistoricSummary!$A:$A,0),1)+$G23,""),AND($B23&lt;&gt;"",$D23="COST",$G23&lt;0),$G23,TRUE,)</f>
        <v>-3.02</v>
      </c>
      <c r="J23" s="235">
        <f t="array" ref="J23">IFS(AND($B23&lt;&gt;"",$E23&lt;&gt;""),IF(INDEX(HistoricSummary!E:E,MATCH($C23,HistoricSummary!$A:$A,0),1)&lt;&gt;"",$E23*INDEX(HistoricSummary!E:E,MATCH($C23,HistoricSummary!$A:$A,0),1)+$G23,""),AND($B23&lt;&gt;"",$D23="COST",$G23&lt;0),$G23,TRUE,)</f>
        <v>-3.02</v>
      </c>
    </row>
    <row r="24">
      <c r="A24" s="184">
        <v>44141.0</v>
      </c>
      <c r="B24" s="229" t="s">
        <v>292</v>
      </c>
      <c r="C24" s="230" t="s">
        <v>293</v>
      </c>
      <c r="D24" s="231" t="s">
        <v>414</v>
      </c>
      <c r="E24" s="231">
        <v>6.0</v>
      </c>
      <c r="F24" s="232">
        <v>187.25</v>
      </c>
      <c r="G24" s="233">
        <v>-1123.5</v>
      </c>
      <c r="H24" s="234" t="s">
        <v>453</v>
      </c>
      <c r="I24" s="235">
        <f t="array" ref="I24">IFS(AND($B24&lt;&gt;"",$E24&lt;&gt;""),IF(INDEX(HistoricSummary!D:D,MATCH($C24,HistoricSummary!$A:$A,0),1)&lt;&gt;"",$E24*INDEX(HistoricSummary!D:D,MATCH($C24,HistoricSummary!$A:$A,0),1)+$G24,""),AND($B24&lt;&gt;"",$D24="COST",$G24&lt;0),$G24,TRUE,)</f>
        <v>-4.74</v>
      </c>
      <c r="J24" s="235">
        <f t="array" ref="J24">IFS(AND($B24&lt;&gt;"",$E24&lt;&gt;""),IF(INDEX(HistoricSummary!E:E,MATCH($C24,HistoricSummary!$A:$A,0),1)&lt;&gt;"",$E24*INDEX(HistoricSummary!E:E,MATCH($C24,HistoricSummary!$A:$A,0),1)+$G24,""),AND($B24&lt;&gt;"",$D24="COST",$G24&lt;0),$G24,TRUE,)</f>
        <v>33.83813953</v>
      </c>
    </row>
    <row r="25">
      <c r="A25" s="184">
        <v>44140.0</v>
      </c>
      <c r="B25" s="229"/>
      <c r="C25" s="230"/>
      <c r="D25" s="231" t="s">
        <v>454</v>
      </c>
      <c r="E25" s="231"/>
      <c r="F25" s="232"/>
      <c r="G25" s="233">
        <v>-1800.0</v>
      </c>
      <c r="H25" s="234" t="s">
        <v>455</v>
      </c>
      <c r="I25" s="235" t="str">
        <f t="array" ref="I25">IFS(AND($B25&lt;&gt;"",$E25&lt;&gt;""),IF(INDEX(HistoricSummary!D:D,MATCH($C25,HistoricSummary!$A:$A,0),1)&lt;&gt;"",$E25*INDEX(HistoricSummary!D:D,MATCH($C25,HistoricSummary!$A:$A,0),1)+$G25,""),AND($B25&lt;&gt;"",$D25="COST",$G25&lt;0),$G25,TRUE,)</f>
        <v/>
      </c>
      <c r="J25" s="235" t="str">
        <f t="array" ref="J25">IFS(AND($B25&lt;&gt;"",$E25&lt;&gt;""),IF(INDEX(HistoricSummary!E:E,MATCH($C25,HistoricSummary!$A:$A,0),1)&lt;&gt;"",$E25*INDEX(HistoricSummary!E:E,MATCH($C25,HistoricSummary!$A:$A,0),1)+$G25,""),AND($B25&lt;&gt;"",$D25="COST",$G25&lt;0),$G25,TRUE,)</f>
        <v/>
      </c>
    </row>
    <row r="26">
      <c r="A26" s="184">
        <v>44140.0</v>
      </c>
      <c r="B26" s="229" t="s">
        <v>292</v>
      </c>
      <c r="C26" s="230" t="s">
        <v>293</v>
      </c>
      <c r="D26" s="231" t="s">
        <v>414</v>
      </c>
      <c r="E26" s="231">
        <v>56.0</v>
      </c>
      <c r="F26" s="232">
        <v>188.75</v>
      </c>
      <c r="G26" s="233">
        <v>-10570.0</v>
      </c>
      <c r="H26" s="234" t="s">
        <v>456</v>
      </c>
      <c r="I26" s="235">
        <f t="array" ref="I26">IFS(AND($B26&lt;&gt;"",$E26&lt;&gt;""),IF(INDEX(HistoricSummary!D:D,MATCH($C26,HistoricSummary!$A:$A,0),1)&lt;&gt;"",$E26*INDEX(HistoricSummary!D:D,MATCH($C26,HistoricSummary!$A:$A,0),1)+$G26,""),AND($B26&lt;&gt;"",$D26="COST",$G26&lt;0),$G26,TRUE,)</f>
        <v>-128.24</v>
      </c>
      <c r="J26" s="235">
        <f t="array" ref="J26">IFS(AND($B26&lt;&gt;"",$E26&lt;&gt;""),IF(INDEX(HistoricSummary!E:E,MATCH($C26,HistoricSummary!$A:$A,0),1)&lt;&gt;"",$E26*INDEX(HistoricSummary!E:E,MATCH($C26,HistoricSummary!$A:$A,0),1)+$G26,""),AND($B26&lt;&gt;"",$D26="COST",$G26&lt;0),$G26,TRUE,)</f>
        <v>231.8226357</v>
      </c>
    </row>
    <row r="27">
      <c r="A27" s="184">
        <v>44140.0</v>
      </c>
      <c r="B27" s="229" t="s">
        <v>302</v>
      </c>
      <c r="C27" s="230" t="s">
        <v>303</v>
      </c>
      <c r="D27" s="231" t="s">
        <v>415</v>
      </c>
      <c r="E27" s="231">
        <v>-450.0</v>
      </c>
      <c r="F27" s="232">
        <v>56.35</v>
      </c>
      <c r="G27" s="233">
        <v>25357.5</v>
      </c>
      <c r="H27" s="234" t="s">
        <v>457</v>
      </c>
      <c r="I27" s="235">
        <f t="array" ref="I27">IFS(AND($B27&lt;&gt;"",$E27&lt;&gt;""),IF(INDEX(HistoricSummary!D:D,MATCH($C27,HistoricSummary!$A:$A,0),1)&lt;&gt;"",$E27*INDEX(HistoricSummary!D:D,MATCH($C27,HistoricSummary!$A:$A,0),1)+$G27,""),AND($B27&lt;&gt;"",$D27="COST",$G27&lt;0),$G27,TRUE,)</f>
        <v>-579.6</v>
      </c>
      <c r="J27" s="235">
        <f t="array" ref="J27">IFS(AND($B27&lt;&gt;"",$E27&lt;&gt;""),IF(INDEX(HistoricSummary!E:E,MATCH($C27,HistoricSummary!$A:$A,0),1)&lt;&gt;"",$E27*INDEX(HistoricSummary!E:E,MATCH($C27,HistoricSummary!$A:$A,0),1)+$G27,""),AND($B27&lt;&gt;"",$D27="COST",$G27&lt;0),$G27,TRUE,)</f>
        <v>1493.019767</v>
      </c>
    </row>
    <row r="28">
      <c r="A28" s="184">
        <v>44139.0</v>
      </c>
      <c r="B28" s="229"/>
      <c r="C28" s="230"/>
      <c r="D28" s="231" t="s">
        <v>454</v>
      </c>
      <c r="E28" s="231"/>
      <c r="F28" s="232"/>
      <c r="G28" s="233">
        <v>1000.0</v>
      </c>
      <c r="H28" s="234" t="s">
        <v>458</v>
      </c>
      <c r="I28" s="235" t="str">
        <f t="array" ref="I28">IFS(AND($B28&lt;&gt;"",$E28&lt;&gt;""),IF(INDEX(HistoricSummary!D:D,MATCH($C28,HistoricSummary!$A:$A,0),1)&lt;&gt;"",$E28*INDEX(HistoricSummary!D:D,MATCH($C28,HistoricSummary!$A:$A,0),1)+$G28,""),AND($B28&lt;&gt;"",$D28="COST",$G28&lt;0),$G28,TRUE,)</f>
        <v/>
      </c>
      <c r="J28" s="235" t="str">
        <f t="array" ref="J28">IFS(AND($B28&lt;&gt;"",$E28&lt;&gt;""),IF(INDEX(HistoricSummary!E:E,MATCH($C28,HistoricSummary!$A:$A,0),1)&lt;&gt;"",$E28*INDEX(HistoricSummary!E:E,MATCH($C28,HistoricSummary!$A:$A,0),1)+$G28,""),AND($B28&lt;&gt;"",$D28="COST",$G28&lt;0),$G28,TRUE,)</f>
        <v/>
      </c>
    </row>
    <row r="29">
      <c r="A29" s="184">
        <v>44138.0</v>
      </c>
      <c r="B29" s="229"/>
      <c r="C29" s="230"/>
      <c r="D29" s="231" t="s">
        <v>454</v>
      </c>
      <c r="E29" s="231"/>
      <c r="F29" s="232"/>
      <c r="G29" s="233">
        <v>-1000.0</v>
      </c>
      <c r="H29" s="234" t="s">
        <v>459</v>
      </c>
      <c r="I29" s="235" t="str">
        <f t="array" ref="I29">IFS(AND($B29&lt;&gt;"",$E29&lt;&gt;""),IF(INDEX(HistoricSummary!D:D,MATCH($C29,HistoricSummary!$A:$A,0),1)&lt;&gt;"",$E29*INDEX(HistoricSummary!D:D,MATCH($C29,HistoricSummary!$A:$A,0),1)+$G29,""),AND($B29&lt;&gt;"",$D29="COST",$G29&lt;0),$G29,TRUE,)</f>
        <v/>
      </c>
      <c r="J29" s="235" t="str">
        <f t="array" ref="J29">IFS(AND($B29&lt;&gt;"",$E29&lt;&gt;""),IF(INDEX(HistoricSummary!E:E,MATCH($C29,HistoricSummary!$A:$A,0),1)&lt;&gt;"",$E29*INDEX(HistoricSummary!E:E,MATCH($C29,HistoricSummary!$A:$A,0),1)+$G29,""),AND($B29&lt;&gt;"",$D29="COST",$G29&lt;0),$G29,TRUE,)</f>
        <v/>
      </c>
    </row>
    <row r="30">
      <c r="A30" s="184">
        <v>44135.0</v>
      </c>
      <c r="B30" s="229"/>
      <c r="C30" s="230"/>
      <c r="D30" s="231" t="s">
        <v>432</v>
      </c>
      <c r="E30" s="231"/>
      <c r="F30" s="232"/>
      <c r="G30" s="233">
        <v>-1397.65</v>
      </c>
      <c r="H30" s="234" t="s">
        <v>460</v>
      </c>
      <c r="I30" s="235" t="str">
        <f t="array" ref="I30">IFS(AND($B30&lt;&gt;"",$E30&lt;&gt;""),IF(INDEX(HistoricSummary!D:D,MATCH($C30,HistoricSummary!$A:$A,0),1)&lt;&gt;"",$E30*INDEX(HistoricSummary!D:D,MATCH($C30,HistoricSummary!$A:$A,0),1)+$G30,""),AND($B30&lt;&gt;"",$D30="COST",$G30&lt;0),$G30,TRUE,)</f>
        <v/>
      </c>
      <c r="J30" s="235" t="str">
        <f t="array" ref="J30">IFS(AND($B30&lt;&gt;"",$E30&lt;&gt;""),IF(INDEX(HistoricSummary!E:E,MATCH($C30,HistoricSummary!$A:$A,0),1)&lt;&gt;"",$E30*INDEX(HistoricSummary!E:E,MATCH($C30,HistoricSummary!$A:$A,0),1)+$G30,""),AND($B30&lt;&gt;"",$D30="COST",$G30&lt;0),$G30,TRUE,)</f>
        <v/>
      </c>
    </row>
    <row r="31">
      <c r="A31" s="184">
        <v>44125.0</v>
      </c>
      <c r="B31" s="229" t="s">
        <v>302</v>
      </c>
      <c r="C31" s="230" t="s">
        <v>303</v>
      </c>
      <c r="D31" s="231" t="s">
        <v>415</v>
      </c>
      <c r="E31" s="231">
        <v>-20.0</v>
      </c>
      <c r="F31" s="232">
        <v>55.085</v>
      </c>
      <c r="G31" s="233">
        <v>1101.7</v>
      </c>
      <c r="H31" s="234" t="s">
        <v>461</v>
      </c>
      <c r="I31" s="235">
        <f t="array" ref="I31">IFS(AND($B31&lt;&gt;"",$E31&lt;&gt;""),IF(INDEX(HistoricSummary!D:D,MATCH($C31,HistoricSummary!$A:$A,0),1)&lt;&gt;"",$E31*INDEX(HistoricSummary!D:D,MATCH($C31,HistoricSummary!$A:$A,0),1)+$G31,""),AND($B31&lt;&gt;"",$D31="COST",$G31&lt;0),$G31,TRUE,)</f>
        <v>-51.06</v>
      </c>
      <c r="J31" s="235">
        <f t="array" ref="J31">IFS(AND($B31&lt;&gt;"",$E31&lt;&gt;""),IF(INDEX(HistoricSummary!E:E,MATCH($C31,HistoricSummary!$A:$A,0),1)&lt;&gt;"",$E31*INDEX(HistoricSummary!E:E,MATCH($C31,HistoricSummary!$A:$A,0),1)+$G31,""),AND($B31&lt;&gt;"",$D31="COST",$G31&lt;0),$G31,TRUE,)</f>
        <v>41.05643411</v>
      </c>
    </row>
    <row r="32">
      <c r="A32" s="184">
        <v>44125.0</v>
      </c>
      <c r="B32" s="229" t="s">
        <v>298</v>
      </c>
      <c r="C32" s="230" t="s">
        <v>299</v>
      </c>
      <c r="D32" s="231" t="s">
        <v>414</v>
      </c>
      <c r="E32" s="231">
        <v>1616.0</v>
      </c>
      <c r="F32" s="232">
        <v>5.018</v>
      </c>
      <c r="G32" s="233">
        <v>-8109.09</v>
      </c>
      <c r="H32" s="234" t="s">
        <v>462</v>
      </c>
      <c r="I32" s="235">
        <f t="array" ref="I32">IFS(AND($B32&lt;&gt;"",$E32&lt;&gt;""),IF(INDEX(HistoricSummary!D:D,MATCH($C32,HistoricSummary!$A:$A,0),1)&lt;&gt;"",$E32*INDEX(HistoricSummary!D:D,MATCH($C32,HistoricSummary!$A:$A,0),1)+$G32,""),AND($B32&lt;&gt;"",$D32="COST",$G32&lt;0),$G32,TRUE,)</f>
        <v>-118.2932</v>
      </c>
      <c r="J32" s="235">
        <f t="array" ref="J32">IFS(AND($B32&lt;&gt;"",$E32&lt;&gt;""),IF(INDEX(HistoricSummary!E:E,MATCH($C32,HistoricSummary!$A:$A,0),1)&lt;&gt;"",$E32*INDEX(HistoricSummary!E:E,MATCH($C32,HistoricSummary!$A:$A,0),1)+$G32,""),AND($B32&lt;&gt;"",$D32="COST",$G32&lt;0),$G32,TRUE,)</f>
        <v>294.8303101</v>
      </c>
    </row>
    <row r="33">
      <c r="A33" s="184">
        <v>44125.0</v>
      </c>
      <c r="B33" s="229" t="s">
        <v>298</v>
      </c>
      <c r="C33" s="230" t="s">
        <v>299</v>
      </c>
      <c r="D33" s="231" t="s">
        <v>432</v>
      </c>
      <c r="E33" s="231"/>
      <c r="F33" s="232"/>
      <c r="G33" s="233">
        <v>-3.62</v>
      </c>
      <c r="H33" s="234" t="s">
        <v>463</v>
      </c>
      <c r="I33" s="235">
        <f t="array" ref="I33">IFS(AND($B33&lt;&gt;"",$E33&lt;&gt;""),IF(INDEX(HistoricSummary!D:D,MATCH($C33,HistoricSummary!$A:$A,0),1)&lt;&gt;"",$E33*INDEX(HistoricSummary!D:D,MATCH($C33,HistoricSummary!$A:$A,0),1)+$G33,""),AND($B33&lt;&gt;"",$D33="COST",$G33&lt;0),$G33,TRUE,)</f>
        <v>-3.62</v>
      </c>
      <c r="J33" s="235">
        <f t="array" ref="J33">IFS(AND($B33&lt;&gt;"",$E33&lt;&gt;""),IF(INDEX(HistoricSummary!E:E,MATCH($C33,HistoricSummary!$A:$A,0),1)&lt;&gt;"",$E33*INDEX(HistoricSummary!E:E,MATCH($C33,HistoricSummary!$A:$A,0),1)+$G33,""),AND($B33&lt;&gt;"",$D33="COST",$G33&lt;0),$G33,TRUE,)</f>
        <v>-3.62</v>
      </c>
    </row>
    <row r="34">
      <c r="A34" s="184">
        <v>44125.0</v>
      </c>
      <c r="B34" s="229" t="s">
        <v>302</v>
      </c>
      <c r="C34" s="230" t="s">
        <v>303</v>
      </c>
      <c r="D34" s="231" t="s">
        <v>415</v>
      </c>
      <c r="E34" s="231">
        <v>-114.0</v>
      </c>
      <c r="F34" s="232">
        <v>54.985</v>
      </c>
      <c r="G34" s="233">
        <v>6268.29</v>
      </c>
      <c r="H34" s="234" t="s">
        <v>464</v>
      </c>
      <c r="I34" s="235">
        <f t="array" ref="I34">IFS(AND($B34&lt;&gt;"",$E34&lt;&gt;""),IF(INDEX(HistoricSummary!D:D,MATCH($C34,HistoricSummary!$A:$A,0),1)&lt;&gt;"",$E34*INDEX(HistoricSummary!D:D,MATCH($C34,HistoricSummary!$A:$A,0),1)+$G34,""),AND($B34&lt;&gt;"",$D34="COST",$G34&lt;0),$G34,TRUE,)</f>
        <v>-302.442</v>
      </c>
      <c r="J34" s="235">
        <f t="array" ref="J34">IFS(AND($B34&lt;&gt;"",$E34&lt;&gt;""),IF(INDEX(HistoricSummary!E:E,MATCH($C34,HistoricSummary!$A:$A,0),1)&lt;&gt;"",$E34*INDEX(HistoricSummary!E:E,MATCH($C34,HistoricSummary!$A:$A,0),1)+$G34,""),AND($B34&lt;&gt;"",$D34="COST",$G34&lt;0),$G34,TRUE,)</f>
        <v>222.6216744</v>
      </c>
    </row>
    <row r="35">
      <c r="A35" s="184">
        <v>44125.0</v>
      </c>
      <c r="B35" s="229" t="s">
        <v>302</v>
      </c>
      <c r="C35" s="230" t="s">
        <v>303</v>
      </c>
      <c r="D35" s="231" t="s">
        <v>415</v>
      </c>
      <c r="E35" s="231">
        <v>-228.0</v>
      </c>
      <c r="F35" s="232">
        <v>55.1</v>
      </c>
      <c r="G35" s="233">
        <v>12562.8</v>
      </c>
      <c r="H35" s="234" t="s">
        <v>465</v>
      </c>
      <c r="I35" s="235">
        <f t="array" ref="I35">IFS(AND($B35&lt;&gt;"",$E35&lt;&gt;""),IF(INDEX(HistoricSummary!D:D,MATCH($C35,HistoricSummary!$A:$A,0),1)&lt;&gt;"",$E35*INDEX(HistoricSummary!D:D,MATCH($C35,HistoricSummary!$A:$A,0),1)+$G35,""),AND($B35&lt;&gt;"",$D35="COST",$G35&lt;0),$G35,TRUE,)</f>
        <v>-578.664</v>
      </c>
      <c r="J35" s="235">
        <f t="array" ref="J35">IFS(AND($B35&lt;&gt;"",$E35&lt;&gt;""),IF(INDEX(HistoricSummary!E:E,MATCH($C35,HistoricSummary!$A:$A,0),1)&lt;&gt;"",$E35*INDEX(HistoricSummary!E:E,MATCH($C35,HistoricSummary!$A:$A,0),1)+$G35,""),AND($B35&lt;&gt;"",$D35="COST",$G35&lt;0),$G35,TRUE,)</f>
        <v>471.4633488</v>
      </c>
    </row>
    <row r="36">
      <c r="A36" s="184">
        <v>44125.0</v>
      </c>
      <c r="B36" s="229" t="s">
        <v>302</v>
      </c>
      <c r="C36" s="230" t="s">
        <v>303</v>
      </c>
      <c r="D36" s="231" t="s">
        <v>415</v>
      </c>
      <c r="E36" s="231">
        <v>-228.0</v>
      </c>
      <c r="F36" s="232">
        <v>55.07</v>
      </c>
      <c r="G36" s="233">
        <v>12555.96</v>
      </c>
      <c r="H36" s="234" t="s">
        <v>466</v>
      </c>
      <c r="I36" s="235">
        <f t="array" ref="I36">IFS(AND($B36&lt;&gt;"",$E36&lt;&gt;""),IF(INDEX(HistoricSummary!D:D,MATCH($C36,HistoricSummary!$A:$A,0),1)&lt;&gt;"",$E36*INDEX(HistoricSummary!D:D,MATCH($C36,HistoricSummary!$A:$A,0),1)+$G36,""),AND($B36&lt;&gt;"",$D36="COST",$G36&lt;0),$G36,TRUE,)</f>
        <v>-585.504</v>
      </c>
      <c r="J36" s="235">
        <f t="array" ref="J36">IFS(AND($B36&lt;&gt;"",$E36&lt;&gt;""),IF(INDEX(HistoricSummary!E:E,MATCH($C36,HistoricSummary!$A:$A,0),1)&lt;&gt;"",$E36*INDEX(HistoricSummary!E:E,MATCH($C36,HistoricSummary!$A:$A,0),1)+$G36,""),AND($B36&lt;&gt;"",$D36="COST",$G36&lt;0),$G36,TRUE,)</f>
        <v>464.6233488</v>
      </c>
    </row>
    <row r="37">
      <c r="A37" s="184">
        <v>44124.0</v>
      </c>
      <c r="B37" s="229" t="s">
        <v>298</v>
      </c>
      <c r="C37" s="230" t="s">
        <v>299</v>
      </c>
      <c r="D37" s="231" t="s">
        <v>414</v>
      </c>
      <c r="E37" s="231">
        <v>16500.0</v>
      </c>
      <c r="F37" s="232">
        <v>5.065</v>
      </c>
      <c r="G37" s="233">
        <v>-83572.5</v>
      </c>
      <c r="H37" s="234" t="s">
        <v>467</v>
      </c>
      <c r="I37" s="235">
        <f t="array" ref="I37">IFS(AND($B37&lt;&gt;"",$E37&lt;&gt;""),IF(INDEX(HistoricSummary!D:D,MATCH($C37,HistoricSummary!$A:$A,0),1)&lt;&gt;"",$E37*INDEX(HistoricSummary!D:D,MATCH($C37,HistoricSummary!$A:$A,0),1)+$G37,""),AND($B37&lt;&gt;"",$D37="COST",$G37&lt;0),$G37,TRUE,)</f>
        <v>-1983.3</v>
      </c>
      <c r="J37" s="235">
        <f t="array" ref="J37">IFS(AND($B37&lt;&gt;"",$E37&lt;&gt;""),IF(INDEX(HistoricSummary!E:E,MATCH($C37,HistoricSummary!$A:$A,0),1)&lt;&gt;"",$E37*INDEX(HistoricSummary!E:E,MATCH($C37,HistoricSummary!$A:$A,0),1)+$G37,""),AND($B37&lt;&gt;"",$D37="COST",$G37&lt;0),$G37,TRUE,)</f>
        <v>2234.854651</v>
      </c>
    </row>
    <row r="38">
      <c r="A38" s="184">
        <v>44124.0</v>
      </c>
      <c r="B38" s="229" t="s">
        <v>298</v>
      </c>
      <c r="C38" s="230" t="s">
        <v>299</v>
      </c>
      <c r="D38" s="231" t="s">
        <v>432</v>
      </c>
      <c r="E38" s="231"/>
      <c r="F38" s="232"/>
      <c r="G38" s="233">
        <v>-18.71</v>
      </c>
      <c r="H38" s="234" t="s">
        <v>468</v>
      </c>
      <c r="I38" s="235">
        <f t="array" ref="I38">IFS(AND($B38&lt;&gt;"",$E38&lt;&gt;""),IF(INDEX(HistoricSummary!D:D,MATCH($C38,HistoricSummary!$A:$A,0),1)&lt;&gt;"",$E38*INDEX(HistoricSummary!D:D,MATCH($C38,HistoricSummary!$A:$A,0),1)+$G38,""),AND($B38&lt;&gt;"",$D38="COST",$G38&lt;0),$G38,TRUE,)</f>
        <v>-18.71</v>
      </c>
      <c r="J38" s="235">
        <f t="array" ref="J38">IFS(AND($B38&lt;&gt;"",$E38&lt;&gt;""),IF(INDEX(HistoricSummary!E:E,MATCH($C38,HistoricSummary!$A:$A,0),1)&lt;&gt;"",$E38*INDEX(HistoricSummary!E:E,MATCH($C38,HistoricSummary!$A:$A,0),1)+$G38,""),AND($B38&lt;&gt;"",$D38="COST",$G38&lt;0),$G38,TRUE,)</f>
        <v>-18.71</v>
      </c>
    </row>
    <row r="39">
      <c r="A39" s="184">
        <v>44118.0</v>
      </c>
      <c r="B39" s="229" t="s">
        <v>292</v>
      </c>
      <c r="C39" s="230" t="s">
        <v>293</v>
      </c>
      <c r="D39" s="231" t="s">
        <v>414</v>
      </c>
      <c r="E39" s="231">
        <v>7.0</v>
      </c>
      <c r="F39" s="232">
        <v>190.25</v>
      </c>
      <c r="G39" s="233">
        <v>-1331.75</v>
      </c>
      <c r="H39" s="234" t="s">
        <v>469</v>
      </c>
      <c r="I39" s="235">
        <f t="array" ref="I39">IFS(AND($B39&lt;&gt;"",$E39&lt;&gt;""),IF(INDEX(HistoricSummary!D:D,MATCH($C39,HistoricSummary!$A:$A,0),1)&lt;&gt;"",$E39*INDEX(HistoricSummary!D:D,MATCH($C39,HistoricSummary!$A:$A,0),1)+$G39,""),AND($B39&lt;&gt;"",$D39="COST",$G39&lt;0),$G39,TRUE,)</f>
        <v>-26.53</v>
      </c>
      <c r="J39" s="235">
        <f t="array" ref="J39">IFS(AND($B39&lt;&gt;"",$E39&lt;&gt;""),IF(INDEX(HistoricSummary!E:E,MATCH($C39,HistoricSummary!$A:$A,0),1)&lt;&gt;"",$E39*INDEX(HistoricSummary!E:E,MATCH($C39,HistoricSummary!$A:$A,0),1)+$G39,""),AND($B39&lt;&gt;"",$D39="COST",$G39&lt;0),$G39,TRUE,)</f>
        <v>18.47782946</v>
      </c>
    </row>
    <row r="40">
      <c r="A40" s="184">
        <v>44116.0</v>
      </c>
      <c r="B40" s="229" t="s">
        <v>292</v>
      </c>
      <c r="C40" s="230" t="s">
        <v>293</v>
      </c>
      <c r="D40" s="231" t="s">
        <v>414</v>
      </c>
      <c r="E40" s="231">
        <v>12.0</v>
      </c>
      <c r="F40" s="232">
        <v>188.35</v>
      </c>
      <c r="G40" s="233">
        <v>-2260.2</v>
      </c>
      <c r="H40" s="234" t="s">
        <v>470</v>
      </c>
      <c r="I40" s="235">
        <f t="array" ref="I40">IFS(AND($B40&lt;&gt;"",$E40&lt;&gt;""),IF(INDEX(HistoricSummary!D:D,MATCH($C40,HistoricSummary!$A:$A,0),1)&lt;&gt;"",$E40*INDEX(HistoricSummary!D:D,MATCH($C40,HistoricSummary!$A:$A,0),1)+$G40,""),AND($B40&lt;&gt;"",$D40="COST",$G40&lt;0),$G40,TRUE,)</f>
        <v>-22.68</v>
      </c>
      <c r="J40" s="235">
        <f t="array" ref="J40">IFS(AND($B40&lt;&gt;"",$E40&lt;&gt;""),IF(INDEX(HistoricSummary!E:E,MATCH($C40,HistoricSummary!$A:$A,0),1)&lt;&gt;"",$E40*INDEX(HistoricSummary!E:E,MATCH($C40,HistoricSummary!$A:$A,0),1)+$G40,""),AND($B40&lt;&gt;"",$D40="COST",$G40&lt;0),$G40,TRUE,)</f>
        <v>54.47627907</v>
      </c>
    </row>
    <row r="41">
      <c r="A41" s="184">
        <v>44113.0</v>
      </c>
      <c r="B41" s="229" t="s">
        <v>298</v>
      </c>
      <c r="C41" s="230" t="s">
        <v>299</v>
      </c>
      <c r="D41" s="231" t="s">
        <v>414</v>
      </c>
      <c r="E41" s="231">
        <v>49514.0</v>
      </c>
      <c r="F41" s="232">
        <v>5.049</v>
      </c>
      <c r="G41" s="233">
        <v>-249996.19</v>
      </c>
      <c r="H41" s="234" t="s">
        <v>471</v>
      </c>
      <c r="I41" s="235">
        <f t="array" ref="I41">IFS(AND($B41&lt;&gt;"",$E41&lt;&gt;""),IF(INDEX(HistoricSummary!D:D,MATCH($C41,HistoricSummary!$A:$A,0),1)&lt;&gt;"",$E41*INDEX(HistoricSummary!D:D,MATCH($C41,HistoricSummary!$A:$A,0),1)+$G41,""),AND($B41&lt;&gt;"",$D41="COST",$G41&lt;0),$G41,TRUE,)</f>
        <v>-5159.3628</v>
      </c>
      <c r="J41" s="235">
        <f t="array" ref="J41">IFS(AND($B41&lt;&gt;"",$E41&lt;&gt;""),IF(INDEX(HistoricSummary!E:E,MATCH($C41,HistoricSummary!$A:$A,0),1)&lt;&gt;"",$E41*INDEX(HistoricSummary!E:E,MATCH($C41,HistoricSummary!$A:$A,0),1)+$G41,""),AND($B41&lt;&gt;"",$D41="COST",$G41&lt;0),$G41,TRUE,)</f>
        <v>7498.680194</v>
      </c>
    </row>
    <row r="42">
      <c r="A42" s="184">
        <v>44113.0</v>
      </c>
      <c r="B42" s="229" t="s">
        <v>298</v>
      </c>
      <c r="C42" s="230" t="s">
        <v>299</v>
      </c>
      <c r="D42" s="231" t="s">
        <v>432</v>
      </c>
      <c r="E42" s="231"/>
      <c r="F42" s="232"/>
      <c r="G42" s="233">
        <v>-52.0</v>
      </c>
      <c r="H42" s="234" t="s">
        <v>472</v>
      </c>
      <c r="I42" s="235">
        <f t="array" ref="I42">IFS(AND($B42&lt;&gt;"",$E42&lt;&gt;""),IF(INDEX(HistoricSummary!D:D,MATCH($C42,HistoricSummary!$A:$A,0),1)&lt;&gt;"",$E42*INDEX(HistoricSummary!D:D,MATCH($C42,HistoricSummary!$A:$A,0),1)+$G42,""),AND($B42&lt;&gt;"",$D42="COST",$G42&lt;0),$G42,TRUE,)</f>
        <v>-52</v>
      </c>
      <c r="J42" s="235">
        <f t="array" ref="J42">IFS(AND($B42&lt;&gt;"",$E42&lt;&gt;""),IF(INDEX(HistoricSummary!E:E,MATCH($C42,HistoricSummary!$A:$A,0),1)&lt;&gt;"",$E42*INDEX(HistoricSummary!E:E,MATCH($C42,HistoricSummary!$A:$A,0),1)+$G42,""),AND($B42&lt;&gt;"",$D42="COST",$G42&lt;0),$G42,TRUE,)</f>
        <v>-52</v>
      </c>
    </row>
    <row r="43">
      <c r="A43" s="184">
        <v>44113.0</v>
      </c>
      <c r="B43" s="229" t="s">
        <v>292</v>
      </c>
      <c r="C43" s="230" t="s">
        <v>293</v>
      </c>
      <c r="D43" s="231" t="s">
        <v>414</v>
      </c>
      <c r="E43" s="231">
        <v>9.0</v>
      </c>
      <c r="F43" s="232">
        <v>188.55</v>
      </c>
      <c r="G43" s="233">
        <v>-1696.95</v>
      </c>
      <c r="H43" s="234" t="s">
        <v>473</v>
      </c>
      <c r="I43" s="235">
        <f t="array" ref="I43">IFS(AND($B43&lt;&gt;"",$E43&lt;&gt;""),IF(INDEX(HistoricSummary!D:D,MATCH($C43,HistoricSummary!$A:$A,0),1)&lt;&gt;"",$E43*INDEX(HistoricSummary!D:D,MATCH($C43,HistoricSummary!$A:$A,0),1)+$G43,""),AND($B43&lt;&gt;"",$D43="COST",$G43&lt;0),$G43,TRUE,)</f>
        <v>-18.81</v>
      </c>
      <c r="J43" s="235">
        <f t="array" ref="J43">IFS(AND($B43&lt;&gt;"",$E43&lt;&gt;""),IF(INDEX(HistoricSummary!E:E,MATCH($C43,HistoricSummary!$A:$A,0),1)&lt;&gt;"",$E43*INDEX(HistoricSummary!E:E,MATCH($C43,HistoricSummary!$A:$A,0),1)+$G43,""),AND($B43&lt;&gt;"",$D43="COST",$G43&lt;0),$G43,TRUE,)</f>
        <v>39.0572093</v>
      </c>
    </row>
    <row r="44">
      <c r="A44" s="184">
        <v>44112.0</v>
      </c>
      <c r="B44" s="229" t="s">
        <v>292</v>
      </c>
      <c r="C44" s="230" t="s">
        <v>293</v>
      </c>
      <c r="D44" s="231" t="s">
        <v>414</v>
      </c>
      <c r="E44" s="231">
        <v>7.0</v>
      </c>
      <c r="F44" s="232">
        <v>189.0</v>
      </c>
      <c r="G44" s="233">
        <v>-1323.0</v>
      </c>
      <c r="H44" s="234" t="s">
        <v>474</v>
      </c>
      <c r="I44" s="235">
        <f t="array" ref="I44">IFS(AND($B44&lt;&gt;"",$E44&lt;&gt;""),IF(INDEX(HistoricSummary!D:D,MATCH($C44,HistoricSummary!$A:$A,0),1)&lt;&gt;"",$E44*INDEX(HistoricSummary!D:D,MATCH($C44,HistoricSummary!$A:$A,0),1)+$G44,""),AND($B44&lt;&gt;"",$D44="COST",$G44&lt;0),$G44,TRUE,)</f>
        <v>-17.78</v>
      </c>
      <c r="J44" s="235">
        <f t="array" ref="J44">IFS(AND($B44&lt;&gt;"",$E44&lt;&gt;""),IF(INDEX(HistoricSummary!E:E,MATCH($C44,HistoricSummary!$A:$A,0),1)&lt;&gt;"",$E44*INDEX(HistoricSummary!E:E,MATCH($C44,HistoricSummary!$A:$A,0),1)+$G44,""),AND($B44&lt;&gt;"",$D44="COST",$G44&lt;0),$G44,TRUE,)</f>
        <v>27.22782946</v>
      </c>
    </row>
    <row r="45">
      <c r="A45" s="184">
        <v>44111.0</v>
      </c>
      <c r="B45" s="229" t="s">
        <v>302</v>
      </c>
      <c r="C45" s="230" t="s">
        <v>303</v>
      </c>
      <c r="D45" s="231" t="s">
        <v>475</v>
      </c>
      <c r="E45" s="231"/>
      <c r="F45" s="232"/>
      <c r="G45" s="233">
        <v>1677.14</v>
      </c>
      <c r="H45" s="234" t="s">
        <v>476</v>
      </c>
      <c r="I45" s="235" t="str">
        <f t="array" ref="I45">IFS(AND($B45&lt;&gt;"",$E45&lt;&gt;""),IF(INDEX(HistoricSummary!D:D,MATCH($C45,HistoricSummary!$A:$A,0),1)&lt;&gt;"",$E45*INDEX(HistoricSummary!D:D,MATCH($C45,HistoricSummary!$A:$A,0),1)+$G45,""),AND($B45&lt;&gt;"",$D45="COST",$G45&lt;0),$G45,TRUE,)</f>
        <v/>
      </c>
      <c r="J45" s="235" t="str">
        <f t="array" ref="J45">IFS(AND($B45&lt;&gt;"",$E45&lt;&gt;""),IF(INDEX(HistoricSummary!E:E,MATCH($C45,HistoricSummary!$A:$A,0),1)&lt;&gt;"",$E45*INDEX(HistoricSummary!E:E,MATCH($C45,HistoricSummary!$A:$A,0),1)+$G45,""),AND($B45&lt;&gt;"",$D45="COST",$G45&lt;0),$G45,TRUE,)</f>
        <v/>
      </c>
    </row>
    <row r="46">
      <c r="A46" s="184">
        <v>44111.0</v>
      </c>
      <c r="B46" s="229" t="s">
        <v>302</v>
      </c>
      <c r="C46" s="230" t="s">
        <v>303</v>
      </c>
      <c r="D46" s="231" t="s">
        <v>475</v>
      </c>
      <c r="E46" s="231"/>
      <c r="F46" s="232"/>
      <c r="G46" s="233">
        <v>-253.0</v>
      </c>
      <c r="H46" s="234" t="s">
        <v>477</v>
      </c>
      <c r="I46" s="235" t="str">
        <f t="array" ref="I46">IFS(AND($B46&lt;&gt;"",$E46&lt;&gt;""),IF(INDEX(HistoricSummary!D:D,MATCH($C46,HistoricSummary!$A:$A,0),1)&lt;&gt;"",$E46*INDEX(HistoricSummary!D:D,MATCH($C46,HistoricSummary!$A:$A,0),1)+$G46,""),AND($B46&lt;&gt;"",$D46="COST",$G46&lt;0),$G46,TRUE,)</f>
        <v/>
      </c>
      <c r="J46" s="235" t="str">
        <f t="array" ref="J46">IFS(AND($B46&lt;&gt;"",$E46&lt;&gt;""),IF(INDEX(HistoricSummary!E:E,MATCH($C46,HistoricSummary!$A:$A,0),1)&lt;&gt;"",$E46*INDEX(HistoricSummary!E:E,MATCH($C46,HistoricSummary!$A:$A,0),1)+$G46,""),AND($B46&lt;&gt;"",$D46="COST",$G46&lt;0),$G46,TRUE,)</f>
        <v/>
      </c>
    </row>
    <row r="47">
      <c r="A47" s="184">
        <v>44110.0</v>
      </c>
      <c r="B47" s="229"/>
      <c r="C47" s="230"/>
      <c r="D47" s="231" t="s">
        <v>454</v>
      </c>
      <c r="E47" s="231"/>
      <c r="F47" s="232"/>
      <c r="G47" s="233">
        <v>-1000.0</v>
      </c>
      <c r="H47" s="234" t="s">
        <v>459</v>
      </c>
      <c r="I47" s="235" t="str">
        <f t="array" ref="I47">IFS(AND($B47&lt;&gt;"",$E47&lt;&gt;""),IF(INDEX(HistoricSummary!D:D,MATCH($C47,HistoricSummary!$A:$A,0),1)&lt;&gt;"",$E47*INDEX(HistoricSummary!D:D,MATCH($C47,HistoricSummary!$A:$A,0),1)+$G47,""),AND($B47&lt;&gt;"",$D47="COST",$G47&lt;0),$G47,TRUE,)</f>
        <v/>
      </c>
      <c r="J47" s="235" t="str">
        <f t="array" ref="J47">IFS(AND($B47&lt;&gt;"",$E47&lt;&gt;""),IF(INDEX(HistoricSummary!E:E,MATCH($C47,HistoricSummary!$A:$A,0),1)&lt;&gt;"",$E47*INDEX(HistoricSummary!E:E,MATCH($C47,HistoricSummary!$A:$A,0),1)+$G47,""),AND($B47&lt;&gt;"",$D47="COST",$G47&lt;0),$G47,TRUE,)</f>
        <v/>
      </c>
    </row>
    <row r="48">
      <c r="A48" s="184">
        <v>44106.0</v>
      </c>
      <c r="B48" s="229"/>
      <c r="C48" s="230"/>
      <c r="D48" s="231" t="s">
        <v>432</v>
      </c>
      <c r="E48" s="231"/>
      <c r="F48" s="232"/>
      <c r="G48" s="233">
        <v>-0.82</v>
      </c>
      <c r="H48" s="234" t="s">
        <v>478</v>
      </c>
      <c r="I48" s="235" t="str">
        <f t="array" ref="I48">IFS(AND($B48&lt;&gt;"",$E48&lt;&gt;""),IF(INDEX(HistoricSummary!D:D,MATCH($C48,HistoricSummary!$A:$A,0),1)&lt;&gt;"",$E48*INDEX(HistoricSummary!D:D,MATCH($C48,HistoricSummary!$A:$A,0),1)+$G48,""),AND($B48&lt;&gt;"",$D48="COST",$G48&lt;0),$G48,TRUE,)</f>
        <v/>
      </c>
      <c r="J48" s="235" t="str">
        <f t="array" ref="J48">IFS(AND($B48&lt;&gt;"",$E48&lt;&gt;""),IF(INDEX(HistoricSummary!E:E,MATCH($C48,HistoricSummary!$A:$A,0),1)&lt;&gt;"",$E48*INDEX(HistoricSummary!E:E,MATCH($C48,HistoricSummary!$A:$A,0),1)+$G48,""),AND($B48&lt;&gt;"",$D48="COST",$G48&lt;0),$G48,TRUE,)</f>
        <v/>
      </c>
    </row>
    <row r="49">
      <c r="A49" s="184">
        <v>44106.0</v>
      </c>
      <c r="B49" s="229"/>
      <c r="C49" s="230"/>
      <c r="D49" s="231" t="s">
        <v>432</v>
      </c>
      <c r="E49" s="231"/>
      <c r="F49" s="232"/>
      <c r="G49" s="233">
        <v>0.82</v>
      </c>
      <c r="H49" s="234" t="s">
        <v>479</v>
      </c>
      <c r="I49" s="235" t="str">
        <f t="array" ref="I49">IFS(AND($B49&lt;&gt;"",$E49&lt;&gt;""),IF(INDEX(HistoricSummary!D:D,MATCH($C49,HistoricSummary!$A:$A,0),1)&lt;&gt;"",$E49*INDEX(HistoricSummary!D:D,MATCH($C49,HistoricSummary!$A:$A,0),1)+$G49,""),AND($B49&lt;&gt;"",$D49="COST",$G49&lt;0),$G49,TRUE,)</f>
        <v/>
      </c>
      <c r="J49" s="235" t="str">
        <f t="array" ref="J49">IFS(AND($B49&lt;&gt;"",$E49&lt;&gt;""),IF(INDEX(HistoricSummary!E:E,MATCH($C49,HistoricSummary!$A:$A,0),1)&lt;&gt;"",$E49*INDEX(HistoricSummary!E:E,MATCH($C49,HistoricSummary!$A:$A,0),1)+$G49,""),AND($B49&lt;&gt;"",$D49="COST",$G49&lt;0),$G49,TRUE,)</f>
        <v/>
      </c>
    </row>
    <row r="50">
      <c r="A50" s="184">
        <v>44105.0</v>
      </c>
      <c r="B50" s="229" t="s">
        <v>292</v>
      </c>
      <c r="C50" s="230" t="s">
        <v>293</v>
      </c>
      <c r="D50" s="231" t="s">
        <v>414</v>
      </c>
      <c r="E50" s="231">
        <v>10.0</v>
      </c>
      <c r="F50" s="232">
        <v>190.55</v>
      </c>
      <c r="G50" s="233">
        <v>-1905.5</v>
      </c>
      <c r="H50" s="236" t="s">
        <v>480</v>
      </c>
      <c r="I50" s="235">
        <f t="array" ref="I50">IFS(AND($B50&lt;&gt;"",$E50&lt;&gt;""),IF(INDEX(HistoricSummary!D:D,MATCH($C50,HistoricSummary!$A:$A,0),1)&lt;&gt;"",$E50*INDEX(HistoricSummary!D:D,MATCH($C50,HistoricSummary!$A:$A,0),1)+$G50,""),AND($B50&lt;&gt;"",$D50="COST",$G50&lt;0),$G50,TRUE,)</f>
        <v>-40.9</v>
      </c>
      <c r="J50" s="235">
        <f t="array" ref="J50">IFS(AND($B50&lt;&gt;"",$E50&lt;&gt;""),IF(INDEX(HistoricSummary!E:E,MATCH($C50,HistoricSummary!$A:$A,0),1)&lt;&gt;"",$E50*INDEX(HistoricSummary!E:E,MATCH($C50,HistoricSummary!$A:$A,0),1)+$G50,""),AND($B50&lt;&gt;"",$D50="COST",$G50&lt;0),$G50,TRUE,)</f>
        <v>23.39689922</v>
      </c>
    </row>
    <row r="51">
      <c r="A51" s="184">
        <v>44104.0</v>
      </c>
      <c r="B51" s="229"/>
      <c r="C51" s="230"/>
      <c r="D51" s="231" t="s">
        <v>432</v>
      </c>
      <c r="E51" s="231"/>
      <c r="F51" s="232"/>
      <c r="G51" s="233">
        <v>-729.38</v>
      </c>
      <c r="H51" s="234" t="s">
        <v>481</v>
      </c>
      <c r="I51" s="235" t="str">
        <f t="array" ref="I51">IFS(AND($B51&lt;&gt;"",$E51&lt;&gt;""),IF(INDEX(HistoricSummary!D:D,MATCH($C51,HistoricSummary!$A:$A,0),1)&lt;&gt;"",$E51*INDEX(HistoricSummary!D:D,MATCH($C51,HistoricSummary!$A:$A,0),1)+$G51,""),AND($B51&lt;&gt;"",$D51="COST",$G51&lt;0),$G51,TRUE,)</f>
        <v/>
      </c>
      <c r="J51" s="235" t="str">
        <f t="array" ref="J51">IFS(AND($B51&lt;&gt;"",$E51&lt;&gt;""),IF(INDEX(HistoricSummary!E:E,MATCH($C51,HistoricSummary!$A:$A,0),1)&lt;&gt;"",$E51*INDEX(HistoricSummary!E:E,MATCH($C51,HistoricSummary!$A:$A,0),1)+$G51,""),AND($B51&lt;&gt;"",$D51="COST",$G51&lt;0),$G51,TRUE,)</f>
        <v/>
      </c>
    </row>
    <row r="52">
      <c r="A52" s="184">
        <v>44104.0</v>
      </c>
      <c r="B52" s="229" t="s">
        <v>292</v>
      </c>
      <c r="C52" s="230" t="s">
        <v>293</v>
      </c>
      <c r="D52" s="231" t="s">
        <v>414</v>
      </c>
      <c r="E52" s="231">
        <v>50.0</v>
      </c>
      <c r="F52" s="232">
        <v>191.16</v>
      </c>
      <c r="G52" s="233">
        <v>-9558.0</v>
      </c>
      <c r="H52" s="230" t="s">
        <v>482</v>
      </c>
      <c r="I52" s="235">
        <f t="array" ref="I52">IFS(AND($B52&lt;&gt;"",$E52&lt;&gt;""),IF(INDEX(HistoricSummary!D:D,MATCH($C52,HistoricSummary!$A:$A,0),1)&lt;&gt;"",$E52*INDEX(HistoricSummary!D:D,MATCH($C52,HistoricSummary!$A:$A,0),1)+$G52,""),AND($B52&lt;&gt;"",$D52="COST",$G52&lt;0),$G52,TRUE,)</f>
        <v>-235</v>
      </c>
      <c r="J52" s="235">
        <f t="array" ref="J52">IFS(AND($B52&lt;&gt;"",$E52&lt;&gt;""),IF(INDEX(HistoricSummary!E:E,MATCH($C52,HistoricSummary!$A:$A,0),1)&lt;&gt;"",$E52*INDEX(HistoricSummary!E:E,MATCH($C52,HistoricSummary!$A:$A,0),1)+$G52,""),AND($B52&lt;&gt;"",$D52="COST",$G52&lt;0),$G52,TRUE,)</f>
        <v>86.48449612</v>
      </c>
    </row>
    <row r="53">
      <c r="A53" s="184">
        <v>44096.0</v>
      </c>
      <c r="B53" s="229"/>
      <c r="C53" s="230"/>
      <c r="D53" s="231" t="s">
        <v>454</v>
      </c>
      <c r="E53" s="231"/>
      <c r="F53" s="232"/>
      <c r="G53" s="233">
        <v>40000.0</v>
      </c>
      <c r="H53" s="230" t="s">
        <v>483</v>
      </c>
      <c r="I53" s="235" t="str">
        <f t="array" ref="I53">IFS(AND($B53&lt;&gt;"",$E53&lt;&gt;""),IF(INDEX(HistoricSummary!D:D,MATCH($C53,HistoricSummary!$A:$A,0),1)&lt;&gt;"",$E53*INDEX(HistoricSummary!D:D,MATCH($C53,HistoricSummary!$A:$A,0),1)+$G53,""),AND($B53&lt;&gt;"",$D53="COST",$G53&lt;0),$G53,TRUE,)</f>
        <v/>
      </c>
      <c r="J53" s="235" t="str">
        <f t="array" ref="J53">IFS(AND($B53&lt;&gt;"",$E53&lt;&gt;""),IF(INDEX(HistoricSummary!E:E,MATCH($C53,HistoricSummary!$A:$A,0),1)&lt;&gt;"",$E53*INDEX(HistoricSummary!E:E,MATCH($C53,HistoricSummary!$A:$A,0),1)+$G53,""),AND($B53&lt;&gt;"",$D53="COST",$G53&lt;0),$G53,TRUE,)</f>
        <v/>
      </c>
    </row>
    <row r="54">
      <c r="A54" s="184">
        <v>44090.0</v>
      </c>
      <c r="B54" s="229"/>
      <c r="C54" s="230"/>
      <c r="D54" s="231" t="s">
        <v>454</v>
      </c>
      <c r="E54" s="231"/>
      <c r="F54" s="232"/>
      <c r="G54" s="233">
        <v>-1500.0</v>
      </c>
      <c r="H54" s="230" t="s">
        <v>484</v>
      </c>
      <c r="I54" s="235" t="str">
        <f t="array" ref="I54">IFS(AND($B54&lt;&gt;"",$E54&lt;&gt;""),IF(INDEX(HistoricSummary!D:D,MATCH($C54,HistoricSummary!$A:$A,0),1)&lt;&gt;"",$E54*INDEX(HistoricSummary!D:D,MATCH($C54,HistoricSummary!$A:$A,0),1)+$G54,""),AND($B54&lt;&gt;"",$D54="COST",$G54&lt;0),$G54,TRUE,)</f>
        <v/>
      </c>
      <c r="J54" s="235" t="str">
        <f t="array" ref="J54">IFS(AND($B54&lt;&gt;"",$E54&lt;&gt;""),IF(INDEX(HistoricSummary!E:E,MATCH($C54,HistoricSummary!$A:$A,0),1)&lt;&gt;"",$E54*INDEX(HistoricSummary!E:E,MATCH($C54,HistoricSummary!$A:$A,0),1)+$G54,""),AND($B54&lt;&gt;"",$D54="COST",$G54&lt;0),$G54,TRUE,)</f>
        <v/>
      </c>
    </row>
    <row r="55">
      <c r="A55" s="184">
        <v>44085.0</v>
      </c>
      <c r="B55" s="229"/>
      <c r="C55" s="230"/>
      <c r="D55" s="231" t="s">
        <v>454</v>
      </c>
      <c r="E55" s="231"/>
      <c r="F55" s="232"/>
      <c r="G55" s="233">
        <v>-1000.0</v>
      </c>
      <c r="H55" s="230" t="s">
        <v>459</v>
      </c>
      <c r="I55" s="235" t="str">
        <f t="array" ref="I55">IFS(AND($B55&lt;&gt;"",$E55&lt;&gt;""),IF(INDEX(HistoricSummary!D:D,MATCH($C55,HistoricSummary!$A:$A,0),1)&lt;&gt;"",$E55*INDEX(HistoricSummary!D:D,MATCH($C55,HistoricSummary!$A:$A,0),1)+$G55,""),AND($B55&lt;&gt;"",$D55="COST",$G55&lt;0),$G55,TRUE,)</f>
        <v/>
      </c>
      <c r="J55" s="235" t="str">
        <f t="array" ref="J55">IFS(AND($B55&lt;&gt;"",$E55&lt;&gt;""),IF(INDEX(HistoricSummary!E:E,MATCH($C55,HistoricSummary!$A:$A,0),1)&lt;&gt;"",$E55*INDEX(HistoricSummary!E:E,MATCH($C55,HistoricSummary!$A:$A,0),1)+$G55,""),AND($B55&lt;&gt;"",$D55="COST",$G55&lt;0),$G55,TRUE,)</f>
        <v/>
      </c>
    </row>
    <row r="56">
      <c r="A56" s="184">
        <v>44077.0</v>
      </c>
      <c r="B56" s="229" t="s">
        <v>302</v>
      </c>
      <c r="C56" s="230" t="s">
        <v>303</v>
      </c>
      <c r="D56" s="231" t="s">
        <v>415</v>
      </c>
      <c r="E56" s="231">
        <v>-2048.0</v>
      </c>
      <c r="F56" s="232">
        <v>57.4</v>
      </c>
      <c r="G56" s="233">
        <v>117555.2</v>
      </c>
      <c r="H56" s="230" t="s">
        <v>485</v>
      </c>
      <c r="I56" s="235">
        <f t="array" ref="I56">IFS(AND($B56&lt;&gt;"",$E56&lt;&gt;""),IF(INDEX(HistoricSummary!D:D,MATCH($C56,HistoricSummary!$A:$A,0),1)&lt;&gt;"",$E56*INDEX(HistoricSummary!D:D,MATCH($C56,HistoricSummary!$A:$A,0),1)+$G56,""),AND($B56&lt;&gt;"",$D56="COST",$G56&lt;0),$G56,TRUE,)</f>
        <v>-487.424</v>
      </c>
      <c r="J56" s="235">
        <f t="array" ref="J56">IFS(AND($B56&lt;&gt;"",$E56&lt;&gt;""),IF(INDEX(HistoricSummary!E:E,MATCH($C56,HistoricSummary!$A:$A,0),1)&lt;&gt;"",$E56*INDEX(HistoricSummary!E:E,MATCH($C56,HistoricSummary!$A:$A,0),1)+$G56,""),AND($B56&lt;&gt;"",$D56="COST",$G56&lt;0),$G56,TRUE,)</f>
        <v>8945.298853</v>
      </c>
    </row>
    <row r="57">
      <c r="A57" s="184">
        <v>44076.0</v>
      </c>
      <c r="B57" s="229" t="s">
        <v>292</v>
      </c>
      <c r="C57" s="230" t="s">
        <v>293</v>
      </c>
      <c r="D57" s="231" t="s">
        <v>414</v>
      </c>
      <c r="E57" s="231">
        <v>6.0</v>
      </c>
      <c r="F57" s="232">
        <v>188.37</v>
      </c>
      <c r="G57" s="233">
        <v>-1130.22</v>
      </c>
      <c r="H57" s="230" t="s">
        <v>486</v>
      </c>
      <c r="I57" s="235">
        <f t="array" ref="I57">IFS(AND($B57&lt;&gt;"",$E57&lt;&gt;""),IF(INDEX(HistoricSummary!D:D,MATCH($C57,HistoricSummary!$A:$A,0),1)&lt;&gt;"",$E57*INDEX(HistoricSummary!D:D,MATCH($C57,HistoricSummary!$A:$A,0),1)+$G57,""),AND($B57&lt;&gt;"",$D57="COST",$G57&lt;0),$G57,TRUE,)</f>
        <v>-11.46</v>
      </c>
      <c r="J57" s="235">
        <f t="array" ref="J57">IFS(AND($B57&lt;&gt;"",$E57&lt;&gt;""),IF(INDEX(HistoricSummary!E:E,MATCH($C57,HistoricSummary!$A:$A,0),1)&lt;&gt;"",$E57*INDEX(HistoricSummary!E:E,MATCH($C57,HistoricSummary!$A:$A,0),1)+$G57,""),AND($B57&lt;&gt;"",$D57="COST",$G57&lt;0),$G57,TRUE,)</f>
        <v>27.11813953</v>
      </c>
    </row>
    <row r="58">
      <c r="A58" s="184">
        <v>44075.0</v>
      </c>
      <c r="B58" s="229" t="s">
        <v>292</v>
      </c>
      <c r="C58" s="230" t="s">
        <v>293</v>
      </c>
      <c r="D58" s="231" t="s">
        <v>414</v>
      </c>
      <c r="E58" s="231">
        <v>6.0</v>
      </c>
      <c r="F58" s="232">
        <v>185.9</v>
      </c>
      <c r="G58" s="233">
        <v>-1115.4</v>
      </c>
      <c r="H58" s="230" t="s">
        <v>487</v>
      </c>
      <c r="I58" s="235">
        <f t="array" ref="I58">IFS(AND($B58&lt;&gt;"",$E58&lt;&gt;""),IF(INDEX(HistoricSummary!D:D,MATCH($C58,HistoricSummary!$A:$A,0),1)&lt;&gt;"",$E58*INDEX(HistoricSummary!D:D,MATCH($C58,HistoricSummary!$A:$A,0),1)+$G58,""),AND($B58&lt;&gt;"",$D58="COST",$G58&lt;0),$G58,TRUE,)</f>
        <v>3.36</v>
      </c>
      <c r="J58" s="235">
        <f t="array" ref="J58">IFS(AND($B58&lt;&gt;"",$E58&lt;&gt;""),IF(INDEX(HistoricSummary!E:E,MATCH($C58,HistoricSummary!$A:$A,0),1)&lt;&gt;"",$E58*INDEX(HistoricSummary!E:E,MATCH($C58,HistoricSummary!$A:$A,0),1)+$G58,""),AND($B58&lt;&gt;"",$D58="COST",$G58&lt;0),$G58,TRUE,)</f>
        <v>41.93813953</v>
      </c>
    </row>
    <row r="59">
      <c r="A59" s="184">
        <v>44074.0</v>
      </c>
      <c r="B59" s="229"/>
      <c r="C59" s="230"/>
      <c r="D59" s="231" t="s">
        <v>432</v>
      </c>
      <c r="E59" s="231"/>
      <c r="F59" s="232"/>
      <c r="G59" s="233">
        <v>-680.17</v>
      </c>
      <c r="H59" s="230" t="s">
        <v>488</v>
      </c>
      <c r="I59" s="235" t="str">
        <f t="array" ref="I59">IFS(AND($B59&lt;&gt;"",$E59&lt;&gt;""),IF(INDEX(HistoricSummary!D:D,MATCH($C59,HistoricSummary!$A:$A,0),1)&lt;&gt;"",$E59*INDEX(HistoricSummary!D:D,MATCH($C59,HistoricSummary!$A:$A,0),1)+$G59,""),AND($B59&lt;&gt;"",$D59="COST",$G59&lt;0),$G59,TRUE,)</f>
        <v/>
      </c>
      <c r="J59" s="235" t="str">
        <f t="array" ref="J59">IFS(AND($B59&lt;&gt;"",$E59&lt;&gt;""),IF(INDEX(HistoricSummary!E:E,MATCH($C59,HistoricSummary!$A:$A,0),1)&lt;&gt;"",$E59*INDEX(HistoricSummary!E:E,MATCH($C59,HistoricSummary!$A:$A,0),1)+$G59,""),AND($B59&lt;&gt;"",$D59="COST",$G59&lt;0),$G59,TRUE,)</f>
        <v/>
      </c>
    </row>
    <row r="60">
      <c r="A60" s="184">
        <v>44074.0</v>
      </c>
      <c r="B60" s="229" t="s">
        <v>292</v>
      </c>
      <c r="C60" s="230" t="s">
        <v>293</v>
      </c>
      <c r="D60" s="231" t="s">
        <v>414</v>
      </c>
      <c r="E60" s="231">
        <v>10.0</v>
      </c>
      <c r="F60" s="232">
        <v>186.8</v>
      </c>
      <c r="G60" s="233">
        <v>-1868.0</v>
      </c>
      <c r="H60" s="230" t="s">
        <v>489</v>
      </c>
      <c r="I60" s="235">
        <f t="array" ref="I60">IFS(AND($B60&lt;&gt;"",$E60&lt;&gt;""),IF(INDEX(HistoricSummary!D:D,MATCH($C60,HistoricSummary!$A:$A,0),1)&lt;&gt;"",$E60*INDEX(HistoricSummary!D:D,MATCH($C60,HistoricSummary!$A:$A,0),1)+$G60,""),AND($B60&lt;&gt;"",$D60="COST",$G60&lt;0),$G60,TRUE,)</f>
        <v>-3.4</v>
      </c>
      <c r="J60" s="235">
        <f t="array" ref="J60">IFS(AND($B60&lt;&gt;"",$E60&lt;&gt;""),IF(INDEX(HistoricSummary!E:E,MATCH($C60,HistoricSummary!$A:$A,0),1)&lt;&gt;"",$E60*INDEX(HistoricSummary!E:E,MATCH($C60,HistoricSummary!$A:$A,0),1)+$G60,""),AND($B60&lt;&gt;"",$D60="COST",$G60&lt;0),$G60,TRUE,)</f>
        <v>60.89689922</v>
      </c>
    </row>
    <row r="61">
      <c r="A61" s="184">
        <v>44070.0</v>
      </c>
      <c r="B61" s="229" t="s">
        <v>292</v>
      </c>
      <c r="C61" s="230" t="s">
        <v>293</v>
      </c>
      <c r="D61" s="231" t="s">
        <v>414</v>
      </c>
      <c r="E61" s="231">
        <v>6.0</v>
      </c>
      <c r="F61" s="232">
        <v>188.98</v>
      </c>
      <c r="G61" s="233">
        <v>-1133.88</v>
      </c>
      <c r="H61" s="230" t="s">
        <v>490</v>
      </c>
      <c r="I61" s="235">
        <f t="array" ref="I61">IFS(AND($B61&lt;&gt;"",$E61&lt;&gt;""),IF(INDEX(HistoricSummary!D:D,MATCH($C61,HistoricSummary!$A:$A,0),1)&lt;&gt;"",$E61*INDEX(HistoricSummary!D:D,MATCH($C61,HistoricSummary!$A:$A,0),1)+$G61,""),AND($B61&lt;&gt;"",$D61="COST",$G61&lt;0),$G61,TRUE,)</f>
        <v>-15.12</v>
      </c>
      <c r="J61" s="235">
        <f t="array" ref="J61">IFS(AND($B61&lt;&gt;"",$E61&lt;&gt;""),IF(INDEX(HistoricSummary!E:E,MATCH($C61,HistoricSummary!$A:$A,0),1)&lt;&gt;"",$E61*INDEX(HistoricSummary!E:E,MATCH($C61,HistoricSummary!$A:$A,0),1)+$G61,""),AND($B61&lt;&gt;"",$D61="COST",$G61&lt;0),$G61,TRUE,)</f>
        <v>23.45813953</v>
      </c>
    </row>
    <row r="62">
      <c r="A62" s="184">
        <v>44069.0</v>
      </c>
      <c r="B62" s="229" t="s">
        <v>292</v>
      </c>
      <c r="C62" s="230" t="s">
        <v>293</v>
      </c>
      <c r="D62" s="231" t="s">
        <v>414</v>
      </c>
      <c r="E62" s="231">
        <v>6.0</v>
      </c>
      <c r="F62" s="232">
        <v>188.65</v>
      </c>
      <c r="G62" s="233">
        <v>-1131.9</v>
      </c>
      <c r="H62" s="230" t="s">
        <v>491</v>
      </c>
      <c r="I62" s="235">
        <f t="array" ref="I62">IFS(AND($B62&lt;&gt;"",$E62&lt;&gt;""),IF(INDEX(HistoricSummary!D:D,MATCH($C62,HistoricSummary!$A:$A,0),1)&lt;&gt;"",$E62*INDEX(HistoricSummary!D:D,MATCH($C62,HistoricSummary!$A:$A,0),1)+$G62,""),AND($B62&lt;&gt;"",$D62="COST",$G62&lt;0),$G62,TRUE,)</f>
        <v>-13.14</v>
      </c>
      <c r="J62" s="235">
        <f t="array" ref="J62">IFS(AND($B62&lt;&gt;"",$E62&lt;&gt;""),IF(INDEX(HistoricSummary!E:E,MATCH($C62,HistoricSummary!$A:$A,0),1)&lt;&gt;"",$E62*INDEX(HistoricSummary!E:E,MATCH($C62,HistoricSummary!$A:$A,0),1)+$G62,""),AND($B62&lt;&gt;"",$D62="COST",$G62&lt;0),$G62,TRUE,)</f>
        <v>25.43813953</v>
      </c>
    </row>
    <row r="63">
      <c r="A63" s="184">
        <v>44068.0</v>
      </c>
      <c r="B63" s="229" t="s">
        <v>292</v>
      </c>
      <c r="C63" s="230" t="s">
        <v>293</v>
      </c>
      <c r="D63" s="231" t="s">
        <v>414</v>
      </c>
      <c r="E63" s="231">
        <v>484.0</v>
      </c>
      <c r="F63" s="232">
        <v>188.69</v>
      </c>
      <c r="G63" s="233">
        <v>-91325.96</v>
      </c>
      <c r="H63" s="230" t="s">
        <v>492</v>
      </c>
      <c r="I63" s="235">
        <f t="array" ref="I63">IFS(AND($B63&lt;&gt;"",$E63&lt;&gt;""),IF(INDEX(HistoricSummary!D:D,MATCH($C63,HistoricSummary!$A:$A,0),1)&lt;&gt;"",$E63*INDEX(HistoricSummary!D:D,MATCH($C63,HistoricSummary!$A:$A,0),1)+$G63,""),AND($B63&lt;&gt;"",$D63="COST",$G63&lt;0),$G63,TRUE,)</f>
        <v>-1079.32</v>
      </c>
      <c r="J63" s="235">
        <f t="array" ref="J63">IFS(AND($B63&lt;&gt;"",$E63&lt;&gt;""),IF(INDEX(HistoricSummary!E:E,MATCH($C63,HistoricSummary!$A:$A,0),1)&lt;&gt;"",$E63*INDEX(HistoricSummary!E:E,MATCH($C63,HistoricSummary!$A:$A,0),1)+$G63,""),AND($B63&lt;&gt;"",$D63="COST",$G63&lt;0),$G63,TRUE,)</f>
        <v>2032.649922</v>
      </c>
    </row>
    <row r="64">
      <c r="A64" s="184">
        <v>44043.0</v>
      </c>
      <c r="B64" s="229"/>
      <c r="C64" s="230"/>
      <c r="D64" s="231" t="s">
        <v>432</v>
      </c>
      <c r="E64" s="231"/>
      <c r="F64" s="232"/>
      <c r="G64" s="233">
        <v>-690.94</v>
      </c>
      <c r="H64" s="230" t="s">
        <v>493</v>
      </c>
      <c r="I64" s="235" t="str">
        <f t="array" ref="I64">IFS(AND($B64&lt;&gt;"",$E64&lt;&gt;""),IF(INDEX(HistoricSummary!D:D,MATCH($C64,HistoricSummary!$A:$A,0),1)&lt;&gt;"",$E64*INDEX(HistoricSummary!D:D,MATCH($C64,HistoricSummary!$A:$A,0),1)+$G64,""),AND($B64&lt;&gt;"",$D64="COST",$G64&lt;0),$G64,TRUE,)</f>
        <v/>
      </c>
      <c r="J64" s="235" t="str">
        <f t="array" ref="J64">IFS(AND($B64&lt;&gt;"",$E64&lt;&gt;""),IF(INDEX(HistoricSummary!E:E,MATCH($C64,HistoricSummary!$A:$A,0),1)&lt;&gt;"",$E64*INDEX(HistoricSummary!E:E,MATCH($C64,HistoricSummary!$A:$A,0),1)+$G64,""),AND($B64&lt;&gt;"",$D64="COST",$G64&lt;0),$G64,TRUE,)</f>
        <v/>
      </c>
    </row>
    <row r="65">
      <c r="A65" s="184">
        <v>44012.0</v>
      </c>
      <c r="B65" s="229"/>
      <c r="C65" s="230"/>
      <c r="D65" s="231" t="s">
        <v>432</v>
      </c>
      <c r="E65" s="231"/>
      <c r="F65" s="232"/>
      <c r="G65" s="233">
        <v>-631.25</v>
      </c>
      <c r="H65" s="230" t="s">
        <v>494</v>
      </c>
      <c r="I65" s="235" t="str">
        <f t="array" ref="I65">IFS(AND($B65&lt;&gt;"",$E65&lt;&gt;""),IF(INDEX(HistoricSummary!D:D,MATCH($C65,HistoricSummary!$A:$A,0),1)&lt;&gt;"",$E65*INDEX(HistoricSummary!D:D,MATCH($C65,HistoricSummary!$A:$A,0),1)+$G65,""),AND($B65&lt;&gt;"",$D65="COST",$G65&lt;0),$G65,TRUE,)</f>
        <v/>
      </c>
      <c r="J65" s="235" t="str">
        <f t="array" ref="J65">IFS(AND($B65&lt;&gt;"",$E65&lt;&gt;""),IF(INDEX(HistoricSummary!E:E,MATCH($C65,HistoricSummary!$A:$A,0),1)&lt;&gt;"",$E65*INDEX(HistoricSummary!E:E,MATCH($C65,HistoricSummary!$A:$A,0),1)+$G65,""),AND($B65&lt;&gt;"",$D65="COST",$G65&lt;0),$G65,TRUE,)</f>
        <v/>
      </c>
    </row>
    <row r="66">
      <c r="A66" s="184">
        <v>44007.0</v>
      </c>
      <c r="B66" s="229" t="s">
        <v>298</v>
      </c>
      <c r="C66" s="230" t="s">
        <v>299</v>
      </c>
      <c r="D66" s="231" t="s">
        <v>475</v>
      </c>
      <c r="E66" s="231"/>
      <c r="F66" s="232"/>
      <c r="G66" s="233">
        <v>-421.7</v>
      </c>
      <c r="H66" s="230" t="s">
        <v>495</v>
      </c>
      <c r="I66" s="235" t="str">
        <f t="array" ref="I66">IFS(AND($B66&lt;&gt;"",$E66&lt;&gt;""),IF(INDEX(HistoricSummary!D:D,MATCH($C66,HistoricSummary!$A:$A,0),1)&lt;&gt;"",$E66*INDEX(HistoricSummary!D:D,MATCH($C66,HistoricSummary!$A:$A,0),1)+$G66,""),AND($B66&lt;&gt;"",$D66="COST",$G66&lt;0),$G66,TRUE,)</f>
        <v/>
      </c>
      <c r="J66" s="235" t="str">
        <f t="array" ref="J66">IFS(AND($B66&lt;&gt;"",$E66&lt;&gt;""),IF(INDEX(HistoricSummary!E:E,MATCH($C66,HistoricSummary!$A:$A,0),1)&lt;&gt;"",$E66*INDEX(HistoricSummary!E:E,MATCH($C66,HistoricSummary!$A:$A,0),1)+$G66,""),AND($B66&lt;&gt;"",$D66="COST",$G66&lt;0),$G66,TRUE,)</f>
        <v/>
      </c>
    </row>
    <row r="67">
      <c r="A67" s="184">
        <v>44006.0</v>
      </c>
      <c r="B67" s="229" t="s">
        <v>302</v>
      </c>
      <c r="C67" s="230" t="s">
        <v>303</v>
      </c>
      <c r="D67" s="231" t="s">
        <v>475</v>
      </c>
      <c r="E67" s="231"/>
      <c r="F67" s="232"/>
      <c r="G67" s="233">
        <v>1706.05</v>
      </c>
      <c r="H67" s="230" t="s">
        <v>496</v>
      </c>
      <c r="I67" s="235" t="str">
        <f t="array" ref="I67">IFS(AND($B67&lt;&gt;"",$E67&lt;&gt;""),IF(INDEX(HistoricSummary!D:D,MATCH($C67,HistoricSummary!$A:$A,0),1)&lt;&gt;"",$E67*INDEX(HistoricSummary!D:D,MATCH($C67,HistoricSummary!$A:$A,0),1)+$G67,""),AND($B67&lt;&gt;"",$D67="COST",$G67&lt;0),$G67,TRUE,)</f>
        <v/>
      </c>
      <c r="J67" s="235" t="str">
        <f t="array" ref="J67">IFS(AND($B67&lt;&gt;"",$E67&lt;&gt;""),IF(INDEX(HistoricSummary!E:E,MATCH($C67,HistoricSummary!$A:$A,0),1)&lt;&gt;"",$E67*INDEX(HistoricSummary!E:E,MATCH($C67,HistoricSummary!$A:$A,0),1)+$G67,""),AND($B67&lt;&gt;"",$D67="COST",$G67&lt;0),$G67,TRUE,)</f>
        <v/>
      </c>
    </row>
    <row r="68">
      <c r="A68" s="184">
        <v>44006.0</v>
      </c>
      <c r="B68" s="229" t="s">
        <v>298</v>
      </c>
      <c r="C68" s="230" t="s">
        <v>299</v>
      </c>
      <c r="D68" s="231" t="s">
        <v>475</v>
      </c>
      <c r="E68" s="231"/>
      <c r="F68" s="232"/>
      <c r="G68" s="233">
        <v>2148.89</v>
      </c>
      <c r="H68" s="230" t="s">
        <v>497</v>
      </c>
      <c r="I68" s="235" t="str">
        <f t="array" ref="I68">IFS(AND($B68&lt;&gt;"",$E68&lt;&gt;""),IF(INDEX(HistoricSummary!D:D,MATCH($C68,HistoricSummary!$A:$A,0),1)&lt;&gt;"",$E68*INDEX(HistoricSummary!D:D,MATCH($C68,HistoricSummary!$A:$A,0),1)+$G68,""),AND($B68&lt;&gt;"",$D68="COST",$G68&lt;0),$G68,TRUE,)</f>
        <v/>
      </c>
      <c r="J68" s="235" t="str">
        <f t="array" ref="J68">IFS(AND($B68&lt;&gt;"",$E68&lt;&gt;""),IF(INDEX(HistoricSummary!E:E,MATCH($C68,HistoricSummary!$A:$A,0),1)&lt;&gt;"",$E68*INDEX(HistoricSummary!E:E,MATCH($C68,HistoricSummary!$A:$A,0),1)+$G68,""),AND($B68&lt;&gt;"",$D68="COST",$G68&lt;0),$G68,TRUE,)</f>
        <v/>
      </c>
    </row>
    <row r="69">
      <c r="A69" s="184">
        <v>43985.0</v>
      </c>
      <c r="B69" s="229"/>
      <c r="C69" s="230"/>
      <c r="D69" s="231" t="s">
        <v>454</v>
      </c>
      <c r="E69" s="231"/>
      <c r="F69" s="232"/>
      <c r="G69" s="233">
        <v>-100000.0</v>
      </c>
      <c r="H69" s="230" t="s">
        <v>498</v>
      </c>
      <c r="I69" s="235" t="str">
        <f t="array" ref="I69">IFS(AND($B69&lt;&gt;"",$E69&lt;&gt;""),IF(INDEX(HistoricSummary!D:D,MATCH($C69,HistoricSummary!$A:$A,0),1)&lt;&gt;"",$E69*INDEX(HistoricSummary!D:D,MATCH($C69,HistoricSummary!$A:$A,0),1)+$G69,""),AND($B69&lt;&gt;"",$D69="COST",$G69&lt;0),$G69,TRUE,)</f>
        <v/>
      </c>
      <c r="J69" s="235" t="str">
        <f t="array" ref="J69">IFS(AND($B69&lt;&gt;"",$E69&lt;&gt;""),IF(INDEX(HistoricSummary!E:E,MATCH($C69,HistoricSummary!$A:$A,0),1)&lt;&gt;"",$E69*INDEX(HistoricSummary!E:E,MATCH($C69,HistoricSummary!$A:$A,0),1)+$G69,""),AND($B69&lt;&gt;"",$D69="COST",$G69&lt;0),$G69,TRUE,)</f>
        <v/>
      </c>
    </row>
    <row r="70">
      <c r="A70" s="184">
        <v>43984.0</v>
      </c>
      <c r="B70" s="229"/>
      <c r="C70" s="230"/>
      <c r="D70" s="231" t="s">
        <v>454</v>
      </c>
      <c r="E70" s="231"/>
      <c r="F70" s="232"/>
      <c r="G70" s="233">
        <v>-400.0</v>
      </c>
      <c r="H70" s="230" t="s">
        <v>499</v>
      </c>
      <c r="I70" s="235" t="str">
        <f t="array" ref="I70">IFS(AND($B70&lt;&gt;"",$E70&lt;&gt;""),IF(INDEX(HistoricSummary!D:D,MATCH($C70,HistoricSummary!$A:$A,0),1)&lt;&gt;"",$E70*INDEX(HistoricSummary!D:D,MATCH($C70,HistoricSummary!$A:$A,0),1)+$G70,""),AND($B70&lt;&gt;"",$D70="COST",$G70&lt;0),$G70,TRUE,)</f>
        <v/>
      </c>
      <c r="J70" s="235" t="str">
        <f t="array" ref="J70">IFS(AND($B70&lt;&gt;"",$E70&lt;&gt;""),IF(INDEX(HistoricSummary!E:E,MATCH($C70,HistoricSummary!$A:$A,0),1)&lt;&gt;"",$E70*INDEX(HistoricSummary!E:E,MATCH($C70,HistoricSummary!$A:$A,0),1)+$G70,""),AND($B70&lt;&gt;"",$D70="COST",$G70&lt;0),$G70,TRUE,)</f>
        <v/>
      </c>
    </row>
    <row r="71">
      <c r="A71" s="184">
        <v>43982.0</v>
      </c>
      <c r="B71" s="229"/>
      <c r="C71" s="230"/>
      <c r="D71" s="231" t="s">
        <v>432</v>
      </c>
      <c r="E71" s="231"/>
      <c r="F71" s="232"/>
      <c r="G71" s="233">
        <v>-544.65</v>
      </c>
      <c r="H71" s="230" t="s">
        <v>500</v>
      </c>
      <c r="I71" s="235" t="str">
        <f t="array" ref="I71">IFS(AND($B71&lt;&gt;"",$E71&lt;&gt;""),IF(INDEX(HistoricSummary!D:D,MATCH($C71,HistoricSummary!$A:$A,0),1)&lt;&gt;"",$E71*INDEX(HistoricSummary!D:D,MATCH($C71,HistoricSummary!$A:$A,0),1)+$G71,""),AND($B71&lt;&gt;"",$D71="COST",$G71&lt;0),$G71,TRUE,)</f>
        <v/>
      </c>
      <c r="J71" s="235" t="str">
        <f t="array" ref="J71">IFS(AND($B71&lt;&gt;"",$E71&lt;&gt;""),IF(INDEX(HistoricSummary!E:E,MATCH($C71,HistoricSummary!$A:$A,0),1)&lt;&gt;"",$E71*INDEX(HistoricSummary!E:E,MATCH($C71,HistoricSummary!$A:$A,0),1)+$G71,""),AND($B71&lt;&gt;"",$D71="COST",$G71&lt;0),$G71,TRUE,)</f>
        <v/>
      </c>
    </row>
    <row r="72">
      <c r="A72" s="184">
        <v>43978.0</v>
      </c>
      <c r="B72" s="229" t="s">
        <v>292</v>
      </c>
      <c r="C72" s="230" t="s">
        <v>293</v>
      </c>
      <c r="D72" s="231" t="s">
        <v>475</v>
      </c>
      <c r="E72" s="231"/>
      <c r="F72" s="232"/>
      <c r="G72" s="233">
        <v>874.6</v>
      </c>
      <c r="H72" s="230" t="s">
        <v>501</v>
      </c>
      <c r="I72" s="235" t="str">
        <f t="array" ref="I72">IFS(AND($B72&lt;&gt;"",$E72&lt;&gt;""),IF(INDEX(HistoricSummary!D:D,MATCH($C72,HistoricSummary!$A:$A,0),1)&lt;&gt;"",$E72*INDEX(HistoricSummary!D:D,MATCH($C72,HistoricSummary!$A:$A,0),1)+$G72,""),AND($B72&lt;&gt;"",$D72="COST",$G72&lt;0),$G72,TRUE,)</f>
        <v/>
      </c>
      <c r="J72" s="235" t="str">
        <f t="array" ref="J72">IFS(AND($B72&lt;&gt;"",$E72&lt;&gt;""),IF(INDEX(HistoricSummary!E:E,MATCH($C72,HistoricSummary!$A:$A,0),1)&lt;&gt;"",$E72*INDEX(HistoricSummary!E:E,MATCH($C72,HistoricSummary!$A:$A,0),1)+$G72,""),AND($B72&lt;&gt;"",$D72="COST",$G72&lt;0),$G72,TRUE,)</f>
        <v/>
      </c>
    </row>
    <row r="73">
      <c r="A73" s="184">
        <v>43978.0</v>
      </c>
      <c r="B73" s="229" t="s">
        <v>292</v>
      </c>
      <c r="C73" s="230" t="s">
        <v>293</v>
      </c>
      <c r="D73" s="231" t="s">
        <v>475</v>
      </c>
      <c r="E73" s="231"/>
      <c r="F73" s="232"/>
      <c r="G73" s="233">
        <v>-81.0</v>
      </c>
      <c r="H73" s="230" t="s">
        <v>502</v>
      </c>
      <c r="I73" s="235" t="str">
        <f t="array" ref="I73">IFS(AND($B73&lt;&gt;"",$E73&lt;&gt;""),IF(INDEX(HistoricSummary!D:D,MATCH($C73,HistoricSummary!$A:$A,0),1)&lt;&gt;"",$E73*INDEX(HistoricSummary!D:D,MATCH($C73,HistoricSummary!$A:$A,0),1)+$G73,""),AND($B73&lt;&gt;"",$D73="COST",$G73&lt;0),$G73,TRUE,)</f>
        <v/>
      </c>
      <c r="J73" s="235" t="str">
        <f t="array" ref="J73">IFS(AND($B73&lt;&gt;"",$E73&lt;&gt;""),IF(INDEX(HistoricSummary!E:E,MATCH($C73,HistoricSummary!$A:$A,0),1)&lt;&gt;"",$E73*INDEX(HistoricSummary!E:E,MATCH($C73,HistoricSummary!$A:$A,0),1)+$G73,""),AND($B73&lt;&gt;"",$D73="COST",$G73&lt;0),$G73,TRUE,)</f>
        <v/>
      </c>
    </row>
    <row r="74">
      <c r="A74" s="184">
        <v>43952.0</v>
      </c>
      <c r="B74" s="229"/>
      <c r="C74" s="230"/>
      <c r="D74" s="231" t="s">
        <v>454</v>
      </c>
      <c r="E74" s="231"/>
      <c r="F74" s="232"/>
      <c r="G74" s="233">
        <v>-400.0</v>
      </c>
      <c r="H74" s="230" t="s">
        <v>499</v>
      </c>
      <c r="I74" s="235" t="str">
        <f t="array" ref="I74">IFS(AND($B74&lt;&gt;"",$E74&lt;&gt;""),IF(INDEX(HistoricSummary!D:D,MATCH($C74,HistoricSummary!$A:$A,0),1)&lt;&gt;"",$E74*INDEX(HistoricSummary!D:D,MATCH($C74,HistoricSummary!$A:$A,0),1)+$G74,""),AND($B74&lt;&gt;"",$D74="COST",$G74&lt;0),$G74,TRUE,)</f>
        <v/>
      </c>
      <c r="J74" s="235" t="str">
        <f t="array" ref="J74">IFS(AND($B74&lt;&gt;"",$E74&lt;&gt;""),IF(INDEX(HistoricSummary!E:E,MATCH($C74,HistoricSummary!$A:$A,0),1)&lt;&gt;"",$E74*INDEX(HistoricSummary!E:E,MATCH($C74,HistoricSummary!$A:$A,0),1)+$G74,""),AND($B74&lt;&gt;"",$D74="COST",$G74&lt;0),$G74,TRUE,)</f>
        <v/>
      </c>
    </row>
    <row r="75">
      <c r="A75" s="184">
        <v>43951.0</v>
      </c>
      <c r="B75" s="229"/>
      <c r="C75" s="230"/>
      <c r="D75" s="231" t="s">
        <v>432</v>
      </c>
      <c r="E75" s="231"/>
      <c r="F75" s="232"/>
      <c r="G75" s="233">
        <v>-704.17</v>
      </c>
      <c r="H75" s="230" t="s">
        <v>503</v>
      </c>
      <c r="I75" s="235" t="str">
        <f t="array" ref="I75">IFS(AND($B75&lt;&gt;"",$E75&lt;&gt;""),IF(INDEX(HistoricSummary!D:D,MATCH($C75,HistoricSummary!$A:$A,0),1)&lt;&gt;"",$E75*INDEX(HistoricSummary!D:D,MATCH($C75,HistoricSummary!$A:$A,0),1)+$G75,""),AND($B75&lt;&gt;"",$D75="COST",$G75&lt;0),$G75,TRUE,)</f>
        <v/>
      </c>
      <c r="J75" s="235" t="str">
        <f t="array" ref="J75">IFS(AND($B75&lt;&gt;"",$E75&lt;&gt;""),IF(INDEX(HistoricSummary!E:E,MATCH($C75,HistoricSummary!$A:$A,0),1)&lt;&gt;"",$E75*INDEX(HistoricSummary!E:E,MATCH($C75,HistoricSummary!$A:$A,0),1)+$G75,""),AND($B75&lt;&gt;"",$D75="COST",$G75&lt;0),$G75,TRUE,)</f>
        <v/>
      </c>
    </row>
    <row r="76">
      <c r="A76" s="184">
        <v>43948.0</v>
      </c>
      <c r="B76" s="229" t="s">
        <v>283</v>
      </c>
      <c r="C76" s="230" t="s">
        <v>286</v>
      </c>
      <c r="D76" s="231" t="s">
        <v>414</v>
      </c>
      <c r="E76" s="231">
        <v>177.0</v>
      </c>
      <c r="F76" s="232">
        <v>5.68</v>
      </c>
      <c r="G76" s="233">
        <v>-1005.36</v>
      </c>
      <c r="H76" s="230" t="s">
        <v>504</v>
      </c>
      <c r="I76" s="235">
        <f t="array" ref="I76">IFS(AND($B76&lt;&gt;"",$E76&lt;&gt;""),IF(INDEX(HistoricSummary!D:D,MATCH($C76,HistoricSummary!$A:$A,0),1)&lt;&gt;"",$E76*INDEX(HistoricSummary!D:D,MATCH($C76,HistoricSummary!$A:$A,0),1)+$G76,""),AND($B76&lt;&gt;"",$D76="COST",$G76&lt;0),$G76,TRUE,)</f>
        <v>143.901</v>
      </c>
      <c r="J76" s="235">
        <f t="array" ref="J76">IFS(AND($B76&lt;&gt;"",$E76&lt;&gt;""),IF(INDEX(HistoricSummary!E:E,MATCH($C76,HistoricSummary!$A:$A,0),1)&lt;&gt;"",$E76*INDEX(HistoricSummary!E:E,MATCH($C76,HistoricSummary!$A:$A,0),1)+$G76,""),AND($B76&lt;&gt;"",$D76="COST",$G76&lt;0),$G76,TRUE,)</f>
        <v>136.541093</v>
      </c>
    </row>
    <row r="77">
      <c r="A77" s="184">
        <v>43948.0</v>
      </c>
      <c r="B77" s="229" t="s">
        <v>283</v>
      </c>
      <c r="C77" s="230" t="s">
        <v>286</v>
      </c>
      <c r="D77" s="231" t="s">
        <v>414</v>
      </c>
      <c r="E77" s="231">
        <v>176.0</v>
      </c>
      <c r="F77" s="232">
        <v>5.71</v>
      </c>
      <c r="G77" s="233">
        <v>-1004.96</v>
      </c>
      <c r="H77" s="230" t="s">
        <v>505</v>
      </c>
      <c r="I77" s="235">
        <f t="array" ref="I77">IFS(AND($B77&lt;&gt;"",$E77&lt;&gt;""),IF(INDEX(HistoricSummary!D:D,MATCH($C77,HistoricSummary!$A:$A,0),1)&lt;&gt;"",$E77*INDEX(HistoricSummary!D:D,MATCH($C77,HistoricSummary!$A:$A,0),1)+$G77,""),AND($B77&lt;&gt;"",$D77="COST",$G77&lt;0),$G77,TRUE,)</f>
        <v>137.808</v>
      </c>
      <c r="J77" s="235">
        <f t="array" ref="J77">IFS(AND($B77&lt;&gt;"",$E77&lt;&gt;""),IF(INDEX(HistoricSummary!E:E,MATCH($C77,HistoricSummary!$A:$A,0),1)&lt;&gt;"",$E77*INDEX(HistoricSummary!E:E,MATCH($C77,HistoricSummary!$A:$A,0),1)+$G77,""),AND($B77&lt;&gt;"",$D77="COST",$G77&lt;0),$G77,TRUE,)</f>
        <v>130.4896744</v>
      </c>
    </row>
    <row r="78">
      <c r="A78" s="184">
        <v>43948.0</v>
      </c>
      <c r="B78" s="229" t="s">
        <v>283</v>
      </c>
      <c r="C78" s="230" t="s">
        <v>286</v>
      </c>
      <c r="D78" s="231" t="s">
        <v>414</v>
      </c>
      <c r="E78" s="231">
        <v>705.0</v>
      </c>
      <c r="F78" s="232">
        <v>5.73</v>
      </c>
      <c r="G78" s="233">
        <v>-4039.65</v>
      </c>
      <c r="H78" s="230" t="s">
        <v>506</v>
      </c>
      <c r="I78" s="235">
        <f t="array" ref="I78">IFS(AND($B78&lt;&gt;"",$E78&lt;&gt;""),IF(INDEX(HistoricSummary!D:D,MATCH($C78,HistoricSummary!$A:$A,0),1)&lt;&gt;"",$E78*INDEX(HistoricSummary!D:D,MATCH($C78,HistoricSummary!$A:$A,0),1)+$G78,""),AND($B78&lt;&gt;"",$D78="COST",$G78&lt;0),$G78,TRUE,)</f>
        <v>537.915</v>
      </c>
      <c r="J78" s="235">
        <f t="array" ref="J78">IFS(AND($B78&lt;&gt;"",$E78&lt;&gt;""),IF(INDEX(HistoricSummary!E:E,MATCH($C78,HistoricSummary!$A:$A,0),1)&lt;&gt;"",$E78*INDEX(HistoricSummary!E:E,MATCH($C78,HistoricSummary!$A:$A,0),1)+$G78,""),AND($B78&lt;&gt;"",$D78="COST",$G78&lt;0),$G78,TRUE,)</f>
        <v>508.6001163</v>
      </c>
    </row>
    <row r="79">
      <c r="A79" s="184">
        <v>43945.0</v>
      </c>
      <c r="B79" s="229" t="s">
        <v>283</v>
      </c>
      <c r="C79" s="230" t="s">
        <v>286</v>
      </c>
      <c r="D79" s="231" t="s">
        <v>414</v>
      </c>
      <c r="E79" s="231">
        <v>174.0</v>
      </c>
      <c r="F79" s="232">
        <v>5.77</v>
      </c>
      <c r="G79" s="233">
        <v>-1003.98</v>
      </c>
      <c r="H79" s="230" t="s">
        <v>507</v>
      </c>
      <c r="I79" s="235">
        <f t="array" ref="I79">IFS(AND($B79&lt;&gt;"",$E79&lt;&gt;""),IF(INDEX(HistoricSummary!D:D,MATCH($C79,HistoricSummary!$A:$A,0),1)&lt;&gt;"",$E79*INDEX(HistoricSummary!D:D,MATCH($C79,HistoricSummary!$A:$A,0),1)+$G79,""),AND($B79&lt;&gt;"",$D79="COST",$G79&lt;0),$G79,TRUE,)</f>
        <v>125.802</v>
      </c>
      <c r="J79" s="235">
        <f t="array" ref="J79">IFS(AND($B79&lt;&gt;"",$E79&lt;&gt;""),IF(INDEX(HistoricSummary!E:E,MATCH($C79,HistoricSummary!$A:$A,0),1)&lt;&gt;"",$E79*INDEX(HistoricSummary!E:E,MATCH($C79,HistoricSummary!$A:$A,0),1)+$G79,""),AND($B79&lt;&gt;"",$D79="COST",$G79&lt;0),$G79,TRUE,)</f>
        <v>118.5668372</v>
      </c>
    </row>
    <row r="80">
      <c r="A80" s="184">
        <v>43942.0</v>
      </c>
      <c r="B80" s="229" t="s">
        <v>302</v>
      </c>
      <c r="C80" s="230" t="s">
        <v>303</v>
      </c>
      <c r="D80" s="231" t="s">
        <v>415</v>
      </c>
      <c r="E80" s="231">
        <v>-2384.0</v>
      </c>
      <c r="F80" s="232">
        <v>48.55</v>
      </c>
      <c r="G80" s="233">
        <v>115743.2</v>
      </c>
      <c r="H80" s="230" t="s">
        <v>508</v>
      </c>
      <c r="I80" s="235">
        <f t="array" ref="I80">IFS(AND($B80&lt;&gt;"",$E80&lt;&gt;""),IF(INDEX(HistoricSummary!D:D,MATCH($C80,HistoricSummary!$A:$A,0),1)&lt;&gt;"",$E80*INDEX(HistoricSummary!D:D,MATCH($C80,HistoricSummary!$A:$A,0),1)+$G80,""),AND($B80&lt;&gt;"",$D80="COST",$G80&lt;0),$G80,TRUE,)</f>
        <v>-21665.792</v>
      </c>
      <c r="J80" s="235">
        <f t="array" ref="J80">IFS(AND($B80&lt;&gt;"",$E80&lt;&gt;""),IF(INDEX(HistoricSummary!E:E,MATCH($C80,HistoricSummary!$A:$A,0),1)&lt;&gt;"",$E80*INDEX(HistoricSummary!E:E,MATCH($C80,HistoricSummary!$A:$A,0),1)+$G80,""),AND($B80&lt;&gt;"",$D80="COST",$G80&lt;0),$G80,TRUE,)</f>
        <v>-10685.51305</v>
      </c>
    </row>
    <row r="81">
      <c r="A81" s="184">
        <v>43942.0</v>
      </c>
      <c r="B81" s="229" t="s">
        <v>283</v>
      </c>
      <c r="C81" s="230" t="s">
        <v>286</v>
      </c>
      <c r="D81" s="231" t="s">
        <v>414</v>
      </c>
      <c r="E81" s="231">
        <v>174.0</v>
      </c>
      <c r="F81" s="232">
        <v>5.75</v>
      </c>
      <c r="G81" s="233">
        <v>-1000.5</v>
      </c>
      <c r="H81" s="230" t="s">
        <v>509</v>
      </c>
      <c r="I81" s="235">
        <f t="array" ref="I81">IFS(AND($B81&lt;&gt;"",$E81&lt;&gt;""),IF(INDEX(HistoricSummary!D:D,MATCH($C81,HistoricSummary!$A:$A,0),1)&lt;&gt;"",$E81*INDEX(HistoricSummary!D:D,MATCH($C81,HistoricSummary!$A:$A,0),1)+$G81,""),AND($B81&lt;&gt;"",$D81="COST",$G81&lt;0),$G81,TRUE,)</f>
        <v>129.282</v>
      </c>
      <c r="J81" s="235">
        <f t="array" ref="J81">IFS(AND($B81&lt;&gt;"",$E81&lt;&gt;""),IF(INDEX(HistoricSummary!E:E,MATCH($C81,HistoricSummary!$A:$A,0),1)&lt;&gt;"",$E81*INDEX(HistoricSummary!E:E,MATCH($C81,HistoricSummary!$A:$A,0),1)+$G81,""),AND($B81&lt;&gt;"",$D81="COST",$G81&lt;0),$G81,TRUE,)</f>
        <v>122.0468372</v>
      </c>
    </row>
    <row r="82">
      <c r="A82" s="184">
        <v>43942.0</v>
      </c>
      <c r="B82" s="229" t="s">
        <v>283</v>
      </c>
      <c r="C82" s="230" t="s">
        <v>286</v>
      </c>
      <c r="D82" s="231" t="s">
        <v>414</v>
      </c>
      <c r="E82" s="231">
        <v>174.0</v>
      </c>
      <c r="F82" s="232">
        <v>5.77</v>
      </c>
      <c r="G82" s="233">
        <v>-1003.98</v>
      </c>
      <c r="H82" s="230" t="s">
        <v>507</v>
      </c>
      <c r="I82" s="235">
        <f t="array" ref="I82">IFS(AND($B82&lt;&gt;"",$E82&lt;&gt;""),IF(INDEX(HistoricSummary!D:D,MATCH($C82,HistoricSummary!$A:$A,0),1)&lt;&gt;"",$E82*INDEX(HistoricSummary!D:D,MATCH($C82,HistoricSummary!$A:$A,0),1)+$G82,""),AND($B82&lt;&gt;"",$D82="COST",$G82&lt;0),$G82,TRUE,)</f>
        <v>125.802</v>
      </c>
      <c r="J82" s="235">
        <f t="array" ref="J82">IFS(AND($B82&lt;&gt;"",$E82&lt;&gt;""),IF(INDEX(HistoricSummary!E:E,MATCH($C82,HistoricSummary!$A:$A,0),1)&lt;&gt;"",$E82*INDEX(HistoricSummary!E:E,MATCH($C82,HistoricSummary!$A:$A,0),1)+$G82,""),AND($B82&lt;&gt;"",$D82="COST",$G82&lt;0),$G82,TRUE,)</f>
        <v>118.5668372</v>
      </c>
    </row>
    <row r="83">
      <c r="A83" s="184">
        <v>43935.0</v>
      </c>
      <c r="B83" s="229" t="s">
        <v>288</v>
      </c>
      <c r="C83" s="230" t="s">
        <v>289</v>
      </c>
      <c r="D83" s="231" t="s">
        <v>415</v>
      </c>
      <c r="E83" s="231">
        <v>-7.0</v>
      </c>
      <c r="F83" s="232">
        <v>150.25</v>
      </c>
      <c r="G83" s="233">
        <v>1051.75</v>
      </c>
      <c r="H83" s="230" t="s">
        <v>510</v>
      </c>
      <c r="I83" s="235">
        <f t="array" ref="I83">IFS(AND($B83&lt;&gt;"",$E83&lt;&gt;""),IF(INDEX(HistoricSummary!D:D,MATCH($C83,HistoricSummary!$A:$A,0),1)&lt;&gt;"",$E83*INDEX(HistoricSummary!D:D,MATCH($C83,HistoricSummary!$A:$A,0),1)+$G83,""),AND($B83&lt;&gt;"",$D83="COST",$G83&lt;0),$G83,TRUE,)</f>
        <v>-0.21</v>
      </c>
      <c r="J83" s="235">
        <f t="array" ref="J83">IFS(AND($B83&lt;&gt;"",$E83&lt;&gt;""),IF(INDEX(HistoricSummary!E:E,MATCH($C83,HistoricSummary!$A:$A,0),1)&lt;&gt;"",$E83*INDEX(HistoricSummary!E:E,MATCH($C83,HistoricSummary!$A:$A,0),1)+$G83,""),AND($B83&lt;&gt;"",$D83="COST",$G83&lt;0),$G83,TRUE,)</f>
        <v>39.31205426</v>
      </c>
    </row>
    <row r="84">
      <c r="A84" s="184">
        <v>43935.0</v>
      </c>
      <c r="B84" s="229" t="s">
        <v>288</v>
      </c>
      <c r="C84" s="230" t="s">
        <v>289</v>
      </c>
      <c r="D84" s="231" t="s">
        <v>415</v>
      </c>
      <c r="E84" s="231">
        <v>-17.0</v>
      </c>
      <c r="F84" s="232">
        <v>149.35</v>
      </c>
      <c r="G84" s="233">
        <v>2538.95</v>
      </c>
      <c r="H84" s="230" t="s">
        <v>511</v>
      </c>
      <c r="I84" s="235">
        <f t="array" ref="I84">IFS(AND($B84&lt;&gt;"",$E84&lt;&gt;""),IF(INDEX(HistoricSummary!D:D,MATCH($C84,HistoricSummary!$A:$A,0),1)&lt;&gt;"",$E84*INDEX(HistoricSummary!D:D,MATCH($C84,HistoricSummary!$A:$A,0),1)+$G84,""),AND($B84&lt;&gt;"",$D84="COST",$G84&lt;0),$G84,TRUE,)</f>
        <v>-15.81</v>
      </c>
      <c r="J84" s="235">
        <f t="array" ref="J84">IFS(AND($B84&lt;&gt;"",$E84&lt;&gt;""),IF(INDEX(HistoricSummary!E:E,MATCH($C84,HistoricSummary!$A:$A,0),1)&lt;&gt;"",$E84*INDEX(HistoricSummary!E:E,MATCH($C84,HistoricSummary!$A:$A,0),1)+$G84,""),AND($B84&lt;&gt;"",$D84="COST",$G84&lt;0),$G84,TRUE,)</f>
        <v>80.17213178</v>
      </c>
    </row>
    <row r="85">
      <c r="A85" s="184">
        <v>43930.0</v>
      </c>
      <c r="B85" s="229" t="s">
        <v>302</v>
      </c>
      <c r="C85" s="230" t="s">
        <v>303</v>
      </c>
      <c r="D85" s="231" t="s">
        <v>475</v>
      </c>
      <c r="E85" s="231"/>
      <c r="F85" s="232"/>
      <c r="G85" s="233">
        <v>-276.34</v>
      </c>
      <c r="H85" s="230" t="s">
        <v>512</v>
      </c>
      <c r="I85" s="235" t="str">
        <f t="array" ref="I85">IFS(AND($B85&lt;&gt;"",$E85&lt;&gt;""),IF(INDEX(HistoricSummary!D:D,MATCH($C85,HistoricSummary!$A:$A,0),1)&lt;&gt;"",$E85*INDEX(HistoricSummary!D:D,MATCH($C85,HistoricSummary!$A:$A,0),1)+$G85,""),AND($B85&lt;&gt;"",$D85="COST",$G85&lt;0),$G85,TRUE,)</f>
        <v/>
      </c>
      <c r="J85" s="235" t="str">
        <f t="array" ref="J85">IFS(AND($B85&lt;&gt;"",$E85&lt;&gt;""),IF(INDEX(HistoricSummary!E:E,MATCH($C85,HistoricSummary!$A:$A,0),1)&lt;&gt;"",$E85*INDEX(HistoricSummary!E:E,MATCH($C85,HistoricSummary!$A:$A,0),1)+$G85,""),AND($B85&lt;&gt;"",$D85="COST",$G85&lt;0),$G85,TRUE,)</f>
        <v/>
      </c>
    </row>
    <row r="86">
      <c r="A86" s="184">
        <v>43929.0</v>
      </c>
      <c r="B86" s="229"/>
      <c r="C86" s="230"/>
      <c r="D86" s="231" t="s">
        <v>454</v>
      </c>
      <c r="E86" s="231"/>
      <c r="F86" s="232"/>
      <c r="G86" s="233">
        <v>-100.0</v>
      </c>
      <c r="H86" s="230" t="s">
        <v>513</v>
      </c>
      <c r="I86" s="235" t="str">
        <f t="array" ref="I86">IFS(AND($B86&lt;&gt;"",$E86&lt;&gt;""),IF(INDEX(HistoricSummary!D:D,MATCH($C86,HistoricSummary!$A:$A,0),1)&lt;&gt;"",$E86*INDEX(HistoricSummary!D:D,MATCH($C86,HistoricSummary!$A:$A,0),1)+$G86,""),AND($B86&lt;&gt;"",$D86="COST",$G86&lt;0),$G86,TRUE,)</f>
        <v/>
      </c>
      <c r="J86" s="235" t="str">
        <f t="array" ref="J86">IFS(AND($B86&lt;&gt;"",$E86&lt;&gt;""),IF(INDEX(HistoricSummary!E:E,MATCH($C86,HistoricSummary!$A:$A,0),1)&lt;&gt;"",$E86*INDEX(HistoricSummary!E:E,MATCH($C86,HistoricSummary!$A:$A,0),1)+$G86,""),AND($B86&lt;&gt;"",$D86="COST",$G86&lt;0),$G86,TRUE,)</f>
        <v/>
      </c>
    </row>
    <row r="87">
      <c r="A87" s="184">
        <v>43929.0</v>
      </c>
      <c r="B87" s="229" t="s">
        <v>302</v>
      </c>
      <c r="C87" s="230" t="s">
        <v>303</v>
      </c>
      <c r="D87" s="231" t="s">
        <v>475</v>
      </c>
      <c r="E87" s="231"/>
      <c r="F87" s="232"/>
      <c r="G87" s="233">
        <v>3216.38</v>
      </c>
      <c r="H87" s="230" t="s">
        <v>514</v>
      </c>
      <c r="I87" s="235" t="str">
        <f t="array" ref="I87">IFS(AND($B87&lt;&gt;"",$E87&lt;&gt;""),IF(INDEX(HistoricSummary!D:D,MATCH($C87,HistoricSummary!$A:$A,0),1)&lt;&gt;"",$E87*INDEX(HistoricSummary!D:D,MATCH($C87,HistoricSummary!$A:$A,0),1)+$G87,""),AND($B87&lt;&gt;"",$D87="COST",$G87&lt;0),$G87,TRUE,)</f>
        <v/>
      </c>
      <c r="J87" s="235" t="str">
        <f t="array" ref="J87">IFS(AND($B87&lt;&gt;"",$E87&lt;&gt;""),IF(INDEX(HistoricSummary!E:E,MATCH($C87,HistoricSummary!$A:$A,0),1)&lt;&gt;"",$E87*INDEX(HistoricSummary!E:E,MATCH($C87,HistoricSummary!$A:$A,0),1)+$G87,""),AND($B87&lt;&gt;"",$D87="COST",$G87&lt;0),$G87,TRUE,)</f>
        <v/>
      </c>
    </row>
    <row r="88">
      <c r="A88" s="184">
        <v>43928.0</v>
      </c>
      <c r="B88" s="229" t="s">
        <v>288</v>
      </c>
      <c r="C88" s="230" t="s">
        <v>289</v>
      </c>
      <c r="D88" s="231" t="s">
        <v>415</v>
      </c>
      <c r="E88" s="231">
        <v>-22.0</v>
      </c>
      <c r="F88" s="232">
        <v>145.55</v>
      </c>
      <c r="G88" s="233">
        <v>3202.1</v>
      </c>
      <c r="H88" s="230" t="s">
        <v>515</v>
      </c>
      <c r="I88" s="235">
        <f t="array" ref="I88">IFS(AND($B88&lt;&gt;"",$E88&lt;&gt;""),IF(INDEX(HistoricSummary!D:D,MATCH($C88,HistoricSummary!$A:$A,0),1)&lt;&gt;"",$E88*INDEX(HistoricSummary!D:D,MATCH($C88,HistoricSummary!$A:$A,0),1)+$G88,""),AND($B88&lt;&gt;"",$D88="COST",$G88&lt;0),$G88,TRUE,)</f>
        <v>-104.06</v>
      </c>
      <c r="J88" s="235">
        <f t="array" ref="J88">IFS(AND($B88&lt;&gt;"",$E88&lt;&gt;""),IF(INDEX(HistoricSummary!E:E,MATCH($C88,HistoricSummary!$A:$A,0),1)&lt;&gt;"",$E88*INDEX(HistoricSummary!E:E,MATCH($C88,HistoricSummary!$A:$A,0),1)+$G88,""),AND($B88&lt;&gt;"",$D88="COST",$G88&lt;0),$G88,TRUE,)</f>
        <v>20.15217054</v>
      </c>
    </row>
    <row r="89">
      <c r="A89" s="184">
        <v>43924.0</v>
      </c>
      <c r="B89" s="229" t="s">
        <v>298</v>
      </c>
      <c r="C89" s="230" t="s">
        <v>299</v>
      </c>
      <c r="D89" s="231" t="s">
        <v>415</v>
      </c>
      <c r="E89" s="231">
        <v>-290.0</v>
      </c>
      <c r="F89" s="232">
        <v>5.875</v>
      </c>
      <c r="G89" s="233">
        <v>1703.75</v>
      </c>
      <c r="H89" s="230" t="s">
        <v>516</v>
      </c>
      <c r="I89" s="235">
        <f t="array" ref="I89">IFS(AND($B89&lt;&gt;"",$E89&lt;&gt;""),IF(INDEX(HistoricSummary!D:D,MATCH($C89,HistoricSummary!$A:$A,0),1)&lt;&gt;"",$E89*INDEX(HistoricSummary!D:D,MATCH($C89,HistoricSummary!$A:$A,0),1)+$G89,""),AND($B89&lt;&gt;"",$D89="COST",$G89&lt;0),$G89,TRUE,)</f>
        <v>269.758</v>
      </c>
      <c r="J89" s="235">
        <f t="array" ref="J89">IFS(AND($B89&lt;&gt;"",$E89&lt;&gt;""),IF(INDEX(HistoricSummary!E:E,MATCH($C89,HistoricSummary!$A:$A,0),1)&lt;&gt;"",$E89*INDEX(HistoricSummary!E:E,MATCH($C89,HistoricSummary!$A:$A,0),1)+$G89,""),AND($B89&lt;&gt;"",$D89="COST",$G89&lt;0),$G89,TRUE,)</f>
        <v>195.6207364</v>
      </c>
    </row>
    <row r="90">
      <c r="A90" s="184">
        <v>43924.0</v>
      </c>
      <c r="B90" s="229" t="s">
        <v>298</v>
      </c>
      <c r="C90" s="230" t="s">
        <v>299</v>
      </c>
      <c r="D90" s="231" t="s">
        <v>432</v>
      </c>
      <c r="E90" s="231"/>
      <c r="F90" s="232"/>
      <c r="G90" s="233">
        <v>-2.34</v>
      </c>
      <c r="H90" s="230" t="s">
        <v>517</v>
      </c>
      <c r="I90" s="235">
        <f t="array" ref="I90">IFS(AND($B90&lt;&gt;"",$E90&lt;&gt;""),IF(INDEX(HistoricSummary!D:D,MATCH($C90,HistoricSummary!$A:$A,0),1)&lt;&gt;"",$E90*INDEX(HistoricSummary!D:D,MATCH($C90,HistoricSummary!$A:$A,0),1)+$G90,""),AND($B90&lt;&gt;"",$D90="COST",$G90&lt;0),$G90,TRUE,)</f>
        <v>-2.34</v>
      </c>
      <c r="J90" s="235">
        <f t="array" ref="J90">IFS(AND($B90&lt;&gt;"",$E90&lt;&gt;""),IF(INDEX(HistoricSummary!E:E,MATCH($C90,HistoricSummary!$A:$A,0),1)&lt;&gt;"",$E90*INDEX(HistoricSummary!E:E,MATCH($C90,HistoricSummary!$A:$A,0),1)+$G90,""),AND($B90&lt;&gt;"",$D90="COST",$G90&lt;0),$G90,TRUE,)</f>
        <v>-2.34</v>
      </c>
    </row>
    <row r="91">
      <c r="A91" s="184">
        <v>43924.0</v>
      </c>
      <c r="B91" s="229" t="s">
        <v>298</v>
      </c>
      <c r="C91" s="230" t="s">
        <v>299</v>
      </c>
      <c r="D91" s="231" t="s">
        <v>415</v>
      </c>
      <c r="E91" s="231">
        <v>-186.0</v>
      </c>
      <c r="F91" s="232">
        <v>5.89</v>
      </c>
      <c r="G91" s="233">
        <v>1095.54</v>
      </c>
      <c r="H91" s="230" t="s">
        <v>518</v>
      </c>
      <c r="I91" s="235">
        <f t="array" ref="I91">IFS(AND($B91&lt;&gt;"",$E91&lt;&gt;""),IF(INDEX(HistoricSummary!D:D,MATCH($C91,HistoricSummary!$A:$A,0),1)&lt;&gt;"",$E91*INDEX(HistoricSummary!D:D,MATCH($C91,HistoricSummary!$A:$A,0),1)+$G91,""),AND($B91&lt;&gt;"",$D91="COST",$G91&lt;0),$G91,TRUE,)</f>
        <v>175.8072</v>
      </c>
      <c r="J91" s="235">
        <f t="array" ref="J91">IFS(AND($B91&lt;&gt;"",$E91&lt;&gt;""),IF(INDEX(HistoricSummary!E:E,MATCH($C91,HistoricSummary!$A:$A,0),1)&lt;&gt;"",$E91*INDEX(HistoricSummary!E:E,MATCH($C91,HistoricSummary!$A:$A,0),1)+$G91,""),AND($B91&lt;&gt;"",$D91="COST",$G91&lt;0),$G91,TRUE,)</f>
        <v>128.257093</v>
      </c>
    </row>
    <row r="92">
      <c r="A92" s="184">
        <v>43924.0</v>
      </c>
      <c r="B92" s="229" t="s">
        <v>298</v>
      </c>
      <c r="C92" s="230" t="s">
        <v>299</v>
      </c>
      <c r="D92" s="231" t="s">
        <v>432</v>
      </c>
      <c r="E92" s="231"/>
      <c r="F92" s="232"/>
      <c r="G92" s="233">
        <v>-2.22</v>
      </c>
      <c r="H92" s="230" t="s">
        <v>519</v>
      </c>
      <c r="I92" s="235">
        <f t="array" ref="I92">IFS(AND($B92&lt;&gt;"",$E92&lt;&gt;""),IF(INDEX(HistoricSummary!D:D,MATCH($C92,HistoricSummary!$A:$A,0),1)&lt;&gt;"",$E92*INDEX(HistoricSummary!D:D,MATCH($C92,HistoricSummary!$A:$A,0),1)+$G92,""),AND($B92&lt;&gt;"",$D92="COST",$G92&lt;0),$G92,TRUE,)</f>
        <v>-2.22</v>
      </c>
      <c r="J92" s="235">
        <f t="array" ref="J92">IFS(AND($B92&lt;&gt;"",$E92&lt;&gt;""),IF(INDEX(HistoricSummary!E:E,MATCH($C92,HistoricSummary!$A:$A,0),1)&lt;&gt;"",$E92*INDEX(HistoricSummary!E:E,MATCH($C92,HistoricSummary!$A:$A,0),1)+$G92,""),AND($B92&lt;&gt;"",$D92="COST",$G92&lt;0),$G92,TRUE,)</f>
        <v>-2.22</v>
      </c>
    </row>
    <row r="93">
      <c r="A93" s="184">
        <v>43924.0</v>
      </c>
      <c r="B93" s="229" t="s">
        <v>292</v>
      </c>
      <c r="C93" s="230" t="s">
        <v>293</v>
      </c>
      <c r="D93" s="231" t="s">
        <v>415</v>
      </c>
      <c r="E93" s="231">
        <v>-5.0</v>
      </c>
      <c r="F93" s="232">
        <v>208.05</v>
      </c>
      <c r="G93" s="233">
        <v>1040.25</v>
      </c>
      <c r="H93" s="230" t="s">
        <v>520</v>
      </c>
      <c r="I93" s="235">
        <f t="array" ref="I93">IFS(AND($B93&lt;&gt;"",$E93&lt;&gt;""),IF(INDEX(HistoricSummary!D:D,MATCH($C93,HistoricSummary!$A:$A,0),1)&lt;&gt;"",$E93*INDEX(HistoricSummary!D:D,MATCH($C93,HistoricSummary!$A:$A,0),1)+$G93,""),AND($B93&lt;&gt;"",$D93="COST",$G93&lt;0),$G93,TRUE,)</f>
        <v>107.95</v>
      </c>
      <c r="J93" s="235">
        <f t="array" ref="J93">IFS(AND($B93&lt;&gt;"",$E93&lt;&gt;""),IF(INDEX(HistoricSummary!E:E,MATCH($C93,HistoricSummary!$A:$A,0),1)&lt;&gt;"",$E93*INDEX(HistoricSummary!E:E,MATCH($C93,HistoricSummary!$A:$A,0),1)+$G93,""),AND($B93&lt;&gt;"",$D93="COST",$G93&lt;0),$G93,TRUE,)</f>
        <v>75.80155039</v>
      </c>
    </row>
    <row r="94">
      <c r="A94" s="184">
        <v>43924.0</v>
      </c>
      <c r="B94" s="229" t="s">
        <v>292</v>
      </c>
      <c r="C94" s="230" t="s">
        <v>293</v>
      </c>
      <c r="D94" s="231" t="s">
        <v>415</v>
      </c>
      <c r="E94" s="231">
        <v>-10.0</v>
      </c>
      <c r="F94" s="232">
        <v>207.67</v>
      </c>
      <c r="G94" s="233">
        <v>2076.7</v>
      </c>
      <c r="H94" s="230" t="s">
        <v>521</v>
      </c>
      <c r="I94" s="235">
        <f t="array" ref="I94">IFS(AND($B94&lt;&gt;"",$E94&lt;&gt;""),IF(INDEX(HistoricSummary!D:D,MATCH($C94,HistoricSummary!$A:$A,0),1)&lt;&gt;"",$E94*INDEX(HistoricSummary!D:D,MATCH($C94,HistoricSummary!$A:$A,0),1)+$G94,""),AND($B94&lt;&gt;"",$D94="COST",$G94&lt;0),$G94,TRUE,)</f>
        <v>212.1</v>
      </c>
      <c r="J94" s="235">
        <f t="array" ref="J94">IFS(AND($B94&lt;&gt;"",$E94&lt;&gt;""),IF(INDEX(HistoricSummary!E:E,MATCH($C94,HistoricSummary!$A:$A,0),1)&lt;&gt;"",$E94*INDEX(HistoricSummary!E:E,MATCH($C94,HistoricSummary!$A:$A,0),1)+$G94,""),AND($B94&lt;&gt;"",$D94="COST",$G94&lt;0),$G94,TRUE,)</f>
        <v>147.8031008</v>
      </c>
    </row>
    <row r="95">
      <c r="A95" s="184">
        <v>43923.0</v>
      </c>
      <c r="B95" s="229" t="s">
        <v>298</v>
      </c>
      <c r="C95" s="230" t="s">
        <v>299</v>
      </c>
      <c r="D95" s="231" t="s">
        <v>415</v>
      </c>
      <c r="E95" s="231">
        <v>-437.0</v>
      </c>
      <c r="F95" s="232">
        <v>5.855</v>
      </c>
      <c r="G95" s="233">
        <v>2558.64</v>
      </c>
      <c r="H95" s="230" t="s">
        <v>522</v>
      </c>
      <c r="I95" s="235">
        <f t="array" ref="I95">IFS(AND($B95&lt;&gt;"",$E95&lt;&gt;""),IF(INDEX(HistoricSummary!D:D,MATCH($C95,HistoricSummary!$A:$A,0),1)&lt;&gt;"",$E95*INDEX(HistoricSummary!D:D,MATCH($C95,HistoricSummary!$A:$A,0),1)+$G95,""),AND($B95&lt;&gt;"",$D95="COST",$G95&lt;0),$G95,TRUE,)</f>
        <v>397.7624</v>
      </c>
      <c r="J95" s="235">
        <f t="array" ref="J95">IFS(AND($B95&lt;&gt;"",$E95&lt;&gt;""),IF(INDEX(HistoricSummary!E:E,MATCH($C95,HistoricSummary!$A:$A,0),1)&lt;&gt;"",$E95*INDEX(HistoricSummary!E:E,MATCH($C95,HistoricSummary!$A:$A,0),1)+$G95,""),AND($B95&lt;&gt;"",$D95="COST",$G95&lt;0),$G95,TRUE,)</f>
        <v>286.0452132</v>
      </c>
    </row>
    <row r="96">
      <c r="A96" s="184">
        <v>43923.0</v>
      </c>
      <c r="B96" s="229" t="s">
        <v>298</v>
      </c>
      <c r="C96" s="230" t="s">
        <v>299</v>
      </c>
      <c r="D96" s="231" t="s">
        <v>432</v>
      </c>
      <c r="E96" s="231"/>
      <c r="F96" s="232"/>
      <c r="G96" s="233">
        <v>-2.51</v>
      </c>
      <c r="H96" s="230" t="s">
        <v>523</v>
      </c>
      <c r="I96" s="235">
        <f t="array" ref="I96">IFS(AND($B96&lt;&gt;"",$E96&lt;&gt;""),IF(INDEX(HistoricSummary!D:D,MATCH($C96,HistoricSummary!$A:$A,0),1)&lt;&gt;"",$E96*INDEX(HistoricSummary!D:D,MATCH($C96,HistoricSummary!$A:$A,0),1)+$G96,""),AND($B96&lt;&gt;"",$D96="COST",$G96&lt;0),$G96,TRUE,)</f>
        <v>-2.51</v>
      </c>
      <c r="J96" s="235">
        <f t="array" ref="J96">IFS(AND($B96&lt;&gt;"",$E96&lt;&gt;""),IF(INDEX(HistoricSummary!E:E,MATCH($C96,HistoricSummary!$A:$A,0),1)&lt;&gt;"",$E96*INDEX(HistoricSummary!E:E,MATCH($C96,HistoricSummary!$A:$A,0),1)+$G96,""),AND($B96&lt;&gt;"",$D96="COST",$G96&lt;0),$G96,TRUE,)</f>
        <v>-2.51</v>
      </c>
    </row>
    <row r="97">
      <c r="A97" s="184">
        <v>43923.0</v>
      </c>
      <c r="B97" s="229" t="s">
        <v>283</v>
      </c>
      <c r="C97" s="230" t="s">
        <v>286</v>
      </c>
      <c r="D97" s="231" t="s">
        <v>414</v>
      </c>
      <c r="E97" s="231">
        <v>174.0</v>
      </c>
      <c r="F97" s="232">
        <v>5.77</v>
      </c>
      <c r="G97" s="233">
        <v>-1003.98</v>
      </c>
      <c r="H97" s="230" t="s">
        <v>507</v>
      </c>
      <c r="I97" s="235">
        <f t="array" ref="I97">IFS(AND($B97&lt;&gt;"",$E97&lt;&gt;""),IF(INDEX(HistoricSummary!D:D,MATCH($C97,HistoricSummary!$A:$A,0),1)&lt;&gt;"",$E97*INDEX(HistoricSummary!D:D,MATCH($C97,HistoricSummary!$A:$A,0),1)+$G97,""),AND($B97&lt;&gt;"",$D97="COST",$G97&lt;0),$G97,TRUE,)</f>
        <v>125.802</v>
      </c>
      <c r="J97" s="235">
        <f t="array" ref="J97">IFS(AND($B97&lt;&gt;"",$E97&lt;&gt;""),IF(INDEX(HistoricSummary!E:E,MATCH($C97,HistoricSummary!$A:$A,0),1)&lt;&gt;"",$E97*INDEX(HistoricSummary!E:E,MATCH($C97,HistoricSummary!$A:$A,0),1)+$G97,""),AND($B97&lt;&gt;"",$D97="COST",$G97&lt;0),$G97,TRUE,)</f>
        <v>118.5668372</v>
      </c>
    </row>
    <row r="98">
      <c r="A98" s="184">
        <v>43923.0</v>
      </c>
      <c r="B98" s="229" t="s">
        <v>298</v>
      </c>
      <c r="C98" s="230" t="s">
        <v>299</v>
      </c>
      <c r="D98" s="231" t="s">
        <v>415</v>
      </c>
      <c r="E98" s="231">
        <v>-248.0</v>
      </c>
      <c r="F98" s="232">
        <v>5.8162</v>
      </c>
      <c r="G98" s="233">
        <v>1442.42</v>
      </c>
      <c r="H98" s="230" t="s">
        <v>524</v>
      </c>
      <c r="I98" s="235">
        <f t="array" ref="I98">IFS(AND($B98&lt;&gt;"",$E98&lt;&gt;""),IF(INDEX(HistoricSummary!D:D,MATCH($C98,HistoricSummary!$A:$A,0),1)&lt;&gt;"",$E98*INDEX(HistoricSummary!D:D,MATCH($C98,HistoricSummary!$A:$A,0),1)+$G98,""),AND($B98&lt;&gt;"",$D98="COST",$G98&lt;0),$G98,TRUE,)</f>
        <v>216.1096</v>
      </c>
      <c r="J98" s="235">
        <f t="array" ref="J98">IFS(AND($B98&lt;&gt;"",$E98&lt;&gt;""),IF(INDEX(HistoricSummary!E:E,MATCH($C98,HistoricSummary!$A:$A,0),1)&lt;&gt;"",$E98*INDEX(HistoricSummary!E:E,MATCH($C98,HistoricSummary!$A:$A,0),1)+$G98,""),AND($B98&lt;&gt;"",$D98="COST",$G98&lt;0),$G98,TRUE,)</f>
        <v>152.7094574</v>
      </c>
    </row>
    <row r="99">
      <c r="A99" s="184">
        <v>43923.0</v>
      </c>
      <c r="B99" s="229" t="s">
        <v>298</v>
      </c>
      <c r="C99" s="230" t="s">
        <v>299</v>
      </c>
      <c r="D99" s="231" t="s">
        <v>432</v>
      </c>
      <c r="E99" s="231"/>
      <c r="F99" s="232"/>
      <c r="G99" s="233">
        <v>-2.29</v>
      </c>
      <c r="H99" s="230" t="s">
        <v>525</v>
      </c>
      <c r="I99" s="235">
        <f t="array" ref="I99">IFS(AND($B99&lt;&gt;"",$E99&lt;&gt;""),IF(INDEX(HistoricSummary!D:D,MATCH($C99,HistoricSummary!$A:$A,0),1)&lt;&gt;"",$E99*INDEX(HistoricSummary!D:D,MATCH($C99,HistoricSummary!$A:$A,0),1)+$G99,""),AND($B99&lt;&gt;"",$D99="COST",$G99&lt;0),$G99,TRUE,)</f>
        <v>-2.29</v>
      </c>
      <c r="J99" s="235">
        <f t="array" ref="J99">IFS(AND($B99&lt;&gt;"",$E99&lt;&gt;""),IF(INDEX(HistoricSummary!E:E,MATCH($C99,HistoricSummary!$A:$A,0),1)&lt;&gt;"",$E99*INDEX(HistoricSummary!E:E,MATCH($C99,HistoricSummary!$A:$A,0),1)+$G99,""),AND($B99&lt;&gt;"",$D99="COST",$G99&lt;0),$G99,TRUE,)</f>
        <v>-2.29</v>
      </c>
    </row>
    <row r="100">
      <c r="A100" s="184">
        <v>43923.0</v>
      </c>
      <c r="B100" s="229" t="s">
        <v>292</v>
      </c>
      <c r="C100" s="230" t="s">
        <v>293</v>
      </c>
      <c r="D100" s="231" t="s">
        <v>415</v>
      </c>
      <c r="E100" s="231">
        <v>-2.0</v>
      </c>
      <c r="F100" s="232">
        <v>206.97</v>
      </c>
      <c r="G100" s="233">
        <v>413.94</v>
      </c>
      <c r="H100" s="230" t="s">
        <v>526</v>
      </c>
      <c r="I100" s="235">
        <f t="array" ref="I100">IFS(AND($B100&lt;&gt;"",$E100&lt;&gt;""),IF(INDEX(HistoricSummary!D:D,MATCH($C100,HistoricSummary!$A:$A,0),1)&lt;&gt;"",$E100*INDEX(HistoricSummary!D:D,MATCH($C100,HistoricSummary!$A:$A,0),1)+$G100,""),AND($B100&lt;&gt;"",$D100="COST",$G100&lt;0),$G100,TRUE,)</f>
        <v>41.02</v>
      </c>
      <c r="J100" s="235">
        <f t="array" ref="J100">IFS(AND($B100&lt;&gt;"",$E100&lt;&gt;""),IF(INDEX(HistoricSummary!E:E,MATCH($C100,HistoricSummary!$A:$A,0),1)&lt;&gt;"",$E100*INDEX(HistoricSummary!E:E,MATCH($C100,HistoricSummary!$A:$A,0),1)+$G100,""),AND($B100&lt;&gt;"",$D100="COST",$G100&lt;0),$G100,TRUE,)</f>
        <v>28.16062016</v>
      </c>
    </row>
    <row r="101">
      <c r="A101" s="184">
        <v>43923.0</v>
      </c>
      <c r="B101" s="229" t="s">
        <v>292</v>
      </c>
      <c r="C101" s="230" t="s">
        <v>293</v>
      </c>
      <c r="D101" s="231" t="s">
        <v>415</v>
      </c>
      <c r="E101" s="231">
        <v>-29.0</v>
      </c>
      <c r="F101" s="232">
        <v>206.97</v>
      </c>
      <c r="G101" s="233">
        <v>6002.13</v>
      </c>
      <c r="H101" s="230" t="s">
        <v>527</v>
      </c>
      <c r="I101" s="235">
        <f t="array" ref="I101">IFS(AND($B101&lt;&gt;"",$E101&lt;&gt;""),IF(INDEX(HistoricSummary!D:D,MATCH($C101,HistoricSummary!$A:$A,0),1)&lt;&gt;"",$E101*INDEX(HistoricSummary!D:D,MATCH($C101,HistoricSummary!$A:$A,0),1)+$G101,""),AND($B101&lt;&gt;"",$D101="COST",$G101&lt;0),$G101,TRUE,)</f>
        <v>594.79</v>
      </c>
      <c r="J101" s="235">
        <f t="array" ref="J101">IFS(AND($B101&lt;&gt;"",$E101&lt;&gt;""),IF(INDEX(HistoricSummary!E:E,MATCH($C101,HistoricSummary!$A:$A,0),1)&lt;&gt;"",$E101*INDEX(HistoricSummary!E:E,MATCH($C101,HistoricSummary!$A:$A,0),1)+$G101,""),AND($B101&lt;&gt;"",$D101="COST",$G101&lt;0),$G101,TRUE,)</f>
        <v>408.3289922</v>
      </c>
    </row>
    <row r="102">
      <c r="A102" s="184">
        <v>43923.0</v>
      </c>
      <c r="B102" s="229" t="s">
        <v>283</v>
      </c>
      <c r="C102" s="230" t="s">
        <v>286</v>
      </c>
      <c r="D102" s="231" t="s">
        <v>414</v>
      </c>
      <c r="E102" s="231">
        <v>174.0</v>
      </c>
      <c r="F102" s="232">
        <v>5.77</v>
      </c>
      <c r="G102" s="233">
        <v>-1003.98</v>
      </c>
      <c r="H102" s="230" t="s">
        <v>507</v>
      </c>
      <c r="I102" s="235">
        <f t="array" ref="I102">IFS(AND($B102&lt;&gt;"",$E102&lt;&gt;""),IF(INDEX(HistoricSummary!D:D,MATCH($C102,HistoricSummary!$A:$A,0),1)&lt;&gt;"",$E102*INDEX(HistoricSummary!D:D,MATCH($C102,HistoricSummary!$A:$A,0),1)+$G102,""),AND($B102&lt;&gt;"",$D102="COST",$G102&lt;0),$G102,TRUE,)</f>
        <v>125.802</v>
      </c>
      <c r="J102" s="235">
        <f t="array" ref="J102">IFS(AND($B102&lt;&gt;"",$E102&lt;&gt;""),IF(INDEX(HistoricSummary!E:E,MATCH($C102,HistoricSummary!$A:$A,0),1)&lt;&gt;"",$E102*INDEX(HistoricSummary!E:E,MATCH($C102,HistoricSummary!$A:$A,0),1)+$G102,""),AND($B102&lt;&gt;"",$D102="COST",$G102&lt;0),$G102,TRUE,)</f>
        <v>118.5668372</v>
      </c>
    </row>
    <row r="103">
      <c r="A103" s="184">
        <v>43923.0</v>
      </c>
      <c r="B103" s="229" t="s">
        <v>298</v>
      </c>
      <c r="C103" s="230" t="s">
        <v>299</v>
      </c>
      <c r="D103" s="231" t="s">
        <v>415</v>
      </c>
      <c r="E103" s="231">
        <v>-316.0</v>
      </c>
      <c r="F103" s="232">
        <v>5.8002</v>
      </c>
      <c r="G103" s="233">
        <v>1832.86</v>
      </c>
      <c r="H103" s="230" t="s">
        <v>528</v>
      </c>
      <c r="I103" s="235">
        <f t="array" ref="I103">IFS(AND($B103&lt;&gt;"",$E103&lt;&gt;""),IF(INDEX(HistoricSummary!D:D,MATCH($C103,HistoricSummary!$A:$A,0),1)&lt;&gt;"",$E103*INDEX(HistoricSummary!D:D,MATCH($C103,HistoricSummary!$A:$A,0),1)+$G103,""),AND($B103&lt;&gt;"",$D103="COST",$G103&lt;0),$G103,TRUE,)</f>
        <v>270.3032</v>
      </c>
      <c r="J103" s="235">
        <f t="array" ref="J103">IFS(AND($B103&lt;&gt;"",$E103&lt;&gt;""),IF(INDEX(HistoricSummary!E:E,MATCH($C103,HistoricSummary!$A:$A,0),1)&lt;&gt;"",$E103*INDEX(HistoricSummary!E:E,MATCH($C103,HistoricSummary!$A:$A,0),1)+$G103,""),AND($B103&lt;&gt;"",$D103="COST",$G103&lt;0),$G103,TRUE,)</f>
        <v>189.5191473</v>
      </c>
    </row>
    <row r="104">
      <c r="A104" s="184">
        <v>43923.0</v>
      </c>
      <c r="B104" s="229" t="s">
        <v>298</v>
      </c>
      <c r="C104" s="230" t="s">
        <v>299</v>
      </c>
      <c r="D104" s="231" t="s">
        <v>432</v>
      </c>
      <c r="E104" s="231"/>
      <c r="F104" s="232"/>
      <c r="G104" s="233">
        <v>-2.37</v>
      </c>
      <c r="H104" s="230" t="s">
        <v>529</v>
      </c>
      <c r="I104" s="235">
        <f t="array" ref="I104">IFS(AND($B104&lt;&gt;"",$E104&lt;&gt;""),IF(INDEX(HistoricSummary!D:D,MATCH($C104,HistoricSummary!$A:$A,0),1)&lt;&gt;"",$E104*INDEX(HistoricSummary!D:D,MATCH($C104,HistoricSummary!$A:$A,0),1)+$G104,""),AND($B104&lt;&gt;"",$D104="COST",$G104&lt;0),$G104,TRUE,)</f>
        <v>-2.37</v>
      </c>
      <c r="J104" s="235">
        <f t="array" ref="J104">IFS(AND($B104&lt;&gt;"",$E104&lt;&gt;""),IF(INDEX(HistoricSummary!E:E,MATCH($C104,HistoricSummary!$A:$A,0),1)&lt;&gt;"",$E104*INDEX(HistoricSummary!E:E,MATCH($C104,HistoricSummary!$A:$A,0),1)+$G104,""),AND($B104&lt;&gt;"",$D104="COST",$G104&lt;0),$G104,TRUE,)</f>
        <v>-2.37</v>
      </c>
    </row>
    <row r="105">
      <c r="A105" s="184">
        <v>43923.0</v>
      </c>
      <c r="B105" s="229" t="s">
        <v>283</v>
      </c>
      <c r="C105" s="230" t="s">
        <v>286</v>
      </c>
      <c r="D105" s="231" t="s">
        <v>414</v>
      </c>
      <c r="E105" s="231">
        <v>20.0</v>
      </c>
      <c r="F105" s="232">
        <v>5.77</v>
      </c>
      <c r="G105" s="233">
        <v>-115.4</v>
      </c>
      <c r="H105" s="230" t="s">
        <v>530</v>
      </c>
      <c r="I105" s="235">
        <f t="array" ref="I105">IFS(AND($B105&lt;&gt;"",$E105&lt;&gt;""),IF(INDEX(HistoricSummary!D:D,MATCH($C105,HistoricSummary!$A:$A,0),1)&lt;&gt;"",$E105*INDEX(HistoricSummary!D:D,MATCH($C105,HistoricSummary!$A:$A,0),1)+$G105,""),AND($B105&lt;&gt;"",$D105="COST",$G105&lt;0),$G105,TRUE,)</f>
        <v>14.46</v>
      </c>
      <c r="J105" s="235">
        <f t="array" ref="J105">IFS(AND($B105&lt;&gt;"",$E105&lt;&gt;""),IF(INDEX(HistoricSummary!E:E,MATCH($C105,HistoricSummary!$A:$A,0),1)&lt;&gt;"",$E105*INDEX(HistoricSummary!E:E,MATCH($C105,HistoricSummary!$A:$A,0),1)+$G105,""),AND($B105&lt;&gt;"",$D105="COST",$G105&lt;0),$G105,TRUE,)</f>
        <v>13.62837209</v>
      </c>
    </row>
    <row r="106">
      <c r="A106" s="184">
        <v>43923.0</v>
      </c>
      <c r="B106" s="229" t="s">
        <v>283</v>
      </c>
      <c r="C106" s="230" t="s">
        <v>286</v>
      </c>
      <c r="D106" s="231" t="s">
        <v>414</v>
      </c>
      <c r="E106" s="231">
        <v>153.0</v>
      </c>
      <c r="F106" s="232">
        <v>5.77</v>
      </c>
      <c r="G106" s="233">
        <v>-882.81</v>
      </c>
      <c r="H106" s="230" t="s">
        <v>531</v>
      </c>
      <c r="I106" s="235">
        <f t="array" ref="I106">IFS(AND($B106&lt;&gt;"",$E106&lt;&gt;""),IF(INDEX(HistoricSummary!D:D,MATCH($C106,HistoricSummary!$A:$A,0),1)&lt;&gt;"",$E106*INDEX(HistoricSummary!D:D,MATCH($C106,HistoricSummary!$A:$A,0),1)+$G106,""),AND($B106&lt;&gt;"",$D106="COST",$G106&lt;0),$G106,TRUE,)</f>
        <v>110.619</v>
      </c>
      <c r="J106" s="235">
        <f t="array" ref="J106">IFS(AND($B106&lt;&gt;"",$E106&lt;&gt;""),IF(INDEX(HistoricSummary!E:E,MATCH($C106,HistoricSummary!$A:$A,0),1)&lt;&gt;"",$E106*INDEX(HistoricSummary!E:E,MATCH($C106,HistoricSummary!$A:$A,0),1)+$G106,""),AND($B106&lt;&gt;"",$D106="COST",$G106&lt;0),$G106,TRUE,)</f>
        <v>104.2570465</v>
      </c>
    </row>
    <row r="107">
      <c r="A107" s="184">
        <v>43923.0</v>
      </c>
      <c r="B107" s="229" t="s">
        <v>283</v>
      </c>
      <c r="C107" s="230" t="s">
        <v>286</v>
      </c>
      <c r="D107" s="231" t="s">
        <v>414</v>
      </c>
      <c r="E107" s="231">
        <v>1.0</v>
      </c>
      <c r="F107" s="232">
        <v>5.77</v>
      </c>
      <c r="G107" s="233">
        <v>-5.77</v>
      </c>
      <c r="H107" s="230" t="s">
        <v>532</v>
      </c>
      <c r="I107" s="235">
        <f t="array" ref="I107">IFS(AND($B107&lt;&gt;"",$E107&lt;&gt;""),IF(INDEX(HistoricSummary!D:D,MATCH($C107,HistoricSummary!$A:$A,0),1)&lt;&gt;"",$E107*INDEX(HistoricSummary!D:D,MATCH($C107,HistoricSummary!$A:$A,0),1)+$G107,""),AND($B107&lt;&gt;"",$D107="COST",$G107&lt;0),$G107,TRUE,)</f>
        <v>0.723</v>
      </c>
      <c r="J107" s="235">
        <f t="array" ref="J107">IFS(AND($B107&lt;&gt;"",$E107&lt;&gt;""),IF(INDEX(HistoricSummary!E:E,MATCH($C107,HistoricSummary!$A:$A,0),1)&lt;&gt;"",$E107*INDEX(HistoricSummary!E:E,MATCH($C107,HistoricSummary!$A:$A,0),1)+$G107,""),AND($B107&lt;&gt;"",$D107="COST",$G107&lt;0),$G107,TRUE,)</f>
        <v>0.6814186047</v>
      </c>
    </row>
    <row r="108">
      <c r="A108" s="184">
        <v>43922.0</v>
      </c>
      <c r="B108" s="229"/>
      <c r="C108" s="230"/>
      <c r="D108" s="231" t="s">
        <v>454</v>
      </c>
      <c r="E108" s="231"/>
      <c r="F108" s="232"/>
      <c r="G108" s="233">
        <v>-200.0</v>
      </c>
      <c r="H108" s="230" t="s">
        <v>533</v>
      </c>
      <c r="I108" s="235" t="str">
        <f t="array" ref="I108">IFS(AND($B108&lt;&gt;"",$E108&lt;&gt;""),IF(INDEX(HistoricSummary!D:D,MATCH($C108,HistoricSummary!$A:$A,0),1)&lt;&gt;"",$E108*INDEX(HistoricSummary!D:D,MATCH($C108,HistoricSummary!$A:$A,0),1)+$G108,""),AND($B108&lt;&gt;"",$D108="COST",$G108&lt;0),$G108,TRUE,)</f>
        <v/>
      </c>
      <c r="J108" s="235" t="str">
        <f t="array" ref="J108">IFS(AND($B108&lt;&gt;"",$E108&lt;&gt;""),IF(INDEX(HistoricSummary!E:E,MATCH($C108,HistoricSummary!$A:$A,0),1)&lt;&gt;"",$E108*INDEX(HistoricSummary!E:E,MATCH($C108,HistoricSummary!$A:$A,0),1)+$G108,""),AND($B108&lt;&gt;"",$D108="COST",$G108&lt;0),$G108,TRUE,)</f>
        <v/>
      </c>
    </row>
    <row r="109">
      <c r="A109" s="184">
        <v>43922.0</v>
      </c>
      <c r="B109" s="229" t="s">
        <v>283</v>
      </c>
      <c r="C109" s="230" t="s">
        <v>286</v>
      </c>
      <c r="D109" s="231" t="s">
        <v>414</v>
      </c>
      <c r="E109" s="231">
        <v>174.0</v>
      </c>
      <c r="F109" s="232">
        <v>5.772</v>
      </c>
      <c r="G109" s="233">
        <v>-1004.33</v>
      </c>
      <c r="H109" s="230" t="s">
        <v>534</v>
      </c>
      <c r="I109" s="235">
        <f t="array" ref="I109">IFS(AND($B109&lt;&gt;"",$E109&lt;&gt;""),IF(INDEX(HistoricSummary!D:D,MATCH($C109,HistoricSummary!$A:$A,0),1)&lt;&gt;"",$E109*INDEX(HistoricSummary!D:D,MATCH($C109,HistoricSummary!$A:$A,0),1)+$G109,""),AND($B109&lt;&gt;"",$D109="COST",$G109&lt;0),$G109,TRUE,)</f>
        <v>125.452</v>
      </c>
      <c r="J109" s="235">
        <f t="array" ref="J109">IFS(AND($B109&lt;&gt;"",$E109&lt;&gt;""),IF(INDEX(HistoricSummary!E:E,MATCH($C109,HistoricSummary!$A:$A,0),1)&lt;&gt;"",$E109*INDEX(HistoricSummary!E:E,MATCH($C109,HistoricSummary!$A:$A,0),1)+$G109,""),AND($B109&lt;&gt;"",$D109="COST",$G109&lt;0),$G109,TRUE,)</f>
        <v>118.2168372</v>
      </c>
    </row>
    <row r="110">
      <c r="A110" s="184">
        <v>43922.0</v>
      </c>
      <c r="B110" s="229" t="s">
        <v>298</v>
      </c>
      <c r="C110" s="230" t="s">
        <v>299</v>
      </c>
      <c r="D110" s="231" t="s">
        <v>415</v>
      </c>
      <c r="E110" s="231">
        <v>-7555.0</v>
      </c>
      <c r="F110" s="232">
        <v>5.771</v>
      </c>
      <c r="G110" s="233">
        <v>43599.9</v>
      </c>
      <c r="H110" s="230" t="s">
        <v>535</v>
      </c>
      <c r="I110" s="235">
        <f t="array" ref="I110">IFS(AND($B110&lt;&gt;"",$E110&lt;&gt;""),IF(INDEX(HistoricSummary!D:D,MATCH($C110,HistoricSummary!$A:$A,0),1)&lt;&gt;"",$E110*INDEX(HistoricSummary!D:D,MATCH($C110,HistoricSummary!$A:$A,0),1)+$G110,""),AND($B110&lt;&gt;"",$D110="COST",$G110&lt;0),$G110,TRUE,)</f>
        <v>6241.936</v>
      </c>
      <c r="J110" s="235">
        <f t="array" ref="J110">IFS(AND($B110&lt;&gt;"",$E110&lt;&gt;""),IF(INDEX(HistoricSummary!E:E,MATCH($C110,HistoricSummary!$A:$A,0),1)&lt;&gt;"",$E110*INDEX(HistoricSummary!E:E,MATCH($C110,HistoricSummary!$A:$A,0),1)+$G110,""),AND($B110&lt;&gt;"",$D110="COST",$G110&lt;0),$G110,TRUE,)</f>
        <v>4310.532461</v>
      </c>
    </row>
    <row r="111">
      <c r="A111" s="184">
        <v>43922.0</v>
      </c>
      <c r="B111" s="229" t="s">
        <v>298</v>
      </c>
      <c r="C111" s="230" t="s">
        <v>299</v>
      </c>
      <c r="D111" s="231" t="s">
        <v>432</v>
      </c>
      <c r="E111" s="231"/>
      <c r="F111" s="232"/>
      <c r="G111" s="233">
        <v>-10.72</v>
      </c>
      <c r="H111" s="230" t="s">
        <v>536</v>
      </c>
      <c r="I111" s="235">
        <f t="array" ref="I111">IFS(AND($B111&lt;&gt;"",$E111&lt;&gt;""),IF(INDEX(HistoricSummary!D:D,MATCH($C111,HistoricSummary!$A:$A,0),1)&lt;&gt;"",$E111*INDEX(HistoricSummary!D:D,MATCH($C111,HistoricSummary!$A:$A,0),1)+$G111,""),AND($B111&lt;&gt;"",$D111="COST",$G111&lt;0),$G111,TRUE,)</f>
        <v>-10.72</v>
      </c>
      <c r="J111" s="235">
        <f t="array" ref="J111">IFS(AND($B111&lt;&gt;"",$E111&lt;&gt;""),IF(INDEX(HistoricSummary!E:E,MATCH($C111,HistoricSummary!$A:$A,0),1)&lt;&gt;"",$E111*INDEX(HistoricSummary!E:E,MATCH($C111,HistoricSummary!$A:$A,0),1)+$G111,""),AND($B111&lt;&gt;"",$D111="COST",$G111&lt;0),$G111,TRUE,)</f>
        <v>-10.72</v>
      </c>
    </row>
    <row r="112">
      <c r="A112" s="184">
        <v>43921.0</v>
      </c>
      <c r="B112" s="229"/>
      <c r="C112" s="230"/>
      <c r="D112" s="231" t="s">
        <v>432</v>
      </c>
      <c r="E112" s="231"/>
      <c r="F112" s="232"/>
      <c r="G112" s="233">
        <v>-806.35</v>
      </c>
      <c r="H112" s="230" t="s">
        <v>537</v>
      </c>
      <c r="I112" s="235" t="str">
        <f t="array" ref="I112">IFS(AND($B112&lt;&gt;"",$E112&lt;&gt;""),IF(INDEX(HistoricSummary!D:D,MATCH($C112,HistoricSummary!$A:$A,0),1)&lt;&gt;"",$E112*INDEX(HistoricSummary!D:D,MATCH($C112,HistoricSummary!$A:$A,0),1)+$G112,""),AND($B112&lt;&gt;"",$D112="COST",$G112&lt;0),$G112,TRUE,)</f>
        <v/>
      </c>
      <c r="J112" s="235" t="str">
        <f t="array" ref="J112">IFS(AND($B112&lt;&gt;"",$E112&lt;&gt;""),IF(INDEX(HistoricSummary!E:E,MATCH($C112,HistoricSummary!$A:$A,0),1)&lt;&gt;"",$E112*INDEX(HistoricSummary!E:E,MATCH($C112,HistoricSummary!$A:$A,0),1)+$G112,""),AND($B112&lt;&gt;"",$D112="COST",$G112&lt;0),$G112,TRUE,)</f>
        <v/>
      </c>
    </row>
    <row r="113">
      <c r="A113" s="184">
        <v>43917.0</v>
      </c>
      <c r="B113" s="229" t="s">
        <v>283</v>
      </c>
      <c r="C113" s="230" t="s">
        <v>286</v>
      </c>
      <c r="D113" s="231" t="s">
        <v>414</v>
      </c>
      <c r="E113" s="231">
        <v>80.0</v>
      </c>
      <c r="F113" s="232">
        <v>5.888</v>
      </c>
      <c r="G113" s="233">
        <v>-471.04</v>
      </c>
      <c r="H113" s="230" t="s">
        <v>538</v>
      </c>
      <c r="I113" s="235">
        <f t="array" ref="I113">IFS(AND($B113&lt;&gt;"",$E113&lt;&gt;""),IF(INDEX(HistoricSummary!D:D,MATCH($C113,HistoricSummary!$A:$A,0),1)&lt;&gt;"",$E113*INDEX(HistoricSummary!D:D,MATCH($C113,HistoricSummary!$A:$A,0),1)+$G113,""),AND($B113&lt;&gt;"",$D113="COST",$G113&lt;0),$G113,TRUE,)</f>
        <v>48.4</v>
      </c>
      <c r="J113" s="235">
        <f t="array" ref="J113">IFS(AND($B113&lt;&gt;"",$E113&lt;&gt;""),IF(INDEX(HistoricSummary!E:E,MATCH($C113,HistoricSummary!$A:$A,0),1)&lt;&gt;"",$E113*INDEX(HistoricSummary!E:E,MATCH($C113,HistoricSummary!$A:$A,0),1)+$G113,""),AND($B113&lt;&gt;"",$D113="COST",$G113&lt;0),$G113,TRUE,)</f>
        <v>45.07348837</v>
      </c>
    </row>
    <row r="114">
      <c r="A114" s="184">
        <v>43917.0</v>
      </c>
      <c r="B114" s="229" t="s">
        <v>283</v>
      </c>
      <c r="C114" s="230" t="s">
        <v>286</v>
      </c>
      <c r="D114" s="231" t="s">
        <v>414</v>
      </c>
      <c r="E114" s="231">
        <v>90.0</v>
      </c>
      <c r="F114" s="232">
        <v>5.888</v>
      </c>
      <c r="G114" s="233">
        <v>-529.92</v>
      </c>
      <c r="H114" s="230" t="s">
        <v>539</v>
      </c>
      <c r="I114" s="235">
        <f t="array" ref="I114">IFS(AND($B114&lt;&gt;"",$E114&lt;&gt;""),IF(INDEX(HistoricSummary!D:D,MATCH($C114,HistoricSummary!$A:$A,0),1)&lt;&gt;"",$E114*INDEX(HistoricSummary!D:D,MATCH($C114,HistoricSummary!$A:$A,0),1)+$G114,""),AND($B114&lt;&gt;"",$D114="COST",$G114&lt;0),$G114,TRUE,)</f>
        <v>54.45</v>
      </c>
      <c r="J114" s="235">
        <f t="array" ref="J114">IFS(AND($B114&lt;&gt;"",$E114&lt;&gt;""),IF(INDEX(HistoricSummary!E:E,MATCH($C114,HistoricSummary!$A:$A,0),1)&lt;&gt;"",$E114*INDEX(HistoricSummary!E:E,MATCH($C114,HistoricSummary!$A:$A,0),1)+$G114,""),AND($B114&lt;&gt;"",$D114="COST",$G114&lt;0),$G114,TRUE,)</f>
        <v>50.70767442</v>
      </c>
    </row>
    <row r="115">
      <c r="A115" s="184">
        <v>43913.0</v>
      </c>
      <c r="B115" s="229" t="s">
        <v>302</v>
      </c>
      <c r="C115" s="230" t="s">
        <v>303</v>
      </c>
      <c r="D115" s="231" t="s">
        <v>414</v>
      </c>
      <c r="E115" s="231">
        <v>311.0</v>
      </c>
      <c r="F115" s="232">
        <v>39.055</v>
      </c>
      <c r="G115" s="233">
        <v>-12146.1</v>
      </c>
      <c r="H115" s="230" t="s">
        <v>540</v>
      </c>
      <c r="I115" s="235">
        <f t="array" ref="I115">IFS(AND($B115&lt;&gt;"",$E115&lt;&gt;""),IF(INDEX(HistoricSummary!D:D,MATCH($C115,HistoricSummary!$A:$A,0),1)&lt;&gt;"",$E115*INDEX(HistoricSummary!D:D,MATCH($C115,HistoricSummary!$A:$A,0),1)+$G115,""),AND($B115&lt;&gt;"",$D115="COST",$G115&lt;0),$G115,TRUE,)</f>
        <v>5779.318</v>
      </c>
      <c r="J115" s="235">
        <f t="array" ref="J115">IFS(AND($B115&lt;&gt;"",$E115&lt;&gt;""),IF(INDEX(HistoricSummary!E:E,MATCH($C115,HistoricSummary!$A:$A,0),1)&lt;&gt;"",$E115*INDEX(HistoricSummary!E:E,MATCH($C115,HistoricSummary!$A:$A,0),1)+$G115,""),AND($B115&lt;&gt;"",$D115="COST",$G115&lt;0),$G115,TRUE,)</f>
        <v>4346.90745</v>
      </c>
    </row>
    <row r="116">
      <c r="A116" s="184">
        <v>43913.0</v>
      </c>
      <c r="B116" s="229" t="s">
        <v>302</v>
      </c>
      <c r="C116" s="230" t="s">
        <v>303</v>
      </c>
      <c r="D116" s="231" t="s">
        <v>414</v>
      </c>
      <c r="E116" s="231">
        <v>32.0</v>
      </c>
      <c r="F116" s="232">
        <v>39.5</v>
      </c>
      <c r="G116" s="233">
        <v>-1264.0</v>
      </c>
      <c r="H116" s="230" t="s">
        <v>541</v>
      </c>
      <c r="I116" s="235">
        <f t="array" ref="I116">IFS(AND($B116&lt;&gt;"",$E116&lt;&gt;""),IF(INDEX(HistoricSummary!D:D,MATCH($C116,HistoricSummary!$A:$A,0),1)&lt;&gt;"",$E116*INDEX(HistoricSummary!D:D,MATCH($C116,HistoricSummary!$A:$A,0),1)+$G116,""),AND($B116&lt;&gt;"",$D116="COST",$G116&lt;0),$G116,TRUE,)</f>
        <v>580.416</v>
      </c>
      <c r="J116" s="235">
        <f t="array" ref="J116">IFS(AND($B116&lt;&gt;"",$E116&lt;&gt;""),IF(INDEX(HistoricSummary!E:E,MATCH($C116,HistoricSummary!$A:$A,0),1)&lt;&gt;"",$E116*INDEX(HistoricSummary!E:E,MATCH($C116,HistoricSummary!$A:$A,0),1)+$G116,""),AND($B116&lt;&gt;"",$D116="COST",$G116&lt;0),$G116,TRUE,)</f>
        <v>433.0297054</v>
      </c>
    </row>
    <row r="117">
      <c r="A117" s="184">
        <v>43913.0</v>
      </c>
      <c r="B117" s="229" t="s">
        <v>302</v>
      </c>
      <c r="C117" s="230" t="s">
        <v>303</v>
      </c>
      <c r="D117" s="231" t="s">
        <v>414</v>
      </c>
      <c r="E117" s="231">
        <v>36.0</v>
      </c>
      <c r="F117" s="232">
        <v>39.55</v>
      </c>
      <c r="G117" s="233">
        <v>-1423.8</v>
      </c>
      <c r="H117" s="230" t="s">
        <v>542</v>
      </c>
      <c r="I117" s="235">
        <f t="array" ref="I117">IFS(AND($B117&lt;&gt;"",$E117&lt;&gt;""),IF(INDEX(HistoricSummary!D:D,MATCH($C117,HistoricSummary!$A:$A,0),1)&lt;&gt;"",$E117*INDEX(HistoricSummary!D:D,MATCH($C117,HistoricSummary!$A:$A,0),1)+$G117,""),AND($B117&lt;&gt;"",$D117="COST",$G117&lt;0),$G117,TRUE,)</f>
        <v>651.168</v>
      </c>
      <c r="J117" s="235">
        <f t="array" ref="J117">IFS(AND($B117&lt;&gt;"",$E117&lt;&gt;""),IF(INDEX(HistoricSummary!E:E,MATCH($C117,HistoricSummary!$A:$A,0),1)&lt;&gt;"",$E117*INDEX(HistoricSummary!E:E,MATCH($C117,HistoricSummary!$A:$A,0),1)+$G117,""),AND($B117&lt;&gt;"",$D117="COST",$G117&lt;0),$G117,TRUE,)</f>
        <v>485.3584186</v>
      </c>
    </row>
    <row r="118">
      <c r="A118" s="184">
        <v>43913.0</v>
      </c>
      <c r="B118" s="229" t="s">
        <v>302</v>
      </c>
      <c r="C118" s="230" t="s">
        <v>303</v>
      </c>
      <c r="D118" s="231" t="s">
        <v>414</v>
      </c>
      <c r="E118" s="231">
        <v>36.0</v>
      </c>
      <c r="F118" s="232">
        <v>39.89</v>
      </c>
      <c r="G118" s="233">
        <v>-1436.04</v>
      </c>
      <c r="H118" s="230" t="s">
        <v>543</v>
      </c>
      <c r="I118" s="235">
        <f t="array" ref="I118">IFS(AND($B118&lt;&gt;"",$E118&lt;&gt;""),IF(INDEX(HistoricSummary!D:D,MATCH($C118,HistoricSummary!$A:$A,0),1)&lt;&gt;"",$E118*INDEX(HistoricSummary!D:D,MATCH($C118,HistoricSummary!$A:$A,0),1)+$G118,""),AND($B118&lt;&gt;"",$D118="COST",$G118&lt;0),$G118,TRUE,)</f>
        <v>638.928</v>
      </c>
      <c r="J118" s="235">
        <f t="array" ref="J118">IFS(AND($B118&lt;&gt;"",$E118&lt;&gt;""),IF(INDEX(HistoricSummary!E:E,MATCH($C118,HistoricSummary!$A:$A,0),1)&lt;&gt;"",$E118*INDEX(HistoricSummary!E:E,MATCH($C118,HistoricSummary!$A:$A,0),1)+$G118,""),AND($B118&lt;&gt;"",$D118="COST",$G118&lt;0),$G118,TRUE,)</f>
        <v>473.1184186</v>
      </c>
    </row>
    <row r="119">
      <c r="A119" s="184">
        <v>43913.0</v>
      </c>
      <c r="B119" s="229" t="s">
        <v>302</v>
      </c>
      <c r="C119" s="230" t="s">
        <v>303</v>
      </c>
      <c r="D119" s="231" t="s">
        <v>414</v>
      </c>
      <c r="E119" s="231">
        <v>26.0</v>
      </c>
      <c r="F119" s="232">
        <v>39.955</v>
      </c>
      <c r="G119" s="233">
        <v>-1038.83</v>
      </c>
      <c r="H119" s="230" t="s">
        <v>544</v>
      </c>
      <c r="I119" s="235">
        <f t="array" ref="I119">IFS(AND($B119&lt;&gt;"",$E119&lt;&gt;""),IF(INDEX(HistoricSummary!D:D,MATCH($C119,HistoricSummary!$A:$A,0),1)&lt;&gt;"",$E119*INDEX(HistoricSummary!D:D,MATCH($C119,HistoricSummary!$A:$A,0),1)+$G119,""),AND($B119&lt;&gt;"",$D119="COST",$G119&lt;0),$G119,TRUE,)</f>
        <v>459.758</v>
      </c>
      <c r="J119" s="235">
        <f t="array" ref="J119">IFS(AND($B119&lt;&gt;"",$E119&lt;&gt;""),IF(INDEX(HistoricSummary!E:E,MATCH($C119,HistoricSummary!$A:$A,0),1)&lt;&gt;"",$E119*INDEX(HistoricSummary!E:E,MATCH($C119,HistoricSummary!$A:$A,0),1)+$G119,""),AND($B119&lt;&gt;"",$D119="COST",$G119&lt;0),$G119,TRUE,)</f>
        <v>340.0066357</v>
      </c>
    </row>
    <row r="120">
      <c r="A120" s="184">
        <v>43913.0</v>
      </c>
      <c r="B120" s="229" t="s">
        <v>302</v>
      </c>
      <c r="C120" s="230" t="s">
        <v>303</v>
      </c>
      <c r="D120" s="231" t="s">
        <v>414</v>
      </c>
      <c r="E120" s="231">
        <v>46.0</v>
      </c>
      <c r="F120" s="232">
        <v>40.0</v>
      </c>
      <c r="G120" s="233">
        <v>-1840.0</v>
      </c>
      <c r="H120" s="230" t="s">
        <v>545</v>
      </c>
      <c r="I120" s="235">
        <f t="array" ref="I120">IFS(AND($B120&lt;&gt;"",$E120&lt;&gt;""),IF(INDEX(HistoricSummary!D:D,MATCH($C120,HistoricSummary!$A:$A,0),1)&lt;&gt;"",$E120*INDEX(HistoricSummary!D:D,MATCH($C120,HistoricSummary!$A:$A,0),1)+$G120,""),AND($B120&lt;&gt;"",$D120="COST",$G120&lt;0),$G120,TRUE,)</f>
        <v>811.348</v>
      </c>
      <c r="J120" s="235">
        <f t="array" ref="J120">IFS(AND($B120&lt;&gt;"",$E120&lt;&gt;""),IF(INDEX(HistoricSummary!E:E,MATCH($C120,HistoricSummary!$A:$A,0),1)&lt;&gt;"",$E120*INDEX(HistoricSummary!E:E,MATCH($C120,HistoricSummary!$A:$A,0),1)+$G120,""),AND($B120&lt;&gt;"",$D120="COST",$G120&lt;0),$G120,TRUE,)</f>
        <v>599.4802016</v>
      </c>
    </row>
    <row r="121">
      <c r="A121" s="184">
        <v>43913.0</v>
      </c>
      <c r="B121" s="229" t="s">
        <v>302</v>
      </c>
      <c r="C121" s="230" t="s">
        <v>303</v>
      </c>
      <c r="D121" s="231" t="s">
        <v>414</v>
      </c>
      <c r="E121" s="231">
        <v>80.0</v>
      </c>
      <c r="F121" s="232">
        <v>40.11</v>
      </c>
      <c r="G121" s="233">
        <v>-3208.8</v>
      </c>
      <c r="H121" s="230" t="s">
        <v>546</v>
      </c>
      <c r="I121" s="235">
        <f t="array" ref="I121">IFS(AND($B121&lt;&gt;"",$E121&lt;&gt;""),IF(INDEX(HistoricSummary!D:D,MATCH($C121,HistoricSummary!$A:$A,0),1)&lt;&gt;"",$E121*INDEX(HistoricSummary!D:D,MATCH($C121,HistoricSummary!$A:$A,0),1)+$G121,""),AND($B121&lt;&gt;"",$D121="COST",$G121&lt;0),$G121,TRUE,)</f>
        <v>1402.24</v>
      </c>
      <c r="J121" s="235">
        <f t="array" ref="J121">IFS(AND($B121&lt;&gt;"",$E121&lt;&gt;""),IF(INDEX(HistoricSummary!E:E,MATCH($C121,HistoricSummary!$A:$A,0),1)&lt;&gt;"",$E121*INDEX(HistoricSummary!E:E,MATCH($C121,HistoricSummary!$A:$A,0),1)+$G121,""),AND($B121&lt;&gt;"",$D121="COST",$G121&lt;0),$G121,TRUE,)</f>
        <v>1033.774264</v>
      </c>
    </row>
    <row r="122">
      <c r="A122" s="184">
        <v>43906.0</v>
      </c>
      <c r="B122" s="229" t="s">
        <v>298</v>
      </c>
      <c r="C122" s="230" t="s">
        <v>299</v>
      </c>
      <c r="D122" s="231" t="s">
        <v>415</v>
      </c>
      <c r="E122" s="231">
        <v>-6581.0</v>
      </c>
      <c r="F122" s="232">
        <v>5.35</v>
      </c>
      <c r="G122" s="233">
        <v>35208.35</v>
      </c>
      <c r="H122" s="230" t="s">
        <v>547</v>
      </c>
      <c r="I122" s="235">
        <f t="array" ref="I122">IFS(AND($B122&lt;&gt;"",$E122&lt;&gt;""),IF(INDEX(HistoricSummary!D:D,MATCH($C122,HistoricSummary!$A:$A,0),1)&lt;&gt;"",$E122*INDEX(HistoricSummary!D:D,MATCH($C122,HistoricSummary!$A:$A,0),1)+$G122,""),AND($B122&lt;&gt;"",$D122="COST",$G122&lt;0),$G122,TRUE,)</f>
        <v>2666.6212</v>
      </c>
      <c r="J122" s="235">
        <f t="array" ref="J122">IFS(AND($B122&lt;&gt;"",$E122&lt;&gt;""),IF(INDEX(HistoricSummary!E:E,MATCH($C122,HistoricSummary!$A:$A,0),1)&lt;&gt;"",$E122*INDEX(HistoricSummary!E:E,MATCH($C122,HistoricSummary!$A:$A,0),1)+$G122,""),AND($B122&lt;&gt;"",$D122="COST",$G122&lt;0),$G122,TRUE,)</f>
        <v>984.2166085</v>
      </c>
    </row>
    <row r="123">
      <c r="A123" s="184">
        <v>43906.0</v>
      </c>
      <c r="B123" s="229" t="s">
        <v>298</v>
      </c>
      <c r="C123" s="230" t="s">
        <v>299</v>
      </c>
      <c r="D123" s="231" t="s">
        <v>432</v>
      </c>
      <c r="E123" s="231"/>
      <c r="F123" s="232"/>
      <c r="G123" s="233">
        <v>-9.04</v>
      </c>
      <c r="H123" s="230" t="s">
        <v>548</v>
      </c>
      <c r="I123" s="235">
        <f t="array" ref="I123">IFS(AND($B123&lt;&gt;"",$E123&lt;&gt;""),IF(INDEX(HistoricSummary!D:D,MATCH($C123,HistoricSummary!$A:$A,0),1)&lt;&gt;"",$E123*INDEX(HistoricSummary!D:D,MATCH($C123,HistoricSummary!$A:$A,0),1)+$G123,""),AND($B123&lt;&gt;"",$D123="COST",$G123&lt;0),$G123,TRUE,)</f>
        <v>-9.04</v>
      </c>
      <c r="J123" s="235">
        <f t="array" ref="J123">IFS(AND($B123&lt;&gt;"",$E123&lt;&gt;""),IF(INDEX(HistoricSummary!E:E,MATCH($C123,HistoricSummary!$A:$A,0),1)&lt;&gt;"",$E123*INDEX(HistoricSummary!E:E,MATCH($C123,HistoricSummary!$A:$A,0),1)+$G123,""),AND($B123&lt;&gt;"",$D123="COST",$G123&lt;0),$G123,TRUE,)</f>
        <v>-9.04</v>
      </c>
    </row>
    <row r="124">
      <c r="A124" s="184">
        <v>43906.0</v>
      </c>
      <c r="B124" s="229" t="s">
        <v>292</v>
      </c>
      <c r="C124" s="230" t="s">
        <v>293</v>
      </c>
      <c r="D124" s="231" t="s">
        <v>415</v>
      </c>
      <c r="E124" s="231">
        <v>-6.0</v>
      </c>
      <c r="F124" s="232">
        <v>197.79</v>
      </c>
      <c r="G124" s="233">
        <v>1186.74</v>
      </c>
      <c r="H124" s="230" t="s">
        <v>549</v>
      </c>
      <c r="I124" s="235">
        <f t="array" ref="I124">IFS(AND($B124&lt;&gt;"",$E124&lt;&gt;""),IF(INDEX(HistoricSummary!D:D,MATCH($C124,HistoricSummary!$A:$A,0),1)&lt;&gt;"",$E124*INDEX(HistoricSummary!D:D,MATCH($C124,HistoricSummary!$A:$A,0),1)+$G124,""),AND($B124&lt;&gt;"",$D124="COST",$G124&lt;0),$G124,TRUE,)</f>
        <v>67.98</v>
      </c>
      <c r="J124" s="235">
        <f t="array" ref="J124">IFS(AND($B124&lt;&gt;"",$E124&lt;&gt;""),IF(INDEX(HistoricSummary!E:E,MATCH($C124,HistoricSummary!$A:$A,0),1)&lt;&gt;"",$E124*INDEX(HistoricSummary!E:E,MATCH($C124,HistoricSummary!$A:$A,0),1)+$G124,""),AND($B124&lt;&gt;"",$D124="COST",$G124&lt;0),$G124,TRUE,)</f>
        <v>29.40186047</v>
      </c>
    </row>
    <row r="125">
      <c r="A125" s="184">
        <v>43902.0</v>
      </c>
      <c r="B125" s="229" t="s">
        <v>302</v>
      </c>
      <c r="C125" s="230" t="s">
        <v>303</v>
      </c>
      <c r="D125" s="231" t="s">
        <v>414</v>
      </c>
      <c r="E125" s="231">
        <v>125.0</v>
      </c>
      <c r="F125" s="232">
        <v>42.7</v>
      </c>
      <c r="G125" s="233">
        <v>-5337.5</v>
      </c>
      <c r="H125" s="230" t="s">
        <v>550</v>
      </c>
      <c r="I125" s="235">
        <f t="array" ref="I125">IFS(AND($B125&lt;&gt;"",$E125&lt;&gt;""),IF(INDEX(HistoricSummary!D:D,MATCH($C125,HistoricSummary!$A:$A,0),1)&lt;&gt;"",$E125*INDEX(HistoricSummary!D:D,MATCH($C125,HistoricSummary!$A:$A,0),1)+$G125,""),AND($B125&lt;&gt;"",$D125="COST",$G125&lt;0),$G125,TRUE,)</f>
        <v>1867.25</v>
      </c>
      <c r="J125" s="235">
        <f t="array" ref="J125">IFS(AND($B125&lt;&gt;"",$E125&lt;&gt;""),IF(INDEX(HistoricSummary!E:E,MATCH($C125,HistoricSummary!$A:$A,0),1)&lt;&gt;"",$E125*INDEX(HistoricSummary!E:E,MATCH($C125,HistoricSummary!$A:$A,0),1)+$G125,""),AND($B125&lt;&gt;"",$D125="COST",$G125&lt;0),$G125,TRUE,)</f>
        <v>1291.522287</v>
      </c>
    </row>
    <row r="126">
      <c r="A126" s="184">
        <v>43902.0</v>
      </c>
      <c r="B126" s="229" t="s">
        <v>302</v>
      </c>
      <c r="C126" s="230" t="s">
        <v>303</v>
      </c>
      <c r="D126" s="231" t="s">
        <v>414</v>
      </c>
      <c r="E126" s="231">
        <v>77.0</v>
      </c>
      <c r="F126" s="232">
        <v>42.7</v>
      </c>
      <c r="G126" s="233">
        <v>-3287.9</v>
      </c>
      <c r="H126" s="230" t="s">
        <v>551</v>
      </c>
      <c r="I126" s="235">
        <f t="array" ref="I126">IFS(AND($B126&lt;&gt;"",$E126&lt;&gt;""),IF(INDEX(HistoricSummary!D:D,MATCH($C126,HistoricSummary!$A:$A,0),1)&lt;&gt;"",$E126*INDEX(HistoricSummary!D:D,MATCH($C126,HistoricSummary!$A:$A,0),1)+$G126,""),AND($B126&lt;&gt;"",$D126="COST",$G126&lt;0),$G126,TRUE,)</f>
        <v>1150.226</v>
      </c>
      <c r="J126" s="235">
        <f t="array" ref="J126">IFS(AND($B126&lt;&gt;"",$E126&lt;&gt;""),IF(INDEX(HistoricSummary!E:E,MATCH($C126,HistoricSummary!$A:$A,0),1)&lt;&gt;"",$E126*INDEX(HistoricSummary!E:E,MATCH($C126,HistoricSummary!$A:$A,0),1)+$G126,""),AND($B126&lt;&gt;"",$D126="COST",$G126&lt;0),$G126,TRUE,)</f>
        <v>795.5777287</v>
      </c>
    </row>
    <row r="127">
      <c r="A127" s="184">
        <v>43902.0</v>
      </c>
      <c r="B127" s="229" t="s">
        <v>292</v>
      </c>
      <c r="C127" s="230" t="s">
        <v>293</v>
      </c>
      <c r="D127" s="231" t="s">
        <v>415</v>
      </c>
      <c r="E127" s="231">
        <v>-6.0</v>
      </c>
      <c r="F127" s="232">
        <v>198.05</v>
      </c>
      <c r="G127" s="233">
        <v>1188.3</v>
      </c>
      <c r="H127" s="230" t="s">
        <v>552</v>
      </c>
      <c r="I127" s="235">
        <f t="array" ref="I127">IFS(AND($B127&lt;&gt;"",$E127&lt;&gt;""),IF(INDEX(HistoricSummary!D:D,MATCH($C127,HistoricSummary!$A:$A,0),1)&lt;&gt;"",$E127*INDEX(HistoricSummary!D:D,MATCH($C127,HistoricSummary!$A:$A,0),1)+$G127,""),AND($B127&lt;&gt;"",$D127="COST",$G127&lt;0),$G127,TRUE,)</f>
        <v>69.54</v>
      </c>
      <c r="J127" s="235">
        <f t="array" ref="J127">IFS(AND($B127&lt;&gt;"",$E127&lt;&gt;""),IF(INDEX(HistoricSummary!E:E,MATCH($C127,HistoricSummary!$A:$A,0),1)&lt;&gt;"",$E127*INDEX(HistoricSummary!E:E,MATCH($C127,HistoricSummary!$A:$A,0),1)+$G127,""),AND($B127&lt;&gt;"",$D127="COST",$G127&lt;0),$G127,TRUE,)</f>
        <v>30.96186047</v>
      </c>
    </row>
    <row r="128">
      <c r="A128" s="184">
        <v>43902.0</v>
      </c>
      <c r="B128" s="229" t="s">
        <v>292</v>
      </c>
      <c r="C128" s="230" t="s">
        <v>293</v>
      </c>
      <c r="D128" s="231" t="s">
        <v>415</v>
      </c>
      <c r="E128" s="231">
        <v>-6.0</v>
      </c>
      <c r="F128" s="232">
        <v>197.05</v>
      </c>
      <c r="G128" s="233">
        <v>1182.3</v>
      </c>
      <c r="H128" s="230" t="s">
        <v>553</v>
      </c>
      <c r="I128" s="235">
        <f t="array" ref="I128">IFS(AND($B128&lt;&gt;"",$E128&lt;&gt;""),IF(INDEX(HistoricSummary!D:D,MATCH($C128,HistoricSummary!$A:$A,0),1)&lt;&gt;"",$E128*INDEX(HistoricSummary!D:D,MATCH($C128,HistoricSummary!$A:$A,0),1)+$G128,""),AND($B128&lt;&gt;"",$D128="COST",$G128&lt;0),$G128,TRUE,)</f>
        <v>63.54</v>
      </c>
      <c r="J128" s="235">
        <f t="array" ref="J128">IFS(AND($B128&lt;&gt;"",$E128&lt;&gt;""),IF(INDEX(HistoricSummary!E:E,MATCH($C128,HistoricSummary!$A:$A,0),1)&lt;&gt;"",$E128*INDEX(HistoricSummary!E:E,MATCH($C128,HistoricSummary!$A:$A,0),1)+$G128,""),AND($B128&lt;&gt;"",$D128="COST",$G128&lt;0),$G128,TRUE,)</f>
        <v>24.96186047</v>
      </c>
    </row>
    <row r="129">
      <c r="A129" s="184">
        <v>43901.0</v>
      </c>
      <c r="B129" s="229" t="s">
        <v>292</v>
      </c>
      <c r="C129" s="230" t="s">
        <v>293</v>
      </c>
      <c r="D129" s="231" t="s">
        <v>415</v>
      </c>
      <c r="E129" s="231">
        <v>-26.0</v>
      </c>
      <c r="F129" s="232">
        <v>196.25</v>
      </c>
      <c r="G129" s="233">
        <v>5102.5</v>
      </c>
      <c r="H129" s="230" t="s">
        <v>554</v>
      </c>
      <c r="I129" s="235">
        <f t="array" ref="I129">IFS(AND($B129&lt;&gt;"",$E129&lt;&gt;""),IF(INDEX(HistoricSummary!D:D,MATCH($C129,HistoricSummary!$A:$A,0),1)&lt;&gt;"",$E129*INDEX(HistoricSummary!D:D,MATCH($C129,HistoricSummary!$A:$A,0),1)+$G129,""),AND($B129&lt;&gt;"",$D129="COST",$G129&lt;0),$G129,TRUE,)</f>
        <v>254.54</v>
      </c>
      <c r="J129" s="235">
        <f t="array" ref="J129">IFS(AND($B129&lt;&gt;"",$E129&lt;&gt;""),IF(INDEX(HistoricSummary!E:E,MATCH($C129,HistoricSummary!$A:$A,0),1)&lt;&gt;"",$E129*INDEX(HistoricSummary!E:E,MATCH($C129,HistoricSummary!$A:$A,0),1)+$G129,""),AND($B129&lt;&gt;"",$D129="COST",$G129&lt;0),$G129,TRUE,)</f>
        <v>87.36806202</v>
      </c>
    </row>
    <row r="130">
      <c r="A130" s="184">
        <v>43901.0</v>
      </c>
      <c r="B130" s="229" t="s">
        <v>292</v>
      </c>
      <c r="C130" s="230" t="s">
        <v>293</v>
      </c>
      <c r="D130" s="231" t="s">
        <v>415</v>
      </c>
      <c r="E130" s="231">
        <v>-3.0</v>
      </c>
      <c r="F130" s="232">
        <v>196.25</v>
      </c>
      <c r="G130" s="233">
        <v>588.75</v>
      </c>
      <c r="H130" s="230" t="s">
        <v>555</v>
      </c>
      <c r="I130" s="235">
        <f t="array" ref="I130">IFS(AND($B130&lt;&gt;"",$E130&lt;&gt;""),IF(INDEX(HistoricSummary!D:D,MATCH($C130,HistoricSummary!$A:$A,0),1)&lt;&gt;"",$E130*INDEX(HistoricSummary!D:D,MATCH($C130,HistoricSummary!$A:$A,0),1)+$G130,""),AND($B130&lt;&gt;"",$D130="COST",$G130&lt;0),$G130,TRUE,)</f>
        <v>29.37</v>
      </c>
      <c r="J130" s="235">
        <f t="array" ref="J130">IFS(AND($B130&lt;&gt;"",$E130&lt;&gt;""),IF(INDEX(HistoricSummary!E:E,MATCH($C130,HistoricSummary!$A:$A,0),1)&lt;&gt;"",$E130*INDEX(HistoricSummary!E:E,MATCH($C130,HistoricSummary!$A:$A,0),1)+$G130,""),AND($B130&lt;&gt;"",$D130="COST",$G130&lt;0),$G130,TRUE,)</f>
        <v>10.08093023</v>
      </c>
    </row>
    <row r="131">
      <c r="A131" s="184">
        <v>43899.0</v>
      </c>
      <c r="B131" s="229" t="s">
        <v>302</v>
      </c>
      <c r="C131" s="230" t="s">
        <v>303</v>
      </c>
      <c r="D131" s="231" t="s">
        <v>414</v>
      </c>
      <c r="E131" s="231">
        <v>35.0</v>
      </c>
      <c r="F131" s="232">
        <v>45.3</v>
      </c>
      <c r="G131" s="233">
        <v>-1585.5</v>
      </c>
      <c r="H131" s="230" t="s">
        <v>556</v>
      </c>
      <c r="I131" s="235">
        <f t="array" ref="I131">IFS(AND($B131&lt;&gt;"",$E131&lt;&gt;""),IF(INDEX(HistoricSummary!D:D,MATCH($C131,HistoricSummary!$A:$A,0),1)&lt;&gt;"",$E131*INDEX(HistoricSummary!D:D,MATCH($C131,HistoricSummary!$A:$A,0),1)+$G131,""),AND($B131&lt;&gt;"",$D131="COST",$G131&lt;0),$G131,TRUE,)</f>
        <v>431.83</v>
      </c>
      <c r="J131" s="235">
        <f t="array" ref="J131">IFS(AND($B131&lt;&gt;"",$E131&lt;&gt;""),IF(INDEX(HistoricSummary!E:E,MATCH($C131,HistoricSummary!$A:$A,0),1)&lt;&gt;"",$E131*INDEX(HistoricSummary!E:E,MATCH($C131,HistoricSummary!$A:$A,0),1)+$G131,""),AND($B131&lt;&gt;"",$D131="COST",$G131&lt;0),$G131,TRUE,)</f>
        <v>270.6262403</v>
      </c>
    </row>
    <row r="132">
      <c r="A132" s="184">
        <v>43899.0</v>
      </c>
      <c r="B132" s="229" t="s">
        <v>302</v>
      </c>
      <c r="C132" s="230" t="s">
        <v>303</v>
      </c>
      <c r="D132" s="231" t="s">
        <v>414</v>
      </c>
      <c r="E132" s="231">
        <v>173.0</v>
      </c>
      <c r="F132" s="232">
        <v>45.41</v>
      </c>
      <c r="G132" s="233">
        <v>-7855.93</v>
      </c>
      <c r="H132" s="230" t="s">
        <v>557</v>
      </c>
      <c r="I132" s="235">
        <f t="array" ref="I132">IFS(AND($B132&lt;&gt;"",$E132&lt;&gt;""),IF(INDEX(HistoricSummary!D:D,MATCH($C132,HistoricSummary!$A:$A,0),1)&lt;&gt;"",$E132*INDEX(HistoricSummary!D:D,MATCH($C132,HistoricSummary!$A:$A,0),1)+$G132,""),AND($B132&lt;&gt;"",$D132="COST",$G132&lt;0),$G132,TRUE,)</f>
        <v>2115.444</v>
      </c>
      <c r="J132" s="235">
        <f t="array" ref="J132">IFS(AND($B132&lt;&gt;"",$E132&lt;&gt;""),IF(INDEX(HistoricSummary!E:E,MATCH($C132,HistoricSummary!$A:$A,0),1)&lt;&gt;"",$E132*INDEX(HistoricSummary!E:E,MATCH($C132,HistoricSummary!$A:$A,0),1)+$G132,""),AND($B132&lt;&gt;"",$D132="COST",$G132&lt;0),$G132,TRUE,)</f>
        <v>1318.636845</v>
      </c>
    </row>
    <row r="133">
      <c r="A133" s="184">
        <v>43899.0</v>
      </c>
      <c r="B133" s="229" t="s">
        <v>302</v>
      </c>
      <c r="C133" s="230" t="s">
        <v>303</v>
      </c>
      <c r="D133" s="231" t="s">
        <v>414</v>
      </c>
      <c r="E133" s="231">
        <v>61.0</v>
      </c>
      <c r="F133" s="232">
        <v>45.95</v>
      </c>
      <c r="G133" s="233">
        <v>-2802.95</v>
      </c>
      <c r="H133" s="230" t="s">
        <v>558</v>
      </c>
      <c r="I133" s="235">
        <f t="array" ref="I133">IFS(AND($B133&lt;&gt;"",$E133&lt;&gt;""),IF(INDEX(HistoricSummary!D:D,MATCH($C133,HistoricSummary!$A:$A,0),1)&lt;&gt;"",$E133*INDEX(HistoricSummary!D:D,MATCH($C133,HistoricSummary!$A:$A,0),1)+$G133,""),AND($B133&lt;&gt;"",$D133="COST",$G133&lt;0),$G133,TRUE,)</f>
        <v>712.968</v>
      </c>
      <c r="J133" s="235">
        <f t="array" ref="J133">IFS(AND($B133&lt;&gt;"",$E133&lt;&gt;""),IF(INDEX(HistoricSummary!E:E,MATCH($C133,HistoricSummary!$A:$A,0),1)&lt;&gt;"",$E133*INDEX(HistoricSummary!E:E,MATCH($C133,HistoricSummary!$A:$A,0),1)+$G133,""),AND($B133&lt;&gt;"",$D133="COST",$G133&lt;0),$G133,TRUE,)</f>
        <v>432.012876</v>
      </c>
    </row>
    <row r="134">
      <c r="A134" s="184">
        <v>43899.0</v>
      </c>
      <c r="B134" s="229" t="s">
        <v>302</v>
      </c>
      <c r="C134" s="230" t="s">
        <v>303</v>
      </c>
      <c r="D134" s="231" t="s">
        <v>414</v>
      </c>
      <c r="E134" s="231">
        <v>46.0</v>
      </c>
      <c r="F134" s="232">
        <v>46.2839</v>
      </c>
      <c r="G134" s="233">
        <v>-2129.06</v>
      </c>
      <c r="H134" s="230" t="s">
        <v>559</v>
      </c>
      <c r="I134" s="235">
        <f t="array" ref="I134">IFS(AND($B134&lt;&gt;"",$E134&lt;&gt;""),IF(INDEX(HistoricSummary!D:D,MATCH($C134,HistoricSummary!$A:$A,0),1)&lt;&gt;"",$E134*INDEX(HistoricSummary!D:D,MATCH($C134,HistoricSummary!$A:$A,0),1)+$G134,""),AND($B134&lt;&gt;"",$D134="COST",$G134&lt;0),$G134,TRUE,)</f>
        <v>522.288</v>
      </c>
      <c r="J134" s="235">
        <f t="array" ref="J134">IFS(AND($B134&lt;&gt;"",$E134&lt;&gt;""),IF(INDEX(HistoricSummary!E:E,MATCH($C134,HistoricSummary!$A:$A,0),1)&lt;&gt;"",$E134*INDEX(HistoricSummary!E:E,MATCH($C134,HistoricSummary!$A:$A,0),1)+$G134,""),AND($B134&lt;&gt;"",$D134="COST",$G134&lt;0),$G134,TRUE,)</f>
        <v>310.4202016</v>
      </c>
    </row>
    <row r="135">
      <c r="A135" s="184">
        <v>43899.0</v>
      </c>
      <c r="B135" s="229" t="s">
        <v>283</v>
      </c>
      <c r="C135" s="230" t="s">
        <v>286</v>
      </c>
      <c r="D135" s="231" t="s">
        <v>414</v>
      </c>
      <c r="E135" s="231">
        <v>164.0</v>
      </c>
      <c r="F135" s="232">
        <v>6.1</v>
      </c>
      <c r="G135" s="233">
        <v>-1000.4</v>
      </c>
      <c r="H135" s="230" t="s">
        <v>560</v>
      </c>
      <c r="I135" s="235">
        <f t="array" ref="I135">IFS(AND($B135&lt;&gt;"",$E135&lt;&gt;""),IF(INDEX(HistoricSummary!D:D,MATCH($C135,HistoricSummary!$A:$A,0),1)&lt;&gt;"",$E135*INDEX(HistoricSummary!D:D,MATCH($C135,HistoricSummary!$A:$A,0),1)+$G135,""),AND($B135&lt;&gt;"",$D135="COST",$G135&lt;0),$G135,TRUE,)</f>
        <v>64.452</v>
      </c>
      <c r="J135" s="235">
        <f t="array" ref="J135">IFS(AND($B135&lt;&gt;"",$E135&lt;&gt;""),IF(INDEX(HistoricSummary!E:E,MATCH($C135,HistoricSummary!$A:$A,0),1)&lt;&gt;"",$E135*INDEX(HistoricSummary!E:E,MATCH($C135,HistoricSummary!$A:$A,0),1)+$G135,""),AND($B135&lt;&gt;"",$D135="COST",$G135&lt;0),$G135,TRUE,)</f>
        <v>57.63265116</v>
      </c>
    </row>
    <row r="136">
      <c r="A136" s="184">
        <v>43899.0</v>
      </c>
      <c r="B136" s="229" t="s">
        <v>283</v>
      </c>
      <c r="C136" s="230" t="s">
        <v>286</v>
      </c>
      <c r="D136" s="231" t="s">
        <v>414</v>
      </c>
      <c r="E136" s="231">
        <v>708.0</v>
      </c>
      <c r="F136" s="232">
        <v>6.1</v>
      </c>
      <c r="G136" s="233">
        <v>-4318.8</v>
      </c>
      <c r="H136" s="230" t="s">
        <v>561</v>
      </c>
      <c r="I136" s="235">
        <f t="array" ref="I136">IFS(AND($B136&lt;&gt;"",$E136&lt;&gt;""),IF(INDEX(HistoricSummary!D:D,MATCH($C136,HistoricSummary!$A:$A,0),1)&lt;&gt;"",$E136*INDEX(HistoricSummary!D:D,MATCH($C136,HistoricSummary!$A:$A,0),1)+$G136,""),AND($B136&lt;&gt;"",$D136="COST",$G136&lt;0),$G136,TRUE,)</f>
        <v>278.244</v>
      </c>
      <c r="J136" s="235">
        <f t="array" ref="J136">IFS(AND($B136&lt;&gt;"",$E136&lt;&gt;""),IF(INDEX(HistoricSummary!E:E,MATCH($C136,HistoricSummary!$A:$A,0),1)&lt;&gt;"",$E136*INDEX(HistoricSummary!E:E,MATCH($C136,HistoricSummary!$A:$A,0),1)+$G136,""),AND($B136&lt;&gt;"",$D136="COST",$G136&lt;0),$G136,TRUE,)</f>
        <v>248.8043721</v>
      </c>
    </row>
    <row r="137">
      <c r="A137" s="184">
        <v>43899.0</v>
      </c>
      <c r="B137" s="229" t="s">
        <v>302</v>
      </c>
      <c r="C137" s="230" t="s">
        <v>303</v>
      </c>
      <c r="D137" s="231" t="s">
        <v>414</v>
      </c>
      <c r="E137" s="231">
        <v>242.0</v>
      </c>
      <c r="F137" s="232">
        <v>46.478</v>
      </c>
      <c r="G137" s="233">
        <v>-11247.68</v>
      </c>
      <c r="H137" s="230" t="s">
        <v>562</v>
      </c>
      <c r="I137" s="235">
        <f t="array" ref="I137">IFS(AND($B137&lt;&gt;"",$E137&lt;&gt;""),IF(INDEX(HistoricSummary!D:D,MATCH($C137,HistoricSummary!$A:$A,0),1)&lt;&gt;"",$E137*INDEX(HistoricSummary!D:D,MATCH($C137,HistoricSummary!$A:$A,0),1)+$G137,""),AND($B137&lt;&gt;"",$D137="COST",$G137&lt;0),$G137,TRUE,)</f>
        <v>2700.716</v>
      </c>
      <c r="J137" s="235">
        <f t="array" ref="J137">IFS(AND($B137&lt;&gt;"",$E137&lt;&gt;""),IF(INDEX(HistoricSummary!E:E,MATCH($C137,HistoricSummary!$A:$A,0),1)&lt;&gt;"",$E137*INDEX(HistoricSummary!E:E,MATCH($C137,HistoricSummary!$A:$A,0),1)+$G137,""),AND($B137&lt;&gt;"",$D137="COST",$G137&lt;0),$G137,TRUE,)</f>
        <v>1586.107147</v>
      </c>
    </row>
    <row r="138">
      <c r="A138" s="184">
        <v>43899.0</v>
      </c>
      <c r="B138" s="229" t="s">
        <v>283</v>
      </c>
      <c r="C138" s="230" t="s">
        <v>286</v>
      </c>
      <c r="D138" s="231" t="s">
        <v>414</v>
      </c>
      <c r="E138" s="231">
        <v>1240.0</v>
      </c>
      <c r="F138" s="232">
        <v>6.115</v>
      </c>
      <c r="G138" s="233">
        <v>-7582.6</v>
      </c>
      <c r="H138" s="230" t="s">
        <v>563</v>
      </c>
      <c r="I138" s="235">
        <f t="array" ref="I138">IFS(AND($B138&lt;&gt;"",$E138&lt;&gt;""),IF(INDEX(HistoricSummary!D:D,MATCH($C138,HistoricSummary!$A:$A,0),1)&lt;&gt;"",$E138*INDEX(HistoricSummary!D:D,MATCH($C138,HistoricSummary!$A:$A,0),1)+$G138,""),AND($B138&lt;&gt;"",$D138="COST",$G138&lt;0),$G138,TRUE,)</f>
        <v>468.72</v>
      </c>
      <c r="J138" s="235">
        <f t="array" ref="J138">IFS(AND($B138&lt;&gt;"",$E138&lt;&gt;""),IF(INDEX(HistoricSummary!E:E,MATCH($C138,HistoricSummary!$A:$A,0),1)&lt;&gt;"",$E138*INDEX(HistoricSummary!E:E,MATCH($C138,HistoricSummary!$A:$A,0),1)+$G138,""),AND($B138&lt;&gt;"",$D138="COST",$G138&lt;0),$G138,TRUE,)</f>
        <v>417.1590698</v>
      </c>
    </row>
    <row r="139">
      <c r="A139" s="184">
        <v>43899.0</v>
      </c>
      <c r="B139" s="229" t="s">
        <v>283</v>
      </c>
      <c r="C139" s="230" t="s">
        <v>286</v>
      </c>
      <c r="D139" s="231" t="s">
        <v>414</v>
      </c>
      <c r="E139" s="231">
        <v>23.0</v>
      </c>
      <c r="F139" s="232">
        <v>6.1</v>
      </c>
      <c r="G139" s="233">
        <v>-140.3</v>
      </c>
      <c r="H139" s="230" t="s">
        <v>564</v>
      </c>
      <c r="I139" s="235">
        <f t="array" ref="I139">IFS(AND($B139&lt;&gt;"",$E139&lt;&gt;""),IF(INDEX(HistoricSummary!D:D,MATCH($C139,HistoricSummary!$A:$A,0),1)&lt;&gt;"",$E139*INDEX(HistoricSummary!D:D,MATCH($C139,HistoricSummary!$A:$A,0),1)+$G139,""),AND($B139&lt;&gt;"",$D139="COST",$G139&lt;0),$G139,TRUE,)</f>
        <v>9.039</v>
      </c>
      <c r="J139" s="235">
        <f t="array" ref="J139">IFS(AND($B139&lt;&gt;"",$E139&lt;&gt;""),IF(INDEX(HistoricSummary!E:E,MATCH($C139,HistoricSummary!$A:$A,0),1)&lt;&gt;"",$E139*INDEX(HistoricSummary!E:E,MATCH($C139,HistoricSummary!$A:$A,0),1)+$G139,""),AND($B139&lt;&gt;"",$D139="COST",$G139&lt;0),$G139,TRUE,)</f>
        <v>8.082627907</v>
      </c>
    </row>
    <row r="140">
      <c r="A140" s="184">
        <v>43899.0</v>
      </c>
      <c r="B140" s="229" t="s">
        <v>283</v>
      </c>
      <c r="C140" s="230" t="s">
        <v>286</v>
      </c>
      <c r="D140" s="231" t="s">
        <v>414</v>
      </c>
      <c r="E140" s="231">
        <v>7.0</v>
      </c>
      <c r="F140" s="232">
        <v>6.1</v>
      </c>
      <c r="G140" s="233">
        <v>-42.7</v>
      </c>
      <c r="H140" s="230" t="s">
        <v>565</v>
      </c>
      <c r="I140" s="235">
        <f t="array" ref="I140">IFS(AND($B140&lt;&gt;"",$E140&lt;&gt;""),IF(INDEX(HistoricSummary!D:D,MATCH($C140,HistoricSummary!$A:$A,0),1)&lt;&gt;"",$E140*INDEX(HistoricSummary!D:D,MATCH($C140,HistoricSummary!$A:$A,0),1)+$G140,""),AND($B140&lt;&gt;"",$D140="COST",$G140&lt;0),$G140,TRUE,)</f>
        <v>2.751</v>
      </c>
      <c r="J140" s="235">
        <f t="array" ref="J140">IFS(AND($B140&lt;&gt;"",$E140&lt;&gt;""),IF(INDEX(HistoricSummary!E:E,MATCH($C140,HistoricSummary!$A:$A,0),1)&lt;&gt;"",$E140*INDEX(HistoricSummary!E:E,MATCH($C140,HistoricSummary!$A:$A,0),1)+$G140,""),AND($B140&lt;&gt;"",$D140="COST",$G140&lt;0),$G140,TRUE,)</f>
        <v>2.459930233</v>
      </c>
    </row>
    <row r="141">
      <c r="A141" s="184">
        <v>43899.0</v>
      </c>
      <c r="B141" s="229" t="s">
        <v>302</v>
      </c>
      <c r="C141" s="230" t="s">
        <v>303</v>
      </c>
      <c r="D141" s="231" t="s">
        <v>414</v>
      </c>
      <c r="E141" s="231">
        <v>394.0</v>
      </c>
      <c r="F141" s="232">
        <v>46.4</v>
      </c>
      <c r="G141" s="233">
        <v>-18281.6</v>
      </c>
      <c r="H141" s="230" t="s">
        <v>566</v>
      </c>
      <c r="I141" s="235">
        <f t="array" ref="I141">IFS(AND($B141&lt;&gt;"",$E141&lt;&gt;""),IF(INDEX(HistoricSummary!D:D,MATCH($C141,HistoricSummary!$A:$A,0),1)&lt;&gt;"",$E141*INDEX(HistoricSummary!D:D,MATCH($C141,HistoricSummary!$A:$A,0),1)+$G141,""),AND($B141&lt;&gt;"",$D141="COST",$G141&lt;0),$G141,TRUE,)</f>
        <v>4427.772</v>
      </c>
      <c r="J141" s="235">
        <f t="array" ref="J141">IFS(AND($B141&lt;&gt;"",$E141&lt;&gt;""),IF(INDEX(HistoricSummary!E:E,MATCH($C141,HistoricSummary!$A:$A,0),1)&lt;&gt;"",$E141*INDEX(HistoricSummary!E:E,MATCH($C141,HistoricSummary!$A:$A,0),1)+$G141,""),AND($B141&lt;&gt;"",$D141="COST",$G141&lt;0),$G141,TRUE,)</f>
        <v>2613.078248</v>
      </c>
    </row>
    <row r="142">
      <c r="A142" s="184">
        <v>43899.0</v>
      </c>
      <c r="B142" s="229" t="s">
        <v>302</v>
      </c>
      <c r="C142" s="230" t="s">
        <v>303</v>
      </c>
      <c r="D142" s="231" t="s">
        <v>414</v>
      </c>
      <c r="E142" s="231">
        <v>135.0</v>
      </c>
      <c r="F142" s="232">
        <v>46.4</v>
      </c>
      <c r="G142" s="233">
        <v>-6264.0</v>
      </c>
      <c r="H142" s="230" t="s">
        <v>567</v>
      </c>
      <c r="I142" s="235">
        <f t="array" ref="I142">IFS(AND($B142&lt;&gt;"",$E142&lt;&gt;""),IF(INDEX(HistoricSummary!D:D,MATCH($C142,HistoricSummary!$A:$A,0),1)&lt;&gt;"",$E142*INDEX(HistoricSummary!D:D,MATCH($C142,HistoricSummary!$A:$A,0),1)+$G142,""),AND($B142&lt;&gt;"",$D142="COST",$G142&lt;0),$G142,TRUE,)</f>
        <v>1517.13</v>
      </c>
      <c r="J142" s="235">
        <f t="array" ref="J142">IFS(AND($B142&lt;&gt;"",$E142&lt;&gt;""),IF(INDEX(HistoricSummary!E:E,MATCH($C142,HistoricSummary!$A:$A,0),1)&lt;&gt;"",$E142*INDEX(HistoricSummary!E:E,MATCH($C142,HistoricSummary!$A:$A,0),1)+$G142,""),AND($B142&lt;&gt;"",$D142="COST",$G142&lt;0),$G142,TRUE,)</f>
        <v>895.3440698</v>
      </c>
    </row>
    <row r="143">
      <c r="A143" s="184">
        <v>43899.0</v>
      </c>
      <c r="B143" s="229" t="s">
        <v>302</v>
      </c>
      <c r="C143" s="230" t="s">
        <v>303</v>
      </c>
      <c r="D143" s="231" t="s">
        <v>414</v>
      </c>
      <c r="E143" s="231">
        <v>2.0</v>
      </c>
      <c r="F143" s="232">
        <v>46.4</v>
      </c>
      <c r="G143" s="233">
        <v>-92.8</v>
      </c>
      <c r="H143" s="230" t="s">
        <v>568</v>
      </c>
      <c r="I143" s="235">
        <f t="array" ref="I143">IFS(AND($B143&lt;&gt;"",$E143&lt;&gt;""),IF(INDEX(HistoricSummary!D:D,MATCH($C143,HistoricSummary!$A:$A,0),1)&lt;&gt;"",$E143*INDEX(HistoricSummary!D:D,MATCH($C143,HistoricSummary!$A:$A,0),1)+$G143,""),AND($B143&lt;&gt;"",$D143="COST",$G143&lt;0),$G143,TRUE,)</f>
        <v>22.476</v>
      </c>
      <c r="J143" s="235">
        <f t="array" ref="J143">IFS(AND($B143&lt;&gt;"",$E143&lt;&gt;""),IF(INDEX(HistoricSummary!E:E,MATCH($C143,HistoricSummary!$A:$A,0),1)&lt;&gt;"",$E143*INDEX(HistoricSummary!E:E,MATCH($C143,HistoricSummary!$A:$A,0),1)+$G143,""),AND($B143&lt;&gt;"",$D143="COST",$G143&lt;0),$G143,TRUE,)</f>
        <v>13.26435659</v>
      </c>
    </row>
    <row r="144">
      <c r="A144" s="184">
        <v>43899.0</v>
      </c>
      <c r="B144" s="229" t="s">
        <v>302</v>
      </c>
      <c r="C144" s="230" t="s">
        <v>303</v>
      </c>
      <c r="D144" s="231" t="s">
        <v>414</v>
      </c>
      <c r="E144" s="231">
        <v>3.0</v>
      </c>
      <c r="F144" s="232">
        <v>46.4</v>
      </c>
      <c r="G144" s="233">
        <v>-139.2</v>
      </c>
      <c r="H144" s="230" t="s">
        <v>569</v>
      </c>
      <c r="I144" s="235">
        <f t="array" ref="I144">IFS(AND($B144&lt;&gt;"",$E144&lt;&gt;""),IF(INDEX(HistoricSummary!D:D,MATCH($C144,HistoricSummary!$A:$A,0),1)&lt;&gt;"",$E144*INDEX(HistoricSummary!D:D,MATCH($C144,HistoricSummary!$A:$A,0),1)+$G144,""),AND($B144&lt;&gt;"",$D144="COST",$G144&lt;0),$G144,TRUE,)</f>
        <v>33.714</v>
      </c>
      <c r="J144" s="235">
        <f t="array" ref="J144">IFS(AND($B144&lt;&gt;"",$E144&lt;&gt;""),IF(INDEX(HistoricSummary!E:E,MATCH($C144,HistoricSummary!$A:$A,0),1)&lt;&gt;"",$E144*INDEX(HistoricSummary!E:E,MATCH($C144,HistoricSummary!$A:$A,0),1)+$G144,""),AND($B144&lt;&gt;"",$D144="COST",$G144&lt;0),$G144,TRUE,)</f>
        <v>19.89653488</v>
      </c>
    </row>
    <row r="145">
      <c r="A145" s="184">
        <v>43899.0</v>
      </c>
      <c r="B145" s="229" t="s">
        <v>302</v>
      </c>
      <c r="C145" s="230" t="s">
        <v>303</v>
      </c>
      <c r="D145" s="231" t="s">
        <v>414</v>
      </c>
      <c r="E145" s="231">
        <v>9.0</v>
      </c>
      <c r="F145" s="232">
        <v>46.4</v>
      </c>
      <c r="G145" s="233">
        <v>-417.6</v>
      </c>
      <c r="H145" s="230" t="s">
        <v>570</v>
      </c>
      <c r="I145" s="235">
        <f t="array" ref="I145">IFS(AND($B145&lt;&gt;"",$E145&lt;&gt;""),IF(INDEX(HistoricSummary!D:D,MATCH($C145,HistoricSummary!$A:$A,0),1)&lt;&gt;"",$E145*INDEX(HistoricSummary!D:D,MATCH($C145,HistoricSummary!$A:$A,0),1)+$G145,""),AND($B145&lt;&gt;"",$D145="COST",$G145&lt;0),$G145,TRUE,)</f>
        <v>101.142</v>
      </c>
      <c r="J145" s="235">
        <f t="array" ref="J145">IFS(AND($B145&lt;&gt;"",$E145&lt;&gt;""),IF(INDEX(HistoricSummary!E:E,MATCH($C145,HistoricSummary!$A:$A,0),1)&lt;&gt;"",$E145*INDEX(HistoricSummary!E:E,MATCH($C145,HistoricSummary!$A:$A,0),1)+$G145,""),AND($B145&lt;&gt;"",$D145="COST",$G145&lt;0),$G145,TRUE,)</f>
        <v>59.68960465</v>
      </c>
    </row>
    <row r="146">
      <c r="A146" s="184">
        <v>43899.0</v>
      </c>
      <c r="B146" s="229" t="s">
        <v>302</v>
      </c>
      <c r="C146" s="230" t="s">
        <v>303</v>
      </c>
      <c r="D146" s="231" t="s">
        <v>414</v>
      </c>
      <c r="E146" s="231">
        <v>54.0</v>
      </c>
      <c r="F146" s="232">
        <v>46.4</v>
      </c>
      <c r="G146" s="233">
        <v>-2505.6</v>
      </c>
      <c r="H146" s="230" t="s">
        <v>571</v>
      </c>
      <c r="I146" s="235">
        <f t="array" ref="I146">IFS(AND($B146&lt;&gt;"",$E146&lt;&gt;""),IF(INDEX(HistoricSummary!D:D,MATCH($C146,HistoricSummary!$A:$A,0),1)&lt;&gt;"",$E146*INDEX(HistoricSummary!D:D,MATCH($C146,HistoricSummary!$A:$A,0),1)+$G146,""),AND($B146&lt;&gt;"",$D146="COST",$G146&lt;0),$G146,TRUE,)</f>
        <v>606.852</v>
      </c>
      <c r="J146" s="235">
        <f t="array" ref="J146">IFS(AND($B146&lt;&gt;"",$E146&lt;&gt;""),IF(INDEX(HistoricSummary!E:E,MATCH($C146,HistoricSummary!$A:$A,0),1)&lt;&gt;"",$E146*INDEX(HistoricSummary!E:E,MATCH($C146,HistoricSummary!$A:$A,0),1)+$G146,""),AND($B146&lt;&gt;"",$D146="COST",$G146&lt;0),$G146,TRUE,)</f>
        <v>358.1376279</v>
      </c>
    </row>
    <row r="147">
      <c r="A147" s="184">
        <v>43899.0</v>
      </c>
      <c r="B147" s="229" t="s">
        <v>302</v>
      </c>
      <c r="C147" s="230" t="s">
        <v>303</v>
      </c>
      <c r="D147" s="231" t="s">
        <v>414</v>
      </c>
      <c r="E147" s="231">
        <v>3.0</v>
      </c>
      <c r="F147" s="232">
        <v>46.4</v>
      </c>
      <c r="G147" s="233">
        <v>-139.2</v>
      </c>
      <c r="H147" s="230" t="s">
        <v>569</v>
      </c>
      <c r="I147" s="235">
        <f t="array" ref="I147">IFS(AND($B147&lt;&gt;"",$E147&lt;&gt;""),IF(INDEX(HistoricSummary!D:D,MATCH($C147,HistoricSummary!$A:$A,0),1)&lt;&gt;"",$E147*INDEX(HistoricSummary!D:D,MATCH($C147,HistoricSummary!$A:$A,0),1)+$G147,""),AND($B147&lt;&gt;"",$D147="COST",$G147&lt;0),$G147,TRUE,)</f>
        <v>33.714</v>
      </c>
      <c r="J147" s="235">
        <f t="array" ref="J147">IFS(AND($B147&lt;&gt;"",$E147&lt;&gt;""),IF(INDEX(HistoricSummary!E:E,MATCH($C147,HistoricSummary!$A:$A,0),1)&lt;&gt;"",$E147*INDEX(HistoricSummary!E:E,MATCH($C147,HistoricSummary!$A:$A,0),1)+$G147,""),AND($B147&lt;&gt;"",$D147="COST",$G147&lt;0),$G147,TRUE,)</f>
        <v>19.89653488</v>
      </c>
    </row>
    <row r="148">
      <c r="A148" s="184">
        <v>43899.0</v>
      </c>
      <c r="B148" s="229" t="s">
        <v>302</v>
      </c>
      <c r="C148" s="230" t="s">
        <v>303</v>
      </c>
      <c r="D148" s="231" t="s">
        <v>414</v>
      </c>
      <c r="E148" s="231">
        <v>1.0</v>
      </c>
      <c r="F148" s="232">
        <v>46.4</v>
      </c>
      <c r="G148" s="233">
        <v>-46.4</v>
      </c>
      <c r="H148" s="230" t="s">
        <v>572</v>
      </c>
      <c r="I148" s="235">
        <f t="array" ref="I148">IFS(AND($B148&lt;&gt;"",$E148&lt;&gt;""),IF(INDEX(HistoricSummary!D:D,MATCH($C148,HistoricSummary!$A:$A,0),1)&lt;&gt;"",$E148*INDEX(HistoricSummary!D:D,MATCH($C148,HistoricSummary!$A:$A,0),1)+$G148,""),AND($B148&lt;&gt;"",$D148="COST",$G148&lt;0),$G148,TRUE,)</f>
        <v>11.238</v>
      </c>
      <c r="J148" s="235">
        <f t="array" ref="J148">IFS(AND($B148&lt;&gt;"",$E148&lt;&gt;""),IF(INDEX(HistoricSummary!E:E,MATCH($C148,HistoricSummary!$A:$A,0),1)&lt;&gt;"",$E148*INDEX(HistoricSummary!E:E,MATCH($C148,HistoricSummary!$A:$A,0),1)+$G148,""),AND($B148&lt;&gt;"",$D148="COST",$G148&lt;0),$G148,TRUE,)</f>
        <v>6.632178295</v>
      </c>
    </row>
    <row r="149">
      <c r="A149" s="184">
        <v>43899.0</v>
      </c>
      <c r="B149" s="229" t="s">
        <v>302</v>
      </c>
      <c r="C149" s="230" t="s">
        <v>303</v>
      </c>
      <c r="D149" s="231" t="s">
        <v>414</v>
      </c>
      <c r="E149" s="231">
        <v>4.0</v>
      </c>
      <c r="F149" s="232">
        <v>46.4</v>
      </c>
      <c r="G149" s="233">
        <v>-185.6</v>
      </c>
      <c r="H149" s="230" t="s">
        <v>573</v>
      </c>
      <c r="I149" s="235">
        <f t="array" ref="I149">IFS(AND($B149&lt;&gt;"",$E149&lt;&gt;""),IF(INDEX(HistoricSummary!D:D,MATCH($C149,HistoricSummary!$A:$A,0),1)&lt;&gt;"",$E149*INDEX(HistoricSummary!D:D,MATCH($C149,HistoricSummary!$A:$A,0),1)+$G149,""),AND($B149&lt;&gt;"",$D149="COST",$G149&lt;0),$G149,TRUE,)</f>
        <v>44.952</v>
      </c>
      <c r="J149" s="235">
        <f t="array" ref="J149">IFS(AND($B149&lt;&gt;"",$E149&lt;&gt;""),IF(INDEX(HistoricSummary!E:E,MATCH($C149,HistoricSummary!$A:$A,0),1)&lt;&gt;"",$E149*INDEX(HistoricSummary!E:E,MATCH($C149,HistoricSummary!$A:$A,0),1)+$G149,""),AND($B149&lt;&gt;"",$D149="COST",$G149&lt;0),$G149,TRUE,)</f>
        <v>26.52871318</v>
      </c>
    </row>
    <row r="150">
      <c r="A150" s="184">
        <v>43899.0</v>
      </c>
      <c r="B150" s="229" t="s">
        <v>302</v>
      </c>
      <c r="C150" s="230" t="s">
        <v>303</v>
      </c>
      <c r="D150" s="231" t="s">
        <v>414</v>
      </c>
      <c r="E150" s="231">
        <v>125.0</v>
      </c>
      <c r="F150" s="232">
        <v>46.4</v>
      </c>
      <c r="G150" s="233">
        <v>-5800.0</v>
      </c>
      <c r="H150" s="230" t="s">
        <v>574</v>
      </c>
      <c r="I150" s="235">
        <f t="array" ref="I150">IFS(AND($B150&lt;&gt;"",$E150&lt;&gt;""),IF(INDEX(HistoricSummary!D:D,MATCH($C150,HistoricSummary!$A:$A,0),1)&lt;&gt;"",$E150*INDEX(HistoricSummary!D:D,MATCH($C150,HistoricSummary!$A:$A,0),1)+$G150,""),AND($B150&lt;&gt;"",$D150="COST",$G150&lt;0),$G150,TRUE,)</f>
        <v>1404.75</v>
      </c>
      <c r="J150" s="235">
        <f t="array" ref="J150">IFS(AND($B150&lt;&gt;"",$E150&lt;&gt;""),IF(INDEX(HistoricSummary!E:E,MATCH($C150,HistoricSummary!$A:$A,0),1)&lt;&gt;"",$E150*INDEX(HistoricSummary!E:E,MATCH($C150,HistoricSummary!$A:$A,0),1)+$G150,""),AND($B150&lt;&gt;"",$D150="COST",$G150&lt;0),$G150,TRUE,)</f>
        <v>829.0222868</v>
      </c>
    </row>
    <row r="151">
      <c r="A151" s="184">
        <v>43899.0</v>
      </c>
      <c r="B151" s="229" t="s">
        <v>302</v>
      </c>
      <c r="C151" s="230" t="s">
        <v>303</v>
      </c>
      <c r="D151" s="231" t="s">
        <v>414</v>
      </c>
      <c r="E151" s="231">
        <v>30.0</v>
      </c>
      <c r="F151" s="232">
        <v>46.4</v>
      </c>
      <c r="G151" s="233">
        <v>-1392.0</v>
      </c>
      <c r="H151" s="230" t="s">
        <v>575</v>
      </c>
      <c r="I151" s="235">
        <f t="array" ref="I151">IFS(AND($B151&lt;&gt;"",$E151&lt;&gt;""),IF(INDEX(HistoricSummary!D:D,MATCH($C151,HistoricSummary!$A:$A,0),1)&lt;&gt;"",$E151*INDEX(HistoricSummary!D:D,MATCH($C151,HistoricSummary!$A:$A,0),1)+$G151,""),AND($B151&lt;&gt;"",$D151="COST",$G151&lt;0),$G151,TRUE,)</f>
        <v>337.14</v>
      </c>
      <c r="J151" s="235">
        <f t="array" ref="J151">IFS(AND($B151&lt;&gt;"",$E151&lt;&gt;""),IF(INDEX(HistoricSummary!E:E,MATCH($C151,HistoricSummary!$A:$A,0),1)&lt;&gt;"",$E151*INDEX(HistoricSummary!E:E,MATCH($C151,HistoricSummary!$A:$A,0),1)+$G151,""),AND($B151&lt;&gt;"",$D151="COST",$G151&lt;0),$G151,TRUE,)</f>
        <v>198.9653488</v>
      </c>
    </row>
    <row r="152">
      <c r="A152" s="184">
        <v>43899.0</v>
      </c>
      <c r="B152" s="229" t="s">
        <v>302</v>
      </c>
      <c r="C152" s="230" t="s">
        <v>303</v>
      </c>
      <c r="D152" s="231" t="s">
        <v>414</v>
      </c>
      <c r="E152" s="231">
        <v>7.0</v>
      </c>
      <c r="F152" s="232">
        <v>46.4</v>
      </c>
      <c r="G152" s="233">
        <v>-324.8</v>
      </c>
      <c r="H152" s="230" t="s">
        <v>576</v>
      </c>
      <c r="I152" s="235">
        <f t="array" ref="I152">IFS(AND($B152&lt;&gt;"",$E152&lt;&gt;""),IF(INDEX(HistoricSummary!D:D,MATCH($C152,HistoricSummary!$A:$A,0),1)&lt;&gt;"",$E152*INDEX(HistoricSummary!D:D,MATCH($C152,HistoricSummary!$A:$A,0),1)+$G152,""),AND($B152&lt;&gt;"",$D152="COST",$G152&lt;0),$G152,TRUE,)</f>
        <v>78.666</v>
      </c>
      <c r="J152" s="235">
        <f t="array" ref="J152">IFS(AND($B152&lt;&gt;"",$E152&lt;&gt;""),IF(INDEX(HistoricSummary!E:E,MATCH($C152,HistoricSummary!$A:$A,0),1)&lt;&gt;"",$E152*INDEX(HistoricSummary!E:E,MATCH($C152,HistoricSummary!$A:$A,0),1)+$G152,""),AND($B152&lt;&gt;"",$D152="COST",$G152&lt;0),$G152,TRUE,)</f>
        <v>46.42524806</v>
      </c>
    </row>
    <row r="153">
      <c r="A153" s="184">
        <v>43899.0</v>
      </c>
      <c r="B153" s="229" t="s">
        <v>302</v>
      </c>
      <c r="C153" s="230" t="s">
        <v>303</v>
      </c>
      <c r="D153" s="231" t="s">
        <v>414</v>
      </c>
      <c r="E153" s="231">
        <v>26.0</v>
      </c>
      <c r="F153" s="232">
        <v>46.4</v>
      </c>
      <c r="G153" s="233">
        <v>-1206.4</v>
      </c>
      <c r="H153" s="230" t="s">
        <v>577</v>
      </c>
      <c r="I153" s="235">
        <f t="array" ref="I153">IFS(AND($B153&lt;&gt;"",$E153&lt;&gt;""),IF(INDEX(HistoricSummary!D:D,MATCH($C153,HistoricSummary!$A:$A,0),1)&lt;&gt;"",$E153*INDEX(HistoricSummary!D:D,MATCH($C153,HistoricSummary!$A:$A,0),1)+$G153,""),AND($B153&lt;&gt;"",$D153="COST",$G153&lt;0),$G153,TRUE,)</f>
        <v>292.188</v>
      </c>
      <c r="J153" s="235">
        <f t="array" ref="J153">IFS(AND($B153&lt;&gt;"",$E153&lt;&gt;""),IF(INDEX(HistoricSummary!E:E,MATCH($C153,HistoricSummary!$A:$A,0),1)&lt;&gt;"",$E153*INDEX(HistoricSummary!E:E,MATCH($C153,HistoricSummary!$A:$A,0),1)+$G153,""),AND($B153&lt;&gt;"",$D153="COST",$G153&lt;0),$G153,TRUE,)</f>
        <v>172.4366357</v>
      </c>
    </row>
    <row r="154">
      <c r="A154" s="184">
        <v>43896.0</v>
      </c>
      <c r="B154" s="229" t="s">
        <v>283</v>
      </c>
      <c r="C154" s="230" t="s">
        <v>286</v>
      </c>
      <c r="D154" s="231" t="s">
        <v>414</v>
      </c>
      <c r="E154" s="231">
        <v>589.0</v>
      </c>
      <c r="F154" s="232">
        <v>6.5</v>
      </c>
      <c r="G154" s="233">
        <v>-3828.5</v>
      </c>
      <c r="H154" s="230" t="s">
        <v>578</v>
      </c>
      <c r="I154" s="235">
        <f t="array" ref="I154">IFS(AND($B154&lt;&gt;"",$E154&lt;&gt;""),IF(INDEX(HistoricSummary!D:D,MATCH($C154,HistoricSummary!$A:$A,0),1)&lt;&gt;"",$E154*INDEX(HistoricSummary!D:D,MATCH($C154,HistoricSummary!$A:$A,0),1)+$G154,""),AND($B154&lt;&gt;"",$D154="COST",$G154&lt;0),$G154,TRUE,)</f>
        <v>-4.123</v>
      </c>
      <c r="J154" s="235">
        <f t="array" ref="J154">IFS(AND($B154&lt;&gt;"",$E154&lt;&gt;""),IF(INDEX(HistoricSummary!E:E,MATCH($C154,HistoricSummary!$A:$A,0),1)&lt;&gt;"",$E154*INDEX(HistoricSummary!E:E,MATCH($C154,HistoricSummary!$A:$A,0),1)+$G154,""),AND($B154&lt;&gt;"",$D154="COST",$G154&lt;0),$G154,TRUE,)</f>
        <v>-28.61444186</v>
      </c>
    </row>
    <row r="155">
      <c r="A155" s="184">
        <v>43896.0</v>
      </c>
      <c r="B155" s="229" t="s">
        <v>283</v>
      </c>
      <c r="C155" s="230" t="s">
        <v>286</v>
      </c>
      <c r="D155" s="231" t="s">
        <v>414</v>
      </c>
      <c r="E155" s="231">
        <v>414.0</v>
      </c>
      <c r="F155" s="232">
        <v>6.575</v>
      </c>
      <c r="G155" s="233">
        <v>-2722.05</v>
      </c>
      <c r="H155" s="230" t="s">
        <v>579</v>
      </c>
      <c r="I155" s="235">
        <f t="array" ref="I155">IFS(AND($B155&lt;&gt;"",$E155&lt;&gt;""),IF(INDEX(HistoricSummary!D:D,MATCH($C155,HistoricSummary!$A:$A,0),1)&lt;&gt;"",$E155*INDEX(HistoricSummary!D:D,MATCH($C155,HistoricSummary!$A:$A,0),1)+$G155,""),AND($B155&lt;&gt;"",$D155="COST",$G155&lt;0),$G155,TRUE,)</f>
        <v>-33.948</v>
      </c>
      <c r="J155" s="235">
        <f t="array" ref="J155">IFS(AND($B155&lt;&gt;"",$E155&lt;&gt;""),IF(INDEX(HistoricSummary!E:E,MATCH($C155,HistoricSummary!$A:$A,0),1)&lt;&gt;"",$E155*INDEX(HistoricSummary!E:E,MATCH($C155,HistoricSummary!$A:$A,0),1)+$G155,""),AND($B155&lt;&gt;"",$D155="COST",$G155&lt;0),$G155,TRUE,)</f>
        <v>-51.16269767</v>
      </c>
    </row>
    <row r="156">
      <c r="A156" s="184">
        <v>43896.0</v>
      </c>
      <c r="B156" s="229" t="s">
        <v>283</v>
      </c>
      <c r="C156" s="230" t="s">
        <v>286</v>
      </c>
      <c r="D156" s="231" t="s">
        <v>414</v>
      </c>
      <c r="E156" s="231">
        <v>164.0</v>
      </c>
      <c r="F156" s="232">
        <v>6.598</v>
      </c>
      <c r="G156" s="233">
        <v>-1082.07</v>
      </c>
      <c r="H156" s="230" t="s">
        <v>580</v>
      </c>
      <c r="I156" s="235">
        <f t="array" ref="I156">IFS(AND($B156&lt;&gt;"",$E156&lt;&gt;""),IF(INDEX(HistoricSummary!D:D,MATCH($C156,HistoricSummary!$A:$A,0),1)&lt;&gt;"",$E156*INDEX(HistoricSummary!D:D,MATCH($C156,HistoricSummary!$A:$A,0),1)+$G156,""),AND($B156&lt;&gt;"",$D156="COST",$G156&lt;0),$G156,TRUE,)</f>
        <v>-17.218</v>
      </c>
      <c r="J156" s="235">
        <f t="array" ref="J156">IFS(AND($B156&lt;&gt;"",$E156&lt;&gt;""),IF(INDEX(HistoricSummary!E:E,MATCH($C156,HistoricSummary!$A:$A,0),1)&lt;&gt;"",$E156*INDEX(HistoricSummary!E:E,MATCH($C156,HistoricSummary!$A:$A,0),1)+$G156,""),AND($B156&lt;&gt;"",$D156="COST",$G156&lt;0),$G156,TRUE,)</f>
        <v>-24.03734884</v>
      </c>
    </row>
    <row r="157">
      <c r="A157" s="184">
        <v>43893.0</v>
      </c>
      <c r="B157" s="229"/>
      <c r="C157" s="230"/>
      <c r="D157" s="231" t="s">
        <v>454</v>
      </c>
      <c r="E157" s="231"/>
      <c r="F157" s="232"/>
      <c r="G157" s="233">
        <v>-300.0</v>
      </c>
      <c r="H157" s="230" t="s">
        <v>581</v>
      </c>
      <c r="I157" s="235" t="str">
        <f t="array" ref="I157">IFS(AND($B157&lt;&gt;"",$E157&lt;&gt;""),IF(INDEX(HistoricSummary!D:D,MATCH($C157,HistoricSummary!$A:$A,0),1)&lt;&gt;"",$E157*INDEX(HistoricSummary!D:D,MATCH($C157,HistoricSummary!$A:$A,0),1)+$G157,""),AND($B157&lt;&gt;"",$D157="COST",$G157&lt;0),$G157,TRUE,)</f>
        <v/>
      </c>
      <c r="J157" s="235" t="str">
        <f t="array" ref="J157">IFS(AND($B157&lt;&gt;"",$E157&lt;&gt;""),IF(INDEX(HistoricSummary!E:E,MATCH($C157,HistoricSummary!$A:$A,0),1)&lt;&gt;"",$E157*INDEX(HistoricSummary!E:E,MATCH($C157,HistoricSummary!$A:$A,0),1)+$G157,""),AND($B157&lt;&gt;"",$D157="COST",$G157&lt;0),$G157,TRUE,)</f>
        <v/>
      </c>
    </row>
    <row r="158">
      <c r="A158" s="184">
        <v>43892.0</v>
      </c>
      <c r="B158" s="229"/>
      <c r="C158" s="230"/>
      <c r="D158" s="231" t="s">
        <v>454</v>
      </c>
      <c r="E158" s="231"/>
      <c r="F158" s="232"/>
      <c r="G158" s="233">
        <v>-400.0</v>
      </c>
      <c r="H158" s="230" t="s">
        <v>499</v>
      </c>
      <c r="I158" s="235" t="str">
        <f t="array" ref="I158">IFS(AND($B158&lt;&gt;"",$E158&lt;&gt;""),IF(INDEX(HistoricSummary!D:D,MATCH($C158,HistoricSummary!$A:$A,0),1)&lt;&gt;"",$E158*INDEX(HistoricSummary!D:D,MATCH($C158,HistoricSummary!$A:$A,0),1)+$G158,""),AND($B158&lt;&gt;"",$D158="COST",$G158&lt;0),$G158,TRUE,)</f>
        <v/>
      </c>
      <c r="J158" s="235" t="str">
        <f t="array" ref="J158">IFS(AND($B158&lt;&gt;"",$E158&lt;&gt;""),IF(INDEX(HistoricSummary!E:E,MATCH($C158,HistoricSummary!$A:$A,0),1)&lt;&gt;"",$E158*INDEX(HistoricSummary!E:E,MATCH($C158,HistoricSummary!$A:$A,0),1)+$G158,""),AND($B158&lt;&gt;"",$D158="COST",$G158&lt;0),$G158,TRUE,)</f>
        <v/>
      </c>
    </row>
    <row r="159">
      <c r="A159" s="184">
        <v>43892.0</v>
      </c>
      <c r="B159" s="229" t="s">
        <v>283</v>
      </c>
      <c r="C159" s="230" t="s">
        <v>286</v>
      </c>
      <c r="D159" s="231" t="s">
        <v>414</v>
      </c>
      <c r="E159" s="231">
        <v>63.0</v>
      </c>
      <c r="F159" s="232">
        <v>6.676</v>
      </c>
      <c r="G159" s="233">
        <v>-420.59</v>
      </c>
      <c r="H159" s="230" t="s">
        <v>582</v>
      </c>
      <c r="I159" s="235">
        <f t="array" ref="I159">IFS(AND($B159&lt;&gt;"",$E159&lt;&gt;""),IF(INDEX(HistoricSummary!D:D,MATCH($C159,HistoricSummary!$A:$A,0),1)&lt;&gt;"",$E159*INDEX(HistoricSummary!D:D,MATCH($C159,HistoricSummary!$A:$A,0),1)+$G159,""),AND($B159&lt;&gt;"",$D159="COST",$G159&lt;0),$G159,TRUE,)</f>
        <v>-11.531</v>
      </c>
      <c r="J159" s="235">
        <f t="array" ref="J159">IFS(AND($B159&lt;&gt;"",$E159&lt;&gt;""),IF(INDEX(HistoricSummary!E:E,MATCH($C159,HistoricSummary!$A:$A,0),1)&lt;&gt;"",$E159*INDEX(HistoricSummary!E:E,MATCH($C159,HistoricSummary!$A:$A,0),1)+$G159,""),AND($B159&lt;&gt;"",$D159="COST",$G159&lt;0),$G159,TRUE,)</f>
        <v>-14.15062791</v>
      </c>
    </row>
    <row r="160">
      <c r="A160" s="184">
        <v>43890.0</v>
      </c>
      <c r="B160" s="229"/>
      <c r="C160" s="230"/>
      <c r="D160" s="231" t="s">
        <v>432</v>
      </c>
      <c r="E160" s="231"/>
      <c r="F160" s="232"/>
      <c r="G160" s="233">
        <v>-453.97</v>
      </c>
      <c r="H160" s="230" t="s">
        <v>583</v>
      </c>
      <c r="I160" s="235" t="str">
        <f t="array" ref="I160">IFS(AND($B160&lt;&gt;"",$E160&lt;&gt;""),IF(INDEX(HistoricSummary!D:D,MATCH($C160,HistoricSummary!$A:$A,0),1)&lt;&gt;"",$E160*INDEX(HistoricSummary!D:D,MATCH($C160,HistoricSummary!$A:$A,0),1)+$G160,""),AND($B160&lt;&gt;"",$D160="COST",$G160&lt;0),$G160,TRUE,)</f>
        <v/>
      </c>
      <c r="J160" s="235" t="str">
        <f t="array" ref="J160">IFS(AND($B160&lt;&gt;"",$E160&lt;&gt;""),IF(INDEX(HistoricSummary!E:E,MATCH($C160,HistoricSummary!$A:$A,0),1)&lt;&gt;"",$E160*INDEX(HistoricSummary!E:E,MATCH($C160,HistoricSummary!$A:$A,0),1)+$G160,""),AND($B160&lt;&gt;"",$D160="COST",$G160&lt;0),$G160,TRUE,)</f>
        <v/>
      </c>
    </row>
    <row r="161">
      <c r="A161" s="184">
        <v>43889.0</v>
      </c>
      <c r="B161" s="229" t="s">
        <v>302</v>
      </c>
      <c r="C161" s="230" t="s">
        <v>303</v>
      </c>
      <c r="D161" s="231" t="s">
        <v>414</v>
      </c>
      <c r="E161" s="231">
        <v>31.0</v>
      </c>
      <c r="F161" s="232">
        <v>50.4</v>
      </c>
      <c r="G161" s="233">
        <v>-1562.4</v>
      </c>
      <c r="H161" s="230" t="s">
        <v>584</v>
      </c>
      <c r="I161" s="235">
        <f t="array" ref="I161">IFS(AND($B161&lt;&gt;"",$E161&lt;&gt;""),IF(INDEX(HistoricSummary!D:D,MATCH($C161,HistoricSummary!$A:$A,0),1)&lt;&gt;"",$E161*INDEX(HistoricSummary!D:D,MATCH($C161,HistoricSummary!$A:$A,0),1)+$G161,""),AND($B161&lt;&gt;"",$D161="COST",$G161&lt;0),$G161,TRUE,)</f>
        <v>224.378</v>
      </c>
      <c r="J161" s="235">
        <f t="array" ref="J161">IFS(AND($B161&lt;&gt;"",$E161&lt;&gt;""),IF(INDEX(HistoricSummary!E:E,MATCH($C161,HistoricSummary!$A:$A,0),1)&lt;&gt;"",$E161*INDEX(HistoricSummary!E:E,MATCH($C161,HistoricSummary!$A:$A,0),1)+$G161,""),AND($B161&lt;&gt;"",$D161="COST",$G161&lt;0),$G161,TRUE,)</f>
        <v>81.59752713</v>
      </c>
    </row>
    <row r="162">
      <c r="A162" s="184">
        <v>43889.0</v>
      </c>
      <c r="B162" s="229" t="s">
        <v>283</v>
      </c>
      <c r="C162" s="230" t="s">
        <v>286</v>
      </c>
      <c r="D162" s="231" t="s">
        <v>414</v>
      </c>
      <c r="E162" s="231">
        <v>150.0</v>
      </c>
      <c r="F162" s="232">
        <v>6.7</v>
      </c>
      <c r="G162" s="233">
        <v>-1005.0</v>
      </c>
      <c r="H162" s="230" t="s">
        <v>585</v>
      </c>
      <c r="I162" s="235">
        <f t="array" ref="I162">IFS(AND($B162&lt;&gt;"",$E162&lt;&gt;""),IF(INDEX(HistoricSummary!D:D,MATCH($C162,HistoricSummary!$A:$A,0),1)&lt;&gt;"",$E162*INDEX(HistoricSummary!D:D,MATCH($C162,HistoricSummary!$A:$A,0),1)+$G162,""),AND($B162&lt;&gt;"",$D162="COST",$G162&lt;0),$G162,TRUE,)</f>
        <v>-31.05</v>
      </c>
      <c r="J162" s="235">
        <f t="array" ref="J162">IFS(AND($B162&lt;&gt;"",$E162&lt;&gt;""),IF(INDEX(HistoricSummary!E:E,MATCH($C162,HistoricSummary!$A:$A,0),1)&lt;&gt;"",$E162*INDEX(HistoricSummary!E:E,MATCH($C162,HistoricSummary!$A:$A,0),1)+$G162,""),AND($B162&lt;&gt;"",$D162="COST",$G162&lt;0),$G162,TRUE,)</f>
        <v>-37.2872093</v>
      </c>
    </row>
    <row r="163">
      <c r="A163" s="184">
        <v>43889.0</v>
      </c>
      <c r="B163" s="229" t="s">
        <v>302</v>
      </c>
      <c r="C163" s="230" t="s">
        <v>303</v>
      </c>
      <c r="D163" s="231" t="s">
        <v>414</v>
      </c>
      <c r="E163" s="231">
        <v>54.0</v>
      </c>
      <c r="F163" s="232">
        <v>50.0</v>
      </c>
      <c r="G163" s="233">
        <v>-2700.0</v>
      </c>
      <c r="H163" s="230" t="s">
        <v>586</v>
      </c>
      <c r="I163" s="235">
        <f t="array" ref="I163">IFS(AND($B163&lt;&gt;"",$E163&lt;&gt;""),IF(INDEX(HistoricSummary!D:D,MATCH($C163,HistoricSummary!$A:$A,0),1)&lt;&gt;"",$E163*INDEX(HistoricSummary!D:D,MATCH($C163,HistoricSummary!$A:$A,0),1)+$G163,""),AND($B163&lt;&gt;"",$D163="COST",$G163&lt;0),$G163,TRUE,)</f>
        <v>412.452</v>
      </c>
      <c r="J163" s="235">
        <f t="array" ref="J163">IFS(AND($B163&lt;&gt;"",$E163&lt;&gt;""),IF(INDEX(HistoricSummary!E:E,MATCH($C163,HistoricSummary!$A:$A,0),1)&lt;&gt;"",$E163*INDEX(HistoricSummary!E:E,MATCH($C163,HistoricSummary!$A:$A,0),1)+$G163,""),AND($B163&lt;&gt;"",$D163="COST",$G163&lt;0),$G163,TRUE,)</f>
        <v>163.7376279</v>
      </c>
    </row>
    <row r="164">
      <c r="A164" s="184">
        <v>43889.0</v>
      </c>
      <c r="B164" s="229" t="s">
        <v>302</v>
      </c>
      <c r="C164" s="230" t="s">
        <v>303</v>
      </c>
      <c r="D164" s="231" t="s">
        <v>414</v>
      </c>
      <c r="E164" s="231">
        <v>1.0</v>
      </c>
      <c r="F164" s="232">
        <v>50.0</v>
      </c>
      <c r="G164" s="233">
        <v>-50.0</v>
      </c>
      <c r="H164" s="230" t="s">
        <v>587</v>
      </c>
      <c r="I164" s="235">
        <f t="array" ref="I164">IFS(AND($B164&lt;&gt;"",$E164&lt;&gt;""),IF(INDEX(HistoricSummary!D:D,MATCH($C164,HistoricSummary!$A:$A,0),1)&lt;&gt;"",$E164*INDEX(HistoricSummary!D:D,MATCH($C164,HistoricSummary!$A:$A,0),1)+$G164,""),AND($B164&lt;&gt;"",$D164="COST",$G164&lt;0),$G164,TRUE,)</f>
        <v>7.638</v>
      </c>
      <c r="J164" s="235">
        <f t="array" ref="J164">IFS(AND($B164&lt;&gt;"",$E164&lt;&gt;""),IF(INDEX(HistoricSummary!E:E,MATCH($C164,HistoricSummary!$A:$A,0),1)&lt;&gt;"",$E164*INDEX(HistoricSummary!E:E,MATCH($C164,HistoricSummary!$A:$A,0),1)+$G164,""),AND($B164&lt;&gt;"",$D164="COST",$G164&lt;0),$G164,TRUE,)</f>
        <v>3.032178295</v>
      </c>
    </row>
    <row r="165">
      <c r="A165" s="184">
        <v>43889.0</v>
      </c>
      <c r="B165" s="229" t="s">
        <v>302</v>
      </c>
      <c r="C165" s="230" t="s">
        <v>303</v>
      </c>
      <c r="D165" s="231" t="s">
        <v>414</v>
      </c>
      <c r="E165" s="231">
        <v>255.0</v>
      </c>
      <c r="F165" s="232">
        <v>50.1</v>
      </c>
      <c r="G165" s="233">
        <v>-12775.5</v>
      </c>
      <c r="H165" s="230" t="s">
        <v>588</v>
      </c>
      <c r="I165" s="235">
        <f t="array" ref="I165">IFS(AND($B165&lt;&gt;"",$E165&lt;&gt;""),IF(INDEX(HistoricSummary!D:D,MATCH($C165,HistoricSummary!$A:$A,0),1)&lt;&gt;"",$E165*INDEX(HistoricSummary!D:D,MATCH($C165,HistoricSummary!$A:$A,0),1)+$G165,""),AND($B165&lt;&gt;"",$D165="COST",$G165&lt;0),$G165,TRUE,)</f>
        <v>1922.19</v>
      </c>
      <c r="J165" s="235">
        <f t="array" ref="J165">IFS(AND($B165&lt;&gt;"",$E165&lt;&gt;""),IF(INDEX(HistoricSummary!E:E,MATCH($C165,HistoricSummary!$A:$A,0),1)&lt;&gt;"",$E165*INDEX(HistoricSummary!E:E,MATCH($C165,HistoricSummary!$A:$A,0),1)+$G165,""),AND($B165&lt;&gt;"",$D165="COST",$G165&lt;0),$G165,TRUE,)</f>
        <v>747.7054651</v>
      </c>
    </row>
    <row r="166">
      <c r="A166" s="184">
        <v>43889.0</v>
      </c>
      <c r="B166" s="229" t="s">
        <v>302</v>
      </c>
      <c r="C166" s="230" t="s">
        <v>303</v>
      </c>
      <c r="D166" s="231" t="s">
        <v>414</v>
      </c>
      <c r="E166" s="231">
        <v>69.0</v>
      </c>
      <c r="F166" s="232">
        <v>49.9</v>
      </c>
      <c r="G166" s="233">
        <v>-3443.1</v>
      </c>
      <c r="H166" s="230" t="s">
        <v>589</v>
      </c>
      <c r="I166" s="235">
        <f t="array" ref="I166">IFS(AND($B166&lt;&gt;"",$E166&lt;&gt;""),IF(INDEX(HistoricSummary!D:D,MATCH($C166,HistoricSummary!$A:$A,0),1)&lt;&gt;"",$E166*INDEX(HistoricSummary!D:D,MATCH($C166,HistoricSummary!$A:$A,0),1)+$G166,""),AND($B166&lt;&gt;"",$D166="COST",$G166&lt;0),$G166,TRUE,)</f>
        <v>533.922</v>
      </c>
      <c r="J166" s="235">
        <f t="array" ref="J166">IFS(AND($B166&lt;&gt;"",$E166&lt;&gt;""),IF(INDEX(HistoricSummary!E:E,MATCH($C166,HistoricSummary!$A:$A,0),1)&lt;&gt;"",$E166*INDEX(HistoricSummary!E:E,MATCH($C166,HistoricSummary!$A:$A,0),1)+$G166,""),AND($B166&lt;&gt;"",$D166="COST",$G166&lt;0),$G166,TRUE,)</f>
        <v>216.1203023</v>
      </c>
    </row>
    <row r="167">
      <c r="A167" s="184">
        <v>43889.0</v>
      </c>
      <c r="B167" s="229" t="s">
        <v>302</v>
      </c>
      <c r="C167" s="230" t="s">
        <v>303</v>
      </c>
      <c r="D167" s="231" t="s">
        <v>414</v>
      </c>
      <c r="E167" s="231">
        <v>1.0</v>
      </c>
      <c r="F167" s="232">
        <v>49.9</v>
      </c>
      <c r="G167" s="233">
        <v>-49.9</v>
      </c>
      <c r="H167" s="230" t="s">
        <v>590</v>
      </c>
      <c r="I167" s="235">
        <f t="array" ref="I167">IFS(AND($B167&lt;&gt;"",$E167&lt;&gt;""),IF(INDEX(HistoricSummary!D:D,MATCH($C167,HistoricSummary!$A:$A,0),1)&lt;&gt;"",$E167*INDEX(HistoricSummary!D:D,MATCH($C167,HistoricSummary!$A:$A,0),1)+$G167,""),AND($B167&lt;&gt;"",$D167="COST",$G167&lt;0),$G167,TRUE,)</f>
        <v>7.738</v>
      </c>
      <c r="J167" s="235">
        <f t="array" ref="J167">IFS(AND($B167&lt;&gt;"",$E167&lt;&gt;""),IF(INDEX(HistoricSummary!E:E,MATCH($C167,HistoricSummary!$A:$A,0),1)&lt;&gt;"",$E167*INDEX(HistoricSummary!E:E,MATCH($C167,HistoricSummary!$A:$A,0),1)+$G167,""),AND($B167&lt;&gt;"",$D167="COST",$G167&lt;0),$G167,TRUE,)</f>
        <v>3.132178295</v>
      </c>
    </row>
    <row r="168">
      <c r="A168" s="184">
        <v>43889.0</v>
      </c>
      <c r="B168" s="229" t="s">
        <v>302</v>
      </c>
      <c r="C168" s="230" t="s">
        <v>303</v>
      </c>
      <c r="D168" s="231" t="s">
        <v>414</v>
      </c>
      <c r="E168" s="231">
        <v>60.0</v>
      </c>
      <c r="F168" s="232">
        <v>50.16</v>
      </c>
      <c r="G168" s="233">
        <v>-3009.6</v>
      </c>
      <c r="H168" s="230" t="s">
        <v>591</v>
      </c>
      <c r="I168" s="235">
        <f t="array" ref="I168">IFS(AND($B168&lt;&gt;"",$E168&lt;&gt;""),IF(INDEX(HistoricSummary!D:D,MATCH($C168,HistoricSummary!$A:$A,0),1)&lt;&gt;"",$E168*INDEX(HistoricSummary!D:D,MATCH($C168,HistoricSummary!$A:$A,0),1)+$G168,""),AND($B168&lt;&gt;"",$D168="COST",$G168&lt;0),$G168,TRUE,)</f>
        <v>448.68</v>
      </c>
      <c r="J168" s="235">
        <f t="array" ref="J168">IFS(AND($B168&lt;&gt;"",$E168&lt;&gt;""),IF(INDEX(HistoricSummary!E:E,MATCH($C168,HistoricSummary!$A:$A,0),1)&lt;&gt;"",$E168*INDEX(HistoricSummary!E:E,MATCH($C168,HistoricSummary!$A:$A,0),1)+$G168,""),AND($B168&lt;&gt;"",$D168="COST",$G168&lt;0),$G168,TRUE,)</f>
        <v>172.3306977</v>
      </c>
    </row>
    <row r="169">
      <c r="A169" s="184">
        <v>43889.0</v>
      </c>
      <c r="B169" s="229" t="s">
        <v>302</v>
      </c>
      <c r="C169" s="230" t="s">
        <v>303</v>
      </c>
      <c r="D169" s="231" t="s">
        <v>414</v>
      </c>
      <c r="E169" s="231">
        <v>24.0</v>
      </c>
      <c r="F169" s="232">
        <v>50.4</v>
      </c>
      <c r="G169" s="233">
        <v>-1209.6</v>
      </c>
      <c r="H169" s="230" t="s">
        <v>592</v>
      </c>
      <c r="I169" s="235">
        <f t="array" ref="I169">IFS(AND($B169&lt;&gt;"",$E169&lt;&gt;""),IF(INDEX(HistoricSummary!D:D,MATCH($C169,HistoricSummary!$A:$A,0),1)&lt;&gt;"",$E169*INDEX(HistoricSummary!D:D,MATCH($C169,HistoricSummary!$A:$A,0),1)+$G169,""),AND($B169&lt;&gt;"",$D169="COST",$G169&lt;0),$G169,TRUE,)</f>
        <v>173.712</v>
      </c>
      <c r="J169" s="235">
        <f t="array" ref="J169">IFS(AND($B169&lt;&gt;"",$E169&lt;&gt;""),IF(INDEX(HistoricSummary!E:E,MATCH($C169,HistoricSummary!$A:$A,0),1)&lt;&gt;"",$E169*INDEX(HistoricSummary!E:E,MATCH($C169,HistoricSummary!$A:$A,0),1)+$G169,""),AND($B169&lt;&gt;"",$D169="COST",$G169&lt;0),$G169,TRUE,)</f>
        <v>63.17227907</v>
      </c>
    </row>
    <row r="170">
      <c r="A170" s="184">
        <v>43889.0</v>
      </c>
      <c r="B170" s="229" t="s">
        <v>302</v>
      </c>
      <c r="C170" s="230" t="s">
        <v>303</v>
      </c>
      <c r="D170" s="231" t="s">
        <v>414</v>
      </c>
      <c r="E170" s="231">
        <v>170.0</v>
      </c>
      <c r="F170" s="232">
        <v>50.6</v>
      </c>
      <c r="G170" s="233">
        <v>-8602.0</v>
      </c>
      <c r="H170" s="230" t="s">
        <v>593</v>
      </c>
      <c r="I170" s="235">
        <f t="array" ref="I170">IFS(AND($B170&lt;&gt;"",$E170&lt;&gt;""),IF(INDEX(HistoricSummary!D:D,MATCH($C170,HistoricSummary!$A:$A,0),1)&lt;&gt;"",$E170*INDEX(HistoricSummary!D:D,MATCH($C170,HistoricSummary!$A:$A,0),1)+$G170,""),AND($B170&lt;&gt;"",$D170="COST",$G170&lt;0),$G170,TRUE,)</f>
        <v>1196.46</v>
      </c>
      <c r="J170" s="235">
        <f t="array" ref="J170">IFS(AND($B170&lt;&gt;"",$E170&lt;&gt;""),IF(INDEX(HistoricSummary!E:E,MATCH($C170,HistoricSummary!$A:$A,0),1)&lt;&gt;"",$E170*INDEX(HistoricSummary!E:E,MATCH($C170,HistoricSummary!$A:$A,0),1)+$G170,""),AND($B170&lt;&gt;"",$D170="COST",$G170&lt;0),$G170,TRUE,)</f>
        <v>413.4703101</v>
      </c>
    </row>
    <row r="171">
      <c r="A171" s="184">
        <v>43889.0</v>
      </c>
      <c r="B171" s="229" t="s">
        <v>302</v>
      </c>
      <c r="C171" s="230" t="s">
        <v>303</v>
      </c>
      <c r="D171" s="231" t="s">
        <v>414</v>
      </c>
      <c r="E171" s="231">
        <v>4925.0</v>
      </c>
      <c r="F171" s="232">
        <v>50.7</v>
      </c>
      <c r="G171" s="233">
        <v>-249697.5</v>
      </c>
      <c r="H171" s="230" t="s">
        <v>594</v>
      </c>
      <c r="I171" s="235">
        <f t="array" ref="I171">IFS(AND($B171&lt;&gt;"",$E171&lt;&gt;""),IF(INDEX(HistoricSummary!D:D,MATCH($C171,HistoricSummary!$A:$A,0),1)&lt;&gt;"",$E171*INDEX(HistoricSummary!D:D,MATCH($C171,HistoricSummary!$A:$A,0),1)+$G171,""),AND($B171&lt;&gt;"",$D171="COST",$G171&lt;0),$G171,TRUE,)</f>
        <v>34169.65</v>
      </c>
      <c r="J171" s="235">
        <f t="array" ref="J171">IFS(AND($B171&lt;&gt;"",$E171&lt;&gt;""),IF(INDEX(HistoricSummary!E:E,MATCH($C171,HistoricSummary!$A:$A,0),1)&lt;&gt;"",$E171*INDEX(HistoricSummary!E:E,MATCH($C171,HistoricSummary!$A:$A,0),1)+$G171,""),AND($B171&lt;&gt;"",$D171="COST",$G171&lt;0),$G171,TRUE,)</f>
        <v>11485.9781</v>
      </c>
    </row>
    <row r="172">
      <c r="A172" s="184">
        <v>43888.0</v>
      </c>
      <c r="B172" s="229" t="s">
        <v>283</v>
      </c>
      <c r="C172" s="230" t="s">
        <v>286</v>
      </c>
      <c r="D172" s="231" t="s">
        <v>414</v>
      </c>
      <c r="E172" s="231">
        <v>148.0</v>
      </c>
      <c r="F172" s="232">
        <v>6.794</v>
      </c>
      <c r="G172" s="233">
        <v>-1005.51</v>
      </c>
      <c r="H172" s="230" t="s">
        <v>595</v>
      </c>
      <c r="I172" s="235">
        <f t="array" ref="I172">IFS(AND($B172&lt;&gt;"",$E172&lt;&gt;""),IF(INDEX(HistoricSummary!D:D,MATCH($C172,HistoricSummary!$A:$A,0),1)&lt;&gt;"",$E172*INDEX(HistoricSummary!D:D,MATCH($C172,HistoricSummary!$A:$A,0),1)+$G172,""),AND($B172&lt;&gt;"",$D172="COST",$G172&lt;0),$G172,TRUE,)</f>
        <v>-44.546</v>
      </c>
      <c r="J172" s="235">
        <f t="array" ref="J172">IFS(AND($B172&lt;&gt;"",$E172&lt;&gt;""),IF(INDEX(HistoricSummary!E:E,MATCH($C172,HistoricSummary!$A:$A,0),1)&lt;&gt;"",$E172*INDEX(HistoricSummary!E:E,MATCH($C172,HistoricSummary!$A:$A,0),1)+$G172,""),AND($B172&lt;&gt;"",$D172="COST",$G172&lt;0),$G172,TRUE,)</f>
        <v>-50.70004651</v>
      </c>
    </row>
    <row r="173">
      <c r="A173" s="184">
        <v>43888.0</v>
      </c>
      <c r="B173" s="229" t="s">
        <v>283</v>
      </c>
      <c r="C173" s="230" t="s">
        <v>286</v>
      </c>
      <c r="D173" s="231" t="s">
        <v>414</v>
      </c>
      <c r="E173" s="231">
        <v>147.0</v>
      </c>
      <c r="F173" s="232">
        <v>6.81</v>
      </c>
      <c r="G173" s="233">
        <v>-1001.07</v>
      </c>
      <c r="H173" s="230" t="s">
        <v>596</v>
      </c>
      <c r="I173" s="235">
        <f t="array" ref="I173">IFS(AND($B173&lt;&gt;"",$E173&lt;&gt;""),IF(INDEX(HistoricSummary!D:D,MATCH($C173,HistoricSummary!$A:$A,0),1)&lt;&gt;"",$E173*INDEX(HistoricSummary!D:D,MATCH($C173,HistoricSummary!$A:$A,0),1)+$G173,""),AND($B173&lt;&gt;"",$D173="COST",$G173&lt;0),$G173,TRUE,)</f>
        <v>-46.599</v>
      </c>
      <c r="J173" s="235">
        <f t="array" ref="J173">IFS(AND($B173&lt;&gt;"",$E173&lt;&gt;""),IF(INDEX(HistoricSummary!E:E,MATCH($C173,HistoricSummary!$A:$A,0),1)&lt;&gt;"",$E173*INDEX(HistoricSummary!E:E,MATCH($C173,HistoricSummary!$A:$A,0),1)+$G173,""),AND($B173&lt;&gt;"",$D173="COST",$G173&lt;0),$G173,TRUE,)</f>
        <v>-52.71146512</v>
      </c>
    </row>
    <row r="174">
      <c r="A174" s="184">
        <v>43888.0</v>
      </c>
      <c r="B174" s="229" t="s">
        <v>283</v>
      </c>
      <c r="C174" s="230" t="s">
        <v>286</v>
      </c>
      <c r="D174" s="231" t="s">
        <v>414</v>
      </c>
      <c r="E174" s="231">
        <v>146.0</v>
      </c>
      <c r="F174" s="232">
        <v>6.87</v>
      </c>
      <c r="G174" s="233">
        <v>-1003.02</v>
      </c>
      <c r="H174" s="230" t="s">
        <v>597</v>
      </c>
      <c r="I174" s="235">
        <f t="array" ref="I174">IFS(AND($B174&lt;&gt;"",$E174&lt;&gt;""),IF(INDEX(HistoricSummary!D:D,MATCH($C174,HistoricSummary!$A:$A,0),1)&lt;&gt;"",$E174*INDEX(HistoricSummary!D:D,MATCH($C174,HistoricSummary!$A:$A,0),1)+$G174,""),AND($B174&lt;&gt;"",$D174="COST",$G174&lt;0),$G174,TRUE,)</f>
        <v>-55.042</v>
      </c>
      <c r="J174" s="235">
        <f t="array" ref="J174">IFS(AND($B174&lt;&gt;"",$E174&lt;&gt;""),IF(INDEX(HistoricSummary!E:E,MATCH($C174,HistoricSummary!$A:$A,0),1)&lt;&gt;"",$E174*INDEX(HistoricSummary!E:E,MATCH($C174,HistoricSummary!$A:$A,0),1)+$G174,""),AND($B174&lt;&gt;"",$D174="COST",$G174&lt;0),$G174,TRUE,)</f>
        <v>-61.11288372</v>
      </c>
    </row>
    <row r="175">
      <c r="A175" s="184">
        <v>43888.0</v>
      </c>
      <c r="B175" s="229" t="s">
        <v>283</v>
      </c>
      <c r="C175" s="230" t="s">
        <v>286</v>
      </c>
      <c r="D175" s="231" t="s">
        <v>414</v>
      </c>
      <c r="E175" s="231">
        <v>210.0</v>
      </c>
      <c r="F175" s="232">
        <v>6.906</v>
      </c>
      <c r="G175" s="233">
        <v>-1450.26</v>
      </c>
      <c r="H175" s="230" t="s">
        <v>598</v>
      </c>
      <c r="I175" s="235">
        <f t="array" ref="I175">IFS(AND($B175&lt;&gt;"",$E175&lt;&gt;""),IF(INDEX(HistoricSummary!D:D,MATCH($C175,HistoricSummary!$A:$A,0),1)&lt;&gt;"",$E175*INDEX(HistoricSummary!D:D,MATCH($C175,HistoricSummary!$A:$A,0),1)+$G175,""),AND($B175&lt;&gt;"",$D175="COST",$G175&lt;0),$G175,TRUE,)</f>
        <v>-86.73</v>
      </c>
      <c r="J175" s="235">
        <f t="array" ref="J175">IFS(AND($B175&lt;&gt;"",$E175&lt;&gt;""),IF(INDEX(HistoricSummary!E:E,MATCH($C175,HistoricSummary!$A:$A,0),1)&lt;&gt;"",$E175*INDEX(HistoricSummary!E:E,MATCH($C175,HistoricSummary!$A:$A,0),1)+$G175,""),AND($B175&lt;&gt;"",$D175="COST",$G175&lt;0),$G175,TRUE,)</f>
        <v>-95.46209302</v>
      </c>
    </row>
    <row r="176">
      <c r="A176" s="184">
        <v>43887.0</v>
      </c>
      <c r="B176" s="229" t="s">
        <v>283</v>
      </c>
      <c r="C176" s="230" t="s">
        <v>286</v>
      </c>
      <c r="D176" s="231" t="s">
        <v>414</v>
      </c>
      <c r="E176" s="231">
        <v>144.0</v>
      </c>
      <c r="F176" s="232">
        <v>6.99</v>
      </c>
      <c r="G176" s="233">
        <v>-1006.56</v>
      </c>
      <c r="H176" s="230" t="s">
        <v>599</v>
      </c>
      <c r="I176" s="235">
        <f t="array" ref="I176">IFS(AND($B176&lt;&gt;"",$E176&lt;&gt;""),IF(INDEX(HistoricSummary!D:D,MATCH($C176,HistoricSummary!$A:$A,0),1)&lt;&gt;"",$E176*INDEX(HistoricSummary!D:D,MATCH($C176,HistoricSummary!$A:$A,0),1)+$G176,""),AND($B176&lt;&gt;"",$D176="COST",$G176&lt;0),$G176,TRUE,)</f>
        <v>-71.568</v>
      </c>
      <c r="J176" s="235">
        <f t="array" ref="J176">IFS(AND($B176&lt;&gt;"",$E176&lt;&gt;""),IF(INDEX(HistoricSummary!E:E,MATCH($C176,HistoricSummary!$A:$A,0),1)&lt;&gt;"",$E176*INDEX(HistoricSummary!E:E,MATCH($C176,HistoricSummary!$A:$A,0),1)+$G176,""),AND($B176&lt;&gt;"",$D176="COST",$G176&lt;0),$G176,TRUE,)</f>
        <v>-77.55572093</v>
      </c>
    </row>
    <row r="177">
      <c r="A177" s="184">
        <v>43886.0</v>
      </c>
      <c r="B177" s="229" t="s">
        <v>283</v>
      </c>
      <c r="C177" s="230" t="s">
        <v>286</v>
      </c>
      <c r="D177" s="231" t="s">
        <v>414</v>
      </c>
      <c r="E177" s="231">
        <v>175.0</v>
      </c>
      <c r="F177" s="232">
        <v>7.11</v>
      </c>
      <c r="G177" s="233">
        <v>-1244.25</v>
      </c>
      <c r="H177" s="230" t="s">
        <v>600</v>
      </c>
      <c r="I177" s="235">
        <f t="array" ref="I177">IFS(AND($B177&lt;&gt;"",$E177&lt;&gt;""),IF(INDEX(HistoricSummary!D:D,MATCH($C177,HistoricSummary!$A:$A,0),1)&lt;&gt;"",$E177*INDEX(HistoricSummary!D:D,MATCH($C177,HistoricSummary!$A:$A,0),1)+$G177,""),AND($B177&lt;&gt;"",$D177="COST",$G177&lt;0),$G177,TRUE,)</f>
        <v>-107.975</v>
      </c>
      <c r="J177" s="235">
        <f t="array" ref="J177">IFS(AND($B177&lt;&gt;"",$E177&lt;&gt;""),IF(INDEX(HistoricSummary!E:E,MATCH($C177,HistoricSummary!$A:$A,0),1)&lt;&gt;"",$E177*INDEX(HistoricSummary!E:E,MATCH($C177,HistoricSummary!$A:$A,0),1)+$G177,""),AND($B177&lt;&gt;"",$D177="COST",$G177&lt;0),$G177,TRUE,)</f>
        <v>-115.2517442</v>
      </c>
    </row>
    <row r="178">
      <c r="A178" s="184">
        <v>43885.0</v>
      </c>
      <c r="B178" s="229" t="s">
        <v>288</v>
      </c>
      <c r="C178" s="230" t="s">
        <v>289</v>
      </c>
      <c r="D178" s="231" t="s">
        <v>415</v>
      </c>
      <c r="E178" s="231">
        <v>-7.0</v>
      </c>
      <c r="F178" s="232">
        <v>148.25</v>
      </c>
      <c r="G178" s="233">
        <v>1037.75</v>
      </c>
      <c r="H178" s="230" t="s">
        <v>601</v>
      </c>
      <c r="I178" s="235">
        <f t="array" ref="I178">IFS(AND($B178&lt;&gt;"",$E178&lt;&gt;""),IF(INDEX(HistoricSummary!D:D,MATCH($C178,HistoricSummary!$A:$A,0),1)&lt;&gt;"",$E178*INDEX(HistoricSummary!D:D,MATCH($C178,HistoricSummary!$A:$A,0),1)+$G178,""),AND($B178&lt;&gt;"",$D178="COST",$G178&lt;0),$G178,TRUE,)</f>
        <v>-14.21</v>
      </c>
      <c r="J178" s="235">
        <f t="array" ref="J178">IFS(AND($B178&lt;&gt;"",$E178&lt;&gt;""),IF(INDEX(HistoricSummary!E:E,MATCH($C178,HistoricSummary!$A:$A,0),1)&lt;&gt;"",$E178*INDEX(HistoricSummary!E:E,MATCH($C178,HistoricSummary!$A:$A,0),1)+$G178,""),AND($B178&lt;&gt;"",$D178="COST",$G178&lt;0),$G178,TRUE,)</f>
        <v>25.31205426</v>
      </c>
    </row>
    <row r="179">
      <c r="A179" s="184">
        <v>43885.0</v>
      </c>
      <c r="B179" s="229" t="s">
        <v>283</v>
      </c>
      <c r="C179" s="230" t="s">
        <v>286</v>
      </c>
      <c r="D179" s="231" t="s">
        <v>414</v>
      </c>
      <c r="E179" s="231">
        <v>1500.0</v>
      </c>
      <c r="F179" s="232">
        <v>7.12</v>
      </c>
      <c r="G179" s="233">
        <v>-10680.0</v>
      </c>
      <c r="H179" s="230" t="s">
        <v>602</v>
      </c>
      <c r="I179" s="235">
        <f t="array" ref="I179">IFS(AND($B179&lt;&gt;"",$E179&lt;&gt;""),IF(INDEX(HistoricSummary!D:D,MATCH($C179,HistoricSummary!$A:$A,0),1)&lt;&gt;"",$E179*INDEX(HistoricSummary!D:D,MATCH($C179,HistoricSummary!$A:$A,0),1)+$G179,""),AND($B179&lt;&gt;"",$D179="COST",$G179&lt;0),$G179,TRUE,)</f>
        <v>-940.5</v>
      </c>
      <c r="J179" s="235">
        <f t="array" ref="J179">IFS(AND($B179&lt;&gt;"",$E179&lt;&gt;""),IF(INDEX(HistoricSummary!E:E,MATCH($C179,HistoricSummary!$A:$A,0),1)&lt;&gt;"",$E179*INDEX(HistoricSummary!E:E,MATCH($C179,HistoricSummary!$A:$A,0),1)+$G179,""),AND($B179&lt;&gt;"",$D179="COST",$G179&lt;0),$G179,TRUE,)</f>
        <v>-1002.872093</v>
      </c>
    </row>
    <row r="180">
      <c r="A180" s="184">
        <v>43885.0</v>
      </c>
      <c r="B180" s="229" t="s">
        <v>298</v>
      </c>
      <c r="C180" s="230" t="s">
        <v>299</v>
      </c>
      <c r="D180" s="231" t="s">
        <v>415</v>
      </c>
      <c r="E180" s="231">
        <v>-268.0</v>
      </c>
      <c r="F180" s="232">
        <v>5.205</v>
      </c>
      <c r="G180" s="233">
        <v>1394.94</v>
      </c>
      <c r="H180" s="230" t="s">
        <v>603</v>
      </c>
      <c r="I180" s="235">
        <f t="array" ref="I180">IFS(AND($B180&lt;&gt;"",$E180&lt;&gt;""),IF(INDEX(HistoricSummary!D:D,MATCH($C180,HistoricSummary!$A:$A,0),1)&lt;&gt;"",$E180*INDEX(HistoricSummary!D:D,MATCH($C180,HistoricSummary!$A:$A,0),1)+$G180,""),AND($B180&lt;&gt;"",$D180="COST",$G180&lt;0),$G180,TRUE,)</f>
        <v>69.7336</v>
      </c>
      <c r="J180" s="235">
        <f t="array" ref="J180">IFS(AND($B180&lt;&gt;"",$E180&lt;&gt;""),IF(INDEX(HistoricSummary!E:E,MATCH($C180,HistoricSummary!$A:$A,0),1)&lt;&gt;"",$E180*INDEX(HistoricSummary!E:E,MATCH($C180,HistoricSummary!$A:$A,0),1)+$G180,""),AND($B180&lt;&gt;"",$D180="COST",$G180&lt;0),$G180,TRUE,)</f>
        <v>1.220542636</v>
      </c>
    </row>
    <row r="181">
      <c r="A181" s="184">
        <v>43885.0</v>
      </c>
      <c r="B181" s="229" t="s">
        <v>298</v>
      </c>
      <c r="C181" s="230" t="s">
        <v>299</v>
      </c>
      <c r="D181" s="231" t="s">
        <v>432</v>
      </c>
      <c r="E181" s="231"/>
      <c r="F181" s="232"/>
      <c r="G181" s="233">
        <v>-2.28</v>
      </c>
      <c r="H181" s="230" t="s">
        <v>604</v>
      </c>
      <c r="I181" s="235">
        <f t="array" ref="I181">IFS(AND($B181&lt;&gt;"",$E181&lt;&gt;""),IF(INDEX(HistoricSummary!D:D,MATCH($C181,HistoricSummary!$A:$A,0),1)&lt;&gt;"",$E181*INDEX(HistoricSummary!D:D,MATCH($C181,HistoricSummary!$A:$A,0),1)+$G181,""),AND($B181&lt;&gt;"",$D181="COST",$G181&lt;0),$G181,TRUE,)</f>
        <v>-2.28</v>
      </c>
      <c r="J181" s="235">
        <f t="array" ref="J181">IFS(AND($B181&lt;&gt;"",$E181&lt;&gt;""),IF(INDEX(HistoricSummary!E:E,MATCH($C181,HistoricSummary!$A:$A,0),1)&lt;&gt;"",$E181*INDEX(HistoricSummary!E:E,MATCH($C181,HistoricSummary!$A:$A,0),1)+$G181,""),AND($B181&lt;&gt;"",$D181="COST",$G181&lt;0),$G181,TRUE,)</f>
        <v>-2.28</v>
      </c>
    </row>
    <row r="182">
      <c r="A182" s="184">
        <v>43885.0</v>
      </c>
      <c r="B182" s="229" t="s">
        <v>288</v>
      </c>
      <c r="C182" s="230" t="s">
        <v>289</v>
      </c>
      <c r="D182" s="231" t="s">
        <v>415</v>
      </c>
      <c r="E182" s="231">
        <v>-8.0</v>
      </c>
      <c r="F182" s="232">
        <v>148.15</v>
      </c>
      <c r="G182" s="233">
        <v>1185.2</v>
      </c>
      <c r="H182" s="230" t="s">
        <v>605</v>
      </c>
      <c r="I182" s="235">
        <f t="array" ref="I182">IFS(AND($B182&lt;&gt;"",$E182&lt;&gt;""),IF(INDEX(HistoricSummary!D:D,MATCH($C182,HistoricSummary!$A:$A,0),1)&lt;&gt;"",$E182*INDEX(HistoricSummary!D:D,MATCH($C182,HistoricSummary!$A:$A,0),1)+$G182,""),AND($B182&lt;&gt;"",$D182="COST",$G182&lt;0),$G182,TRUE,)</f>
        <v>-17.04</v>
      </c>
      <c r="J182" s="235">
        <f t="array" ref="J182">IFS(AND($B182&lt;&gt;"",$E182&lt;&gt;""),IF(INDEX(HistoricSummary!E:E,MATCH($C182,HistoricSummary!$A:$A,0),1)&lt;&gt;"",$E182*INDEX(HistoricSummary!E:E,MATCH($C182,HistoricSummary!$A:$A,0),1)+$G182,""),AND($B182&lt;&gt;"",$D182="COST",$G182&lt;0),$G182,TRUE,)</f>
        <v>28.12806202</v>
      </c>
    </row>
    <row r="183">
      <c r="A183" s="184">
        <v>43882.0</v>
      </c>
      <c r="B183" s="229" t="s">
        <v>288</v>
      </c>
      <c r="C183" s="230" t="s">
        <v>289</v>
      </c>
      <c r="D183" s="231" t="s">
        <v>415</v>
      </c>
      <c r="E183" s="231">
        <v>-1.0</v>
      </c>
      <c r="F183" s="232">
        <v>144.0</v>
      </c>
      <c r="G183" s="233">
        <v>144.0</v>
      </c>
      <c r="H183" s="230" t="s">
        <v>606</v>
      </c>
      <c r="I183" s="235">
        <f t="array" ref="I183">IFS(AND($B183&lt;&gt;"",$E183&lt;&gt;""),IF(INDEX(HistoricSummary!D:D,MATCH($C183,HistoricSummary!$A:$A,0),1)&lt;&gt;"",$E183*INDEX(HistoricSummary!D:D,MATCH($C183,HistoricSummary!$A:$A,0),1)+$G183,""),AND($B183&lt;&gt;"",$D183="COST",$G183&lt;0),$G183,TRUE,)</f>
        <v>-6.28</v>
      </c>
      <c r="J183" s="235">
        <f t="array" ref="J183">IFS(AND($B183&lt;&gt;"",$E183&lt;&gt;""),IF(INDEX(HistoricSummary!E:E,MATCH($C183,HistoricSummary!$A:$A,0),1)&lt;&gt;"",$E183*INDEX(HistoricSummary!E:E,MATCH($C183,HistoricSummary!$A:$A,0),1)+$G183,""),AND($B183&lt;&gt;"",$D183="COST",$G183&lt;0),$G183,TRUE,)</f>
        <v>-0.6339922481</v>
      </c>
    </row>
    <row r="184">
      <c r="A184" s="184">
        <v>43865.0</v>
      </c>
      <c r="B184" s="229"/>
      <c r="C184" s="230"/>
      <c r="D184" s="231" t="s">
        <v>454</v>
      </c>
      <c r="E184" s="231"/>
      <c r="F184" s="232"/>
      <c r="G184" s="233">
        <v>-200.0</v>
      </c>
      <c r="H184" s="230" t="s">
        <v>533</v>
      </c>
      <c r="I184" s="235" t="str">
        <f t="array" ref="I184">IFS(AND($B184&lt;&gt;"",$E184&lt;&gt;""),IF(INDEX(HistoricSummary!D:D,MATCH($C184,HistoricSummary!$A:$A,0),1)&lt;&gt;"",$E184*INDEX(HistoricSummary!D:D,MATCH($C184,HistoricSummary!$A:$A,0),1)+$G184,""),AND($B184&lt;&gt;"",$D184="COST",$G184&lt;0),$G184,TRUE,)</f>
        <v/>
      </c>
      <c r="J184" s="235" t="str">
        <f t="array" ref="J184">IFS(AND($B184&lt;&gt;"",$E184&lt;&gt;""),IF(INDEX(HistoricSummary!E:E,MATCH($C184,HistoricSummary!$A:$A,0),1)&lt;&gt;"",$E184*INDEX(HistoricSummary!E:E,MATCH($C184,HistoricSummary!$A:$A,0),1)+$G184,""),AND($B184&lt;&gt;"",$D184="COST",$G184&lt;0),$G184,TRUE,)</f>
        <v/>
      </c>
    </row>
    <row r="185">
      <c r="A185" s="184">
        <v>43864.0</v>
      </c>
      <c r="B185" s="229" t="s">
        <v>283</v>
      </c>
      <c r="C185" s="230" t="s">
        <v>286</v>
      </c>
      <c r="D185" s="231" t="s">
        <v>414</v>
      </c>
      <c r="E185" s="231">
        <v>144.0</v>
      </c>
      <c r="F185" s="232">
        <v>6.945</v>
      </c>
      <c r="G185" s="233">
        <v>-1000.08</v>
      </c>
      <c r="H185" s="230" t="s">
        <v>607</v>
      </c>
      <c r="I185" s="235">
        <f t="array" ref="I185">IFS(AND($B185&lt;&gt;"",$E185&lt;&gt;""),IF(INDEX(HistoricSummary!D:D,MATCH($C185,HistoricSummary!$A:$A,0),1)&lt;&gt;"",$E185*INDEX(HistoricSummary!D:D,MATCH($C185,HistoricSummary!$A:$A,0),1)+$G185,""),AND($B185&lt;&gt;"",$D185="COST",$G185&lt;0),$G185,TRUE,)</f>
        <v>-65.088</v>
      </c>
      <c r="J185" s="235">
        <f t="array" ref="J185">IFS(AND($B185&lt;&gt;"",$E185&lt;&gt;""),IF(INDEX(HistoricSummary!E:E,MATCH($C185,HistoricSummary!$A:$A,0),1)&lt;&gt;"",$E185*INDEX(HistoricSummary!E:E,MATCH($C185,HistoricSummary!$A:$A,0),1)+$G185,""),AND($B185&lt;&gt;"",$D185="COST",$G185&lt;0),$G185,TRUE,)</f>
        <v>-71.07572093</v>
      </c>
    </row>
    <row r="186">
      <c r="A186" s="184">
        <v>43864.0</v>
      </c>
      <c r="B186" s="229" t="s">
        <v>283</v>
      </c>
      <c r="C186" s="230" t="s">
        <v>286</v>
      </c>
      <c r="D186" s="231" t="s">
        <v>414</v>
      </c>
      <c r="E186" s="231">
        <v>134.0</v>
      </c>
      <c r="F186" s="232">
        <v>6.96</v>
      </c>
      <c r="G186" s="233">
        <v>-932.64</v>
      </c>
      <c r="H186" s="230" t="s">
        <v>608</v>
      </c>
      <c r="I186" s="235">
        <f t="array" ref="I186">IFS(AND($B186&lt;&gt;"",$E186&lt;&gt;""),IF(INDEX(HistoricSummary!D:D,MATCH($C186,HistoricSummary!$A:$A,0),1)&lt;&gt;"",$E186*INDEX(HistoricSummary!D:D,MATCH($C186,HistoricSummary!$A:$A,0),1)+$G186,""),AND($B186&lt;&gt;"",$D186="COST",$G186&lt;0),$G186,TRUE,)</f>
        <v>-62.578</v>
      </c>
      <c r="J186" s="235">
        <f t="array" ref="J186">IFS(AND($B186&lt;&gt;"",$E186&lt;&gt;""),IF(INDEX(HistoricSummary!E:E,MATCH($C186,HistoricSummary!$A:$A,0),1)&lt;&gt;"",$E186*INDEX(HistoricSummary!E:E,MATCH($C186,HistoricSummary!$A:$A,0),1)+$G186,""),AND($B186&lt;&gt;"",$D186="COST",$G186&lt;0),$G186,TRUE,)</f>
        <v>-68.14990698</v>
      </c>
    </row>
    <row r="187">
      <c r="A187" s="184">
        <v>43861.0</v>
      </c>
      <c r="B187" s="229"/>
      <c r="C187" s="230"/>
      <c r="D187" s="231" t="s">
        <v>432</v>
      </c>
      <c r="E187" s="231"/>
      <c r="F187" s="232"/>
      <c r="G187" s="233">
        <v>-342.44</v>
      </c>
      <c r="H187" s="230" t="s">
        <v>609</v>
      </c>
      <c r="I187" s="235" t="str">
        <f t="array" ref="I187">IFS(AND($B187&lt;&gt;"",$E187&lt;&gt;""),IF(INDEX(HistoricSummary!D:D,MATCH($C187,HistoricSummary!$A:$A,0),1)&lt;&gt;"",$E187*INDEX(HistoricSummary!D:D,MATCH($C187,HistoricSummary!$A:$A,0),1)+$G187,""),AND($B187&lt;&gt;"",$D187="COST",$G187&lt;0),$G187,TRUE,)</f>
        <v/>
      </c>
      <c r="J187" s="235" t="str">
        <f t="array" ref="J187">IFS(AND($B187&lt;&gt;"",$E187&lt;&gt;""),IF(INDEX(HistoricSummary!E:E,MATCH($C187,HistoricSummary!$A:$A,0),1)&lt;&gt;"",$E187*INDEX(HistoricSummary!E:E,MATCH($C187,HistoricSummary!$A:$A,0),1)+$G187,""),AND($B187&lt;&gt;"",$D187="COST",$G187&lt;0),$G187,TRUE,)</f>
        <v/>
      </c>
    </row>
    <row r="188">
      <c r="A188" s="184">
        <v>43861.0</v>
      </c>
      <c r="B188" s="229"/>
      <c r="C188" s="230"/>
      <c r="D188" s="231" t="s">
        <v>432</v>
      </c>
      <c r="E188" s="231"/>
      <c r="F188" s="232"/>
      <c r="G188" s="233">
        <v>-5.0</v>
      </c>
      <c r="H188" s="230" t="s">
        <v>610</v>
      </c>
      <c r="I188" s="235" t="str">
        <f t="array" ref="I188">IFS(AND($B188&lt;&gt;"",$E188&lt;&gt;""),IF(INDEX(HistoricSummary!D:D,MATCH($C188,HistoricSummary!$A:$A,0),1)&lt;&gt;"",$E188*INDEX(HistoricSummary!D:D,MATCH($C188,HistoricSummary!$A:$A,0),1)+$G188,""),AND($B188&lt;&gt;"",$D188="COST",$G188&lt;0),$G188,TRUE,)</f>
        <v/>
      </c>
      <c r="J188" s="235" t="str">
        <f t="array" ref="J188">IFS(AND($B188&lt;&gt;"",$E188&lt;&gt;""),IF(INDEX(HistoricSummary!E:E,MATCH($C188,HistoricSummary!$A:$A,0),1)&lt;&gt;"",$E188*INDEX(HistoricSummary!E:E,MATCH($C188,HistoricSummary!$A:$A,0),1)+$G188,""),AND($B188&lt;&gt;"",$D188="COST",$G188&lt;0),$G188,TRUE,)</f>
        <v/>
      </c>
    </row>
    <row r="189">
      <c r="A189" s="184">
        <v>43861.0</v>
      </c>
      <c r="B189" s="229" t="s">
        <v>283</v>
      </c>
      <c r="C189" s="230" t="s">
        <v>286</v>
      </c>
      <c r="D189" s="231" t="s">
        <v>414</v>
      </c>
      <c r="E189" s="231">
        <v>144.0</v>
      </c>
      <c r="F189" s="232">
        <v>6.975</v>
      </c>
      <c r="G189" s="233">
        <v>-1004.4</v>
      </c>
      <c r="H189" s="230" t="s">
        <v>611</v>
      </c>
      <c r="I189" s="235">
        <f t="array" ref="I189">IFS(AND($B189&lt;&gt;"",$E189&lt;&gt;""),IF(INDEX(HistoricSummary!D:D,MATCH($C189,HistoricSummary!$A:$A,0),1)&lt;&gt;"",$E189*INDEX(HistoricSummary!D:D,MATCH($C189,HistoricSummary!$A:$A,0),1)+$G189,""),AND($B189&lt;&gt;"",$D189="COST",$G189&lt;0),$G189,TRUE,)</f>
        <v>-69.408</v>
      </c>
      <c r="J189" s="235">
        <f t="array" ref="J189">IFS(AND($B189&lt;&gt;"",$E189&lt;&gt;""),IF(INDEX(HistoricSummary!E:E,MATCH($C189,HistoricSummary!$A:$A,0),1)&lt;&gt;"",$E189*INDEX(HistoricSummary!E:E,MATCH($C189,HistoricSummary!$A:$A,0),1)+$G189,""),AND($B189&lt;&gt;"",$D189="COST",$G189&lt;0),$G189,TRUE,)</f>
        <v>-75.39572093</v>
      </c>
    </row>
    <row r="190">
      <c r="A190" s="184">
        <v>43861.0</v>
      </c>
      <c r="B190" s="229" t="s">
        <v>283</v>
      </c>
      <c r="C190" s="230" t="s">
        <v>286</v>
      </c>
      <c r="D190" s="231" t="s">
        <v>414</v>
      </c>
      <c r="E190" s="231">
        <v>75.0</v>
      </c>
      <c r="F190" s="232">
        <v>7.02</v>
      </c>
      <c r="G190" s="233">
        <v>-526.5</v>
      </c>
      <c r="H190" s="230" t="s">
        <v>612</v>
      </c>
      <c r="I190" s="235">
        <f t="array" ref="I190">IFS(AND($B190&lt;&gt;"",$E190&lt;&gt;""),IF(INDEX(HistoricSummary!D:D,MATCH($C190,HistoricSummary!$A:$A,0),1)&lt;&gt;"",$E190*INDEX(HistoricSummary!D:D,MATCH($C190,HistoricSummary!$A:$A,0),1)+$G190,""),AND($B190&lt;&gt;"",$D190="COST",$G190&lt;0),$G190,TRUE,)</f>
        <v>-39.525</v>
      </c>
      <c r="J190" s="235">
        <f t="array" ref="J190">IFS(AND($B190&lt;&gt;"",$E190&lt;&gt;""),IF(INDEX(HistoricSummary!E:E,MATCH($C190,HistoricSummary!$A:$A,0),1)&lt;&gt;"",$E190*INDEX(HistoricSummary!E:E,MATCH($C190,HistoricSummary!$A:$A,0),1)+$G190,""),AND($B190&lt;&gt;"",$D190="COST",$G190&lt;0),$G190,TRUE,)</f>
        <v>-42.64360465</v>
      </c>
    </row>
    <row r="191">
      <c r="A191" s="184">
        <v>43861.0</v>
      </c>
      <c r="B191" s="229" t="s">
        <v>283</v>
      </c>
      <c r="C191" s="230" t="s">
        <v>286</v>
      </c>
      <c r="D191" s="231" t="s">
        <v>432</v>
      </c>
      <c r="E191" s="231"/>
      <c r="F191" s="232"/>
      <c r="G191" s="233">
        <v>-2.11</v>
      </c>
      <c r="H191" s="230" t="s">
        <v>613</v>
      </c>
      <c r="I191" s="235">
        <f t="array" ref="I191">IFS(AND($B191&lt;&gt;"",$E191&lt;&gt;""),IF(INDEX(HistoricSummary!D:D,MATCH($C191,HistoricSummary!$A:$A,0),1)&lt;&gt;"",$E191*INDEX(HistoricSummary!D:D,MATCH($C191,HistoricSummary!$A:$A,0),1)+$G191,""),AND($B191&lt;&gt;"",$D191="COST",$G191&lt;0),$G191,TRUE,)</f>
        <v>-2.11</v>
      </c>
      <c r="J191" s="235">
        <f t="array" ref="J191">IFS(AND($B191&lt;&gt;"",$E191&lt;&gt;""),IF(INDEX(HistoricSummary!E:E,MATCH($C191,HistoricSummary!$A:$A,0),1)&lt;&gt;"",$E191*INDEX(HistoricSummary!E:E,MATCH($C191,HistoricSummary!$A:$A,0),1)+$G191,""),AND($B191&lt;&gt;"",$D191="COST",$G191&lt;0),$G191,TRUE,)</f>
        <v>-2.11</v>
      </c>
    </row>
    <row r="192">
      <c r="A192" s="184">
        <v>43861.0</v>
      </c>
      <c r="B192" s="229" t="s">
        <v>283</v>
      </c>
      <c r="C192" s="230" t="s">
        <v>286</v>
      </c>
      <c r="D192" s="231" t="s">
        <v>414</v>
      </c>
      <c r="E192" s="231">
        <v>100.0</v>
      </c>
      <c r="F192" s="232">
        <v>7.04</v>
      </c>
      <c r="G192" s="233">
        <v>-704.0</v>
      </c>
      <c r="H192" s="230" t="s">
        <v>614</v>
      </c>
      <c r="I192" s="235">
        <f t="array" ref="I192">IFS(AND($B192&lt;&gt;"",$E192&lt;&gt;""),IF(INDEX(HistoricSummary!D:D,MATCH($C192,HistoricSummary!$A:$A,0),1)&lt;&gt;"",$E192*INDEX(HistoricSummary!D:D,MATCH($C192,HistoricSummary!$A:$A,0),1)+$G192,""),AND($B192&lt;&gt;"",$D192="COST",$G192&lt;0),$G192,TRUE,)</f>
        <v>-54.7</v>
      </c>
      <c r="J192" s="235">
        <f t="array" ref="J192">IFS(AND($B192&lt;&gt;"",$E192&lt;&gt;""),IF(INDEX(HistoricSummary!E:E,MATCH($C192,HistoricSummary!$A:$A,0),1)&lt;&gt;"",$E192*INDEX(HistoricSummary!E:E,MATCH($C192,HistoricSummary!$A:$A,0),1)+$G192,""),AND($B192&lt;&gt;"",$D192="COST",$G192&lt;0),$G192,TRUE,)</f>
        <v>-58.85813953</v>
      </c>
    </row>
    <row r="193">
      <c r="A193" s="184">
        <v>43861.0</v>
      </c>
      <c r="B193" s="229" t="s">
        <v>283</v>
      </c>
      <c r="C193" s="230" t="s">
        <v>286</v>
      </c>
      <c r="D193" s="231" t="s">
        <v>432</v>
      </c>
      <c r="E193" s="231"/>
      <c r="F193" s="232"/>
      <c r="G193" s="233">
        <v>-2.14</v>
      </c>
      <c r="H193" s="230" t="s">
        <v>615</v>
      </c>
      <c r="I193" s="235">
        <f t="array" ref="I193">IFS(AND($B193&lt;&gt;"",$E193&lt;&gt;""),IF(INDEX(HistoricSummary!D:D,MATCH($C193,HistoricSummary!$A:$A,0),1)&lt;&gt;"",$E193*INDEX(HistoricSummary!D:D,MATCH($C193,HistoricSummary!$A:$A,0),1)+$G193,""),AND($B193&lt;&gt;"",$D193="COST",$G193&lt;0),$G193,TRUE,)</f>
        <v>-2.14</v>
      </c>
      <c r="J193" s="235">
        <f t="array" ref="J193">IFS(AND($B193&lt;&gt;"",$E193&lt;&gt;""),IF(INDEX(HistoricSummary!E:E,MATCH($C193,HistoricSummary!$A:$A,0),1)&lt;&gt;"",$E193*INDEX(HistoricSummary!E:E,MATCH($C193,HistoricSummary!$A:$A,0),1)+$G193,""),AND($B193&lt;&gt;"",$D193="COST",$G193&lt;0),$G193,TRUE,)</f>
        <v>-2.14</v>
      </c>
    </row>
    <row r="194">
      <c r="A194" s="184">
        <v>43860.0</v>
      </c>
      <c r="B194" s="229" t="s">
        <v>283</v>
      </c>
      <c r="C194" s="230" t="s">
        <v>286</v>
      </c>
      <c r="D194" s="231" t="s">
        <v>414</v>
      </c>
      <c r="E194" s="231">
        <v>100.0</v>
      </c>
      <c r="F194" s="232">
        <v>7.07</v>
      </c>
      <c r="G194" s="233">
        <v>-707.0</v>
      </c>
      <c r="H194" s="230" t="s">
        <v>616</v>
      </c>
      <c r="I194" s="235">
        <f t="array" ref="I194">IFS(AND($B194&lt;&gt;"",$E194&lt;&gt;""),IF(INDEX(HistoricSummary!D:D,MATCH($C194,HistoricSummary!$A:$A,0),1)&lt;&gt;"",$E194*INDEX(HistoricSummary!D:D,MATCH($C194,HistoricSummary!$A:$A,0),1)+$G194,""),AND($B194&lt;&gt;"",$D194="COST",$G194&lt;0),$G194,TRUE,)</f>
        <v>-57.7</v>
      </c>
      <c r="J194" s="235">
        <f t="array" ref="J194">IFS(AND($B194&lt;&gt;"",$E194&lt;&gt;""),IF(INDEX(HistoricSummary!E:E,MATCH($C194,HistoricSummary!$A:$A,0),1)&lt;&gt;"",$E194*INDEX(HistoricSummary!E:E,MATCH($C194,HistoricSummary!$A:$A,0),1)+$G194,""),AND($B194&lt;&gt;"",$D194="COST",$G194&lt;0),$G194,TRUE,)</f>
        <v>-61.85813953</v>
      </c>
    </row>
    <row r="195">
      <c r="A195" s="184">
        <v>43860.0</v>
      </c>
      <c r="B195" s="229" t="s">
        <v>283</v>
      </c>
      <c r="C195" s="230" t="s">
        <v>286</v>
      </c>
      <c r="D195" s="231" t="s">
        <v>432</v>
      </c>
      <c r="E195" s="231"/>
      <c r="F195" s="232"/>
      <c r="G195" s="233">
        <v>-2.14</v>
      </c>
      <c r="H195" s="230" t="s">
        <v>615</v>
      </c>
      <c r="I195" s="235">
        <f t="array" ref="I195">IFS(AND($B195&lt;&gt;"",$E195&lt;&gt;""),IF(INDEX(HistoricSummary!D:D,MATCH($C195,HistoricSummary!$A:$A,0),1)&lt;&gt;"",$E195*INDEX(HistoricSummary!D:D,MATCH($C195,HistoricSummary!$A:$A,0),1)+$G195,""),AND($B195&lt;&gt;"",$D195="COST",$G195&lt;0),$G195,TRUE,)</f>
        <v>-2.14</v>
      </c>
      <c r="J195" s="235">
        <f t="array" ref="J195">IFS(AND($B195&lt;&gt;"",$E195&lt;&gt;""),IF(INDEX(HistoricSummary!E:E,MATCH($C195,HistoricSummary!$A:$A,0),1)&lt;&gt;"",$E195*INDEX(HistoricSummary!E:E,MATCH($C195,HistoricSummary!$A:$A,0),1)+$G195,""),AND($B195&lt;&gt;"",$D195="COST",$G195&lt;0),$G195,TRUE,)</f>
        <v>-2.14</v>
      </c>
    </row>
    <row r="196">
      <c r="A196" s="184">
        <v>43860.0</v>
      </c>
      <c r="B196" s="229" t="s">
        <v>283</v>
      </c>
      <c r="C196" s="230" t="s">
        <v>286</v>
      </c>
      <c r="D196" s="231" t="s">
        <v>414</v>
      </c>
      <c r="E196" s="231">
        <v>300.0</v>
      </c>
      <c r="F196" s="232">
        <v>7.089</v>
      </c>
      <c r="G196" s="233">
        <v>-2126.7</v>
      </c>
      <c r="H196" s="230" t="s">
        <v>617</v>
      </c>
      <c r="I196" s="235">
        <f t="array" ref="I196">IFS(AND($B196&lt;&gt;"",$E196&lt;&gt;""),IF(INDEX(HistoricSummary!D:D,MATCH($C196,HistoricSummary!$A:$A,0),1)&lt;&gt;"",$E196*INDEX(HistoricSummary!D:D,MATCH($C196,HistoricSummary!$A:$A,0),1)+$G196,""),AND($B196&lt;&gt;"",$D196="COST",$G196&lt;0),$G196,TRUE,)</f>
        <v>-178.8</v>
      </c>
      <c r="J196" s="235">
        <f t="array" ref="J196">IFS(AND($B196&lt;&gt;"",$E196&lt;&gt;""),IF(INDEX(HistoricSummary!E:E,MATCH($C196,HistoricSummary!$A:$A,0),1)&lt;&gt;"",$E196*INDEX(HistoricSummary!E:E,MATCH($C196,HistoricSummary!$A:$A,0),1)+$G196,""),AND($B196&lt;&gt;"",$D196="COST",$G196&lt;0),$G196,TRUE,)</f>
        <v>-191.2744186</v>
      </c>
    </row>
    <row r="197">
      <c r="A197" s="184">
        <v>43857.0</v>
      </c>
      <c r="B197" s="229" t="s">
        <v>283</v>
      </c>
      <c r="C197" s="230" t="s">
        <v>286</v>
      </c>
      <c r="D197" s="231" t="s">
        <v>414</v>
      </c>
      <c r="E197" s="231">
        <v>2040.0</v>
      </c>
      <c r="F197" s="232">
        <v>7.129</v>
      </c>
      <c r="G197" s="233">
        <v>-14543.16</v>
      </c>
      <c r="H197" s="230" t="s">
        <v>618</v>
      </c>
      <c r="I197" s="235">
        <f t="array" ref="I197">IFS(AND($B197&lt;&gt;"",$E197&lt;&gt;""),IF(INDEX(HistoricSummary!D:D,MATCH($C197,HistoricSummary!$A:$A,0),1)&lt;&gt;"",$E197*INDEX(HistoricSummary!D:D,MATCH($C197,HistoricSummary!$A:$A,0),1)+$G197,""),AND($B197&lt;&gt;"",$D197="COST",$G197&lt;0),$G197,TRUE,)</f>
        <v>-1297.44</v>
      </c>
      <c r="J197" s="235">
        <f t="array" ref="J197">IFS(AND($B197&lt;&gt;"",$E197&lt;&gt;""),IF(INDEX(HistoricSummary!E:E,MATCH($C197,HistoricSummary!$A:$A,0),1)&lt;&gt;"",$E197*INDEX(HistoricSummary!E:E,MATCH($C197,HistoricSummary!$A:$A,0),1)+$G197,""),AND($B197&lt;&gt;"",$D197="COST",$G197&lt;0),$G197,TRUE,)</f>
        <v>-1382.266047</v>
      </c>
    </row>
    <row r="198">
      <c r="A198" s="184">
        <v>43857.0</v>
      </c>
      <c r="B198" s="229" t="s">
        <v>292</v>
      </c>
      <c r="C198" s="230" t="s">
        <v>293</v>
      </c>
      <c r="D198" s="231" t="s">
        <v>415</v>
      </c>
      <c r="E198" s="231">
        <v>-1.0</v>
      </c>
      <c r="F198" s="232">
        <v>188.55</v>
      </c>
      <c r="G198" s="233">
        <v>188.55</v>
      </c>
      <c r="H198" s="230" t="s">
        <v>619</v>
      </c>
      <c r="I198" s="235">
        <f t="array" ref="I198">IFS(AND($B198&lt;&gt;"",$E198&lt;&gt;""),IF(INDEX(HistoricSummary!D:D,MATCH($C198,HistoricSummary!$A:$A,0),1)&lt;&gt;"",$E198*INDEX(HistoricSummary!D:D,MATCH($C198,HistoricSummary!$A:$A,0),1)+$G198,""),AND($B198&lt;&gt;"",$D198="COST",$G198&lt;0),$G198,TRUE,)</f>
        <v>2.09</v>
      </c>
      <c r="J198" s="235">
        <f t="array" ref="J198">IFS(AND($B198&lt;&gt;"",$E198&lt;&gt;""),IF(INDEX(HistoricSummary!E:E,MATCH($C198,HistoricSummary!$A:$A,0),1)&lt;&gt;"",$E198*INDEX(HistoricSummary!E:E,MATCH($C198,HistoricSummary!$A:$A,0),1)+$G198,""),AND($B198&lt;&gt;"",$D198="COST",$G198&lt;0),$G198,TRUE,)</f>
        <v>-4.339689922</v>
      </c>
    </row>
    <row r="199">
      <c r="A199" s="184">
        <v>43857.0</v>
      </c>
      <c r="B199" s="229" t="s">
        <v>292</v>
      </c>
      <c r="C199" s="230" t="s">
        <v>293</v>
      </c>
      <c r="D199" s="231" t="s">
        <v>415</v>
      </c>
      <c r="E199" s="231">
        <v>-5.0</v>
      </c>
      <c r="F199" s="232">
        <v>188.55</v>
      </c>
      <c r="G199" s="233">
        <v>942.75</v>
      </c>
      <c r="H199" s="230" t="s">
        <v>620</v>
      </c>
      <c r="I199" s="235">
        <f t="array" ref="I199">IFS(AND($B199&lt;&gt;"",$E199&lt;&gt;""),IF(INDEX(HistoricSummary!D:D,MATCH($C199,HistoricSummary!$A:$A,0),1)&lt;&gt;"",$E199*INDEX(HistoricSummary!D:D,MATCH($C199,HistoricSummary!$A:$A,0),1)+$G199,""),AND($B199&lt;&gt;"",$D199="COST",$G199&lt;0),$G199,TRUE,)</f>
        <v>10.45</v>
      </c>
      <c r="J199" s="235">
        <f t="array" ref="J199">IFS(AND($B199&lt;&gt;"",$E199&lt;&gt;""),IF(INDEX(HistoricSummary!E:E,MATCH($C199,HistoricSummary!$A:$A,0),1)&lt;&gt;"",$E199*INDEX(HistoricSummary!E:E,MATCH($C199,HistoricSummary!$A:$A,0),1)+$G199,""),AND($B199&lt;&gt;"",$D199="COST",$G199&lt;0),$G199,TRUE,)</f>
        <v>-21.69844961</v>
      </c>
    </row>
    <row r="200">
      <c r="A200" s="184">
        <v>43857.0</v>
      </c>
      <c r="B200" s="229" t="s">
        <v>292</v>
      </c>
      <c r="C200" s="230" t="s">
        <v>293</v>
      </c>
      <c r="D200" s="231" t="s">
        <v>415</v>
      </c>
      <c r="E200" s="231">
        <v>-6.0</v>
      </c>
      <c r="F200" s="232">
        <v>188.3</v>
      </c>
      <c r="G200" s="233">
        <v>1129.8</v>
      </c>
      <c r="H200" s="230" t="s">
        <v>621</v>
      </c>
      <c r="I200" s="235">
        <f t="array" ref="I200">IFS(AND($B200&lt;&gt;"",$E200&lt;&gt;""),IF(INDEX(HistoricSummary!D:D,MATCH($C200,HistoricSummary!$A:$A,0),1)&lt;&gt;"",$E200*INDEX(HistoricSummary!D:D,MATCH($C200,HistoricSummary!$A:$A,0),1)+$G200,""),AND($B200&lt;&gt;"",$D200="COST",$G200&lt;0),$G200,TRUE,)</f>
        <v>11.04</v>
      </c>
      <c r="J200" s="235">
        <f t="array" ref="J200">IFS(AND($B200&lt;&gt;"",$E200&lt;&gt;""),IF(INDEX(HistoricSummary!E:E,MATCH($C200,HistoricSummary!$A:$A,0),1)&lt;&gt;"",$E200*INDEX(HistoricSummary!E:E,MATCH($C200,HistoricSummary!$A:$A,0),1)+$G200,""),AND($B200&lt;&gt;"",$D200="COST",$G200&lt;0),$G200,TRUE,)</f>
        <v>-27.53813953</v>
      </c>
    </row>
    <row r="201">
      <c r="A201" s="184">
        <v>43851.0</v>
      </c>
      <c r="B201" s="229"/>
      <c r="C201" s="230"/>
      <c r="D201" s="231" t="s">
        <v>454</v>
      </c>
      <c r="E201" s="231"/>
      <c r="F201" s="232"/>
      <c r="G201" s="233">
        <v>-100.0</v>
      </c>
      <c r="H201" s="230" t="s">
        <v>513</v>
      </c>
      <c r="I201" s="235" t="str">
        <f t="array" ref="I201">IFS(AND($B201&lt;&gt;"",$E201&lt;&gt;""),IF(INDEX(HistoricSummary!D:D,MATCH($C201,HistoricSummary!$A:$A,0),1)&lt;&gt;"",$E201*INDEX(HistoricSummary!D:D,MATCH($C201,HistoricSummary!$A:$A,0),1)+$G201,""),AND($B201&lt;&gt;"",$D201="COST",$G201&lt;0),$G201,TRUE,)</f>
        <v/>
      </c>
      <c r="J201" s="235" t="str">
        <f t="array" ref="J201">IFS(AND($B201&lt;&gt;"",$E201&lt;&gt;""),IF(INDEX(HistoricSummary!E:E,MATCH($C201,HistoricSummary!$A:$A,0),1)&lt;&gt;"",$E201*INDEX(HistoricSummary!E:E,MATCH($C201,HistoricSummary!$A:$A,0),1)+$G201,""),AND($B201&lt;&gt;"",$D201="COST",$G201&lt;0),$G201,TRUE,)</f>
        <v/>
      </c>
    </row>
    <row r="202">
      <c r="A202" s="184">
        <v>43847.0</v>
      </c>
      <c r="B202" s="229" t="s">
        <v>302</v>
      </c>
      <c r="C202" s="230" t="s">
        <v>303</v>
      </c>
      <c r="D202" s="231" t="s">
        <v>415</v>
      </c>
      <c r="E202" s="231">
        <v>-18.0</v>
      </c>
      <c r="F202" s="232">
        <v>56.835</v>
      </c>
      <c r="G202" s="233">
        <v>1023.03</v>
      </c>
      <c r="H202" s="230" t="s">
        <v>622</v>
      </c>
      <c r="I202" s="235">
        <f t="array" ref="I202">IFS(AND($B202&lt;&gt;"",$E202&lt;&gt;""),IF(INDEX(HistoricSummary!D:D,MATCH($C202,HistoricSummary!$A:$A,0),1)&lt;&gt;"",$E202*INDEX(HistoricSummary!D:D,MATCH($C202,HistoricSummary!$A:$A,0),1)+$G202,""),AND($B202&lt;&gt;"",$D202="COST",$G202&lt;0),$G202,TRUE,)</f>
        <v>-14.454</v>
      </c>
      <c r="J202" s="235">
        <f t="array" ref="J202">IFS(AND($B202&lt;&gt;"",$E202&lt;&gt;""),IF(INDEX(HistoricSummary!E:E,MATCH($C202,HistoricSummary!$A:$A,0),1)&lt;&gt;"",$E202*INDEX(HistoricSummary!E:E,MATCH($C202,HistoricSummary!$A:$A,0),1)+$G202,""),AND($B202&lt;&gt;"",$D202="COST",$G202&lt;0),$G202,TRUE,)</f>
        <v>68.4507907</v>
      </c>
    </row>
    <row r="203">
      <c r="A203" s="184">
        <v>43844.0</v>
      </c>
      <c r="B203" s="229"/>
      <c r="C203" s="230"/>
      <c r="D203" s="231" t="s">
        <v>454</v>
      </c>
      <c r="E203" s="231"/>
      <c r="F203" s="232"/>
      <c r="G203" s="233">
        <v>-1000.0</v>
      </c>
      <c r="H203" s="230" t="s">
        <v>459</v>
      </c>
      <c r="I203" s="235" t="str">
        <f t="array" ref="I203">IFS(AND($B203&lt;&gt;"",$E203&lt;&gt;""),IF(INDEX(HistoricSummary!D:D,MATCH($C203,HistoricSummary!$A:$A,0),1)&lt;&gt;"",$E203*INDEX(HistoricSummary!D:D,MATCH($C203,HistoricSummary!$A:$A,0),1)+$G203,""),AND($B203&lt;&gt;"",$D203="COST",$G203&lt;0),$G203,TRUE,)</f>
        <v/>
      </c>
      <c r="J203" s="235" t="str">
        <f t="array" ref="J203">IFS(AND($B203&lt;&gt;"",$E203&lt;&gt;""),IF(INDEX(HistoricSummary!E:E,MATCH($C203,HistoricSummary!$A:$A,0),1)&lt;&gt;"",$E203*INDEX(HistoricSummary!E:E,MATCH($C203,HistoricSummary!$A:$A,0),1)+$G203,""),AND($B203&lt;&gt;"",$D203="COST",$G203&lt;0),$G203,TRUE,)</f>
        <v/>
      </c>
    </row>
    <row r="204">
      <c r="A204" s="184">
        <v>43839.0</v>
      </c>
      <c r="B204" s="229" t="s">
        <v>302</v>
      </c>
      <c r="C204" s="230" t="s">
        <v>303</v>
      </c>
      <c r="D204" s="231" t="s">
        <v>415</v>
      </c>
      <c r="E204" s="231">
        <v>-20.0</v>
      </c>
      <c r="F204" s="232">
        <v>55.99</v>
      </c>
      <c r="G204" s="233">
        <v>1119.8</v>
      </c>
      <c r="H204" s="230" t="s">
        <v>623</v>
      </c>
      <c r="I204" s="235">
        <f t="array" ref="I204">IFS(AND($B204&lt;&gt;"",$E204&lt;&gt;""),IF(INDEX(HistoricSummary!D:D,MATCH($C204,HistoricSummary!$A:$A,0),1)&lt;&gt;"",$E204*INDEX(HistoricSummary!D:D,MATCH($C204,HistoricSummary!$A:$A,0),1)+$G204,""),AND($B204&lt;&gt;"",$D204="COST",$G204&lt;0),$G204,TRUE,)</f>
        <v>-32.96</v>
      </c>
      <c r="J204" s="235">
        <f t="array" ref="J204">IFS(AND($B204&lt;&gt;"",$E204&lt;&gt;""),IF(INDEX(HistoricSummary!E:E,MATCH($C204,HistoricSummary!$A:$A,0),1)&lt;&gt;"",$E204*INDEX(HistoricSummary!E:E,MATCH($C204,HistoricSummary!$A:$A,0),1)+$G204,""),AND($B204&lt;&gt;"",$D204="COST",$G204&lt;0),$G204,TRUE,)</f>
        <v>59.15643411</v>
      </c>
    </row>
    <row r="205">
      <c r="A205" s="184">
        <v>43839.0</v>
      </c>
      <c r="B205" s="229" t="s">
        <v>302</v>
      </c>
      <c r="C205" s="230" t="s">
        <v>303</v>
      </c>
      <c r="D205" s="231" t="s">
        <v>415</v>
      </c>
      <c r="E205" s="231">
        <v>-18.0</v>
      </c>
      <c r="F205" s="232">
        <v>55.875</v>
      </c>
      <c r="G205" s="233">
        <v>1005.75</v>
      </c>
      <c r="H205" s="230" t="s">
        <v>624</v>
      </c>
      <c r="I205" s="235">
        <f t="array" ref="I205">IFS(AND($B205&lt;&gt;"",$E205&lt;&gt;""),IF(INDEX(HistoricSummary!D:D,MATCH($C205,HistoricSummary!$A:$A,0),1)&lt;&gt;"",$E205*INDEX(HistoricSummary!D:D,MATCH($C205,HistoricSummary!$A:$A,0),1)+$G205,""),AND($B205&lt;&gt;"",$D205="COST",$G205&lt;0),$G205,TRUE,)</f>
        <v>-31.734</v>
      </c>
      <c r="J205" s="235">
        <f t="array" ref="J205">IFS(AND($B205&lt;&gt;"",$E205&lt;&gt;""),IF(INDEX(HistoricSummary!E:E,MATCH($C205,HistoricSummary!$A:$A,0),1)&lt;&gt;"",$E205*INDEX(HistoricSummary!E:E,MATCH($C205,HistoricSummary!$A:$A,0),1)+$G205,""),AND($B205&lt;&gt;"",$D205="COST",$G205&lt;0),$G205,TRUE,)</f>
        <v>51.1707907</v>
      </c>
    </row>
    <row r="206">
      <c r="A206" s="184">
        <v>43839.0</v>
      </c>
      <c r="B206" s="229" t="s">
        <v>302</v>
      </c>
      <c r="C206" s="230" t="s">
        <v>303</v>
      </c>
      <c r="D206" s="231" t="s">
        <v>415</v>
      </c>
      <c r="E206" s="231">
        <v>-31.0</v>
      </c>
      <c r="F206" s="232">
        <v>55.8748</v>
      </c>
      <c r="G206" s="233">
        <v>1732.12</v>
      </c>
      <c r="H206" s="230" t="s">
        <v>625</v>
      </c>
      <c r="I206" s="235">
        <f t="array" ref="I206">IFS(AND($B206&lt;&gt;"",$E206&lt;&gt;""),IF(INDEX(HistoricSummary!D:D,MATCH($C206,HistoricSummary!$A:$A,0),1)&lt;&gt;"",$E206*INDEX(HistoricSummary!D:D,MATCH($C206,HistoricSummary!$A:$A,0),1)+$G206,""),AND($B206&lt;&gt;"",$D206="COST",$G206&lt;0),$G206,TRUE,)</f>
        <v>-54.658</v>
      </c>
      <c r="J206" s="235">
        <f t="array" ref="J206">IFS(AND($B206&lt;&gt;"",$E206&lt;&gt;""),IF(INDEX(HistoricSummary!E:E,MATCH($C206,HistoricSummary!$A:$A,0),1)&lt;&gt;"",$E206*INDEX(HistoricSummary!E:E,MATCH($C206,HistoricSummary!$A:$A,0),1)+$G206,""),AND($B206&lt;&gt;"",$D206="COST",$G206&lt;0),$G206,TRUE,)</f>
        <v>88.12247287</v>
      </c>
    </row>
    <row r="207">
      <c r="A207" s="184">
        <v>43837.0</v>
      </c>
      <c r="B207" s="229"/>
      <c r="C207" s="230"/>
      <c r="D207" s="231" t="s">
        <v>454</v>
      </c>
      <c r="E207" s="231"/>
      <c r="F207" s="232"/>
      <c r="G207" s="233">
        <v>-300.0</v>
      </c>
      <c r="H207" s="230" t="s">
        <v>581</v>
      </c>
      <c r="I207" s="235" t="str">
        <f t="array" ref="I207">IFS(AND($B207&lt;&gt;"",$E207&lt;&gt;""),IF(INDEX(HistoricSummary!D:D,MATCH($C207,HistoricSummary!$A:$A,0),1)&lt;&gt;"",$E207*INDEX(HistoricSummary!D:D,MATCH($C207,HistoricSummary!$A:$A,0),1)+$G207,""),AND($B207&lt;&gt;"",$D207="COST",$G207&lt;0),$G207,TRUE,)</f>
        <v/>
      </c>
      <c r="J207" s="235" t="str">
        <f t="array" ref="J207">IFS(AND($B207&lt;&gt;"",$E207&lt;&gt;""),IF(INDEX(HistoricSummary!E:E,MATCH($C207,HistoricSummary!$A:$A,0),1)&lt;&gt;"",$E207*INDEX(HistoricSummary!E:E,MATCH($C207,HistoricSummary!$A:$A,0),1)+$G207,""),AND($B207&lt;&gt;"",$D207="COST",$G207&lt;0),$G207,TRUE,)</f>
        <v/>
      </c>
    </row>
    <row r="208">
      <c r="A208" s="184">
        <v>43836.0</v>
      </c>
      <c r="B208" s="229" t="s">
        <v>288</v>
      </c>
      <c r="C208" s="230" t="s">
        <v>289</v>
      </c>
      <c r="D208" s="231" t="s">
        <v>415</v>
      </c>
      <c r="E208" s="231">
        <v>-5.0</v>
      </c>
      <c r="F208" s="232">
        <v>134.05</v>
      </c>
      <c r="G208" s="233">
        <v>670.25</v>
      </c>
      <c r="H208" s="230" t="s">
        <v>626</v>
      </c>
      <c r="I208" s="235">
        <f t="array" ref="I208">IFS(AND($B208&lt;&gt;"",$E208&lt;&gt;""),IF(INDEX(HistoricSummary!D:D,MATCH($C208,HistoricSummary!$A:$A,0),1)&lt;&gt;"",$E208*INDEX(HistoricSummary!D:D,MATCH($C208,HistoricSummary!$A:$A,0),1)+$G208,""),AND($B208&lt;&gt;"",$D208="COST",$G208&lt;0),$G208,TRUE,)</f>
        <v>-81.15</v>
      </c>
      <c r="J208" s="235">
        <f t="array" ref="J208">IFS(AND($B208&lt;&gt;"",$E208&lt;&gt;""),IF(INDEX(HistoricSummary!E:E,MATCH($C208,HistoricSummary!$A:$A,0),1)&lt;&gt;"",$E208*INDEX(HistoricSummary!E:E,MATCH($C208,HistoricSummary!$A:$A,0),1)+$G208,""),AND($B208&lt;&gt;"",$D208="COST",$G208&lt;0),$G208,TRUE,)</f>
        <v>-52.91996124</v>
      </c>
    </row>
    <row r="209">
      <c r="A209" s="184">
        <v>43831.0</v>
      </c>
      <c r="B209" s="229"/>
      <c r="C209" s="230"/>
      <c r="D209" s="231" t="s">
        <v>432</v>
      </c>
      <c r="E209" s="231"/>
      <c r="F209" s="232"/>
      <c r="G209" s="233">
        <f>1227.06-1397.54</f>
        <v>-170.48</v>
      </c>
      <c r="H209" s="237" t="s">
        <v>627</v>
      </c>
      <c r="I209" s="235" t="str">
        <f t="array" ref="I209">IFS(AND($B209&lt;&gt;"",$E209&lt;&gt;""),IF(INDEX(HistoricSummary!D:D,MATCH($C209,HistoricSummary!$A:$A,0),1)&lt;&gt;"",$E209*INDEX(HistoricSummary!D:D,MATCH($C209,HistoricSummary!$A:$A,0),1)+$G209,""),AND($B209&lt;&gt;"",$D209="COST",$G209&lt;0),$G209,TRUE,)</f>
        <v/>
      </c>
      <c r="J209" s="235" t="str">
        <f t="array" ref="J209">IFS(AND($B209&lt;&gt;"",$E209&lt;&gt;""),IF(INDEX(HistoricSummary!E:E,MATCH($C209,HistoricSummary!$A:$A,0),1)&lt;&gt;"",$E209*INDEX(HistoricSummary!E:E,MATCH($C209,HistoricSummary!$A:$A,0),1)+$G209,""),AND($B209&lt;&gt;"",$D209="COST",$G209&lt;0),$G209,TRUE,)</f>
        <v/>
      </c>
    </row>
    <row r="210">
      <c r="A210" s="184">
        <v>43831.0</v>
      </c>
      <c r="B210" s="229" t="s">
        <v>298</v>
      </c>
      <c r="C210" s="229" t="s">
        <v>299</v>
      </c>
      <c r="D210" s="229" t="s">
        <v>475</v>
      </c>
      <c r="E210" s="238"/>
      <c r="F210" s="239"/>
      <c r="G210" s="233">
        <v>326.97</v>
      </c>
      <c r="H210" s="237" t="s">
        <v>628</v>
      </c>
      <c r="I210" s="235" t="str">
        <f t="array" ref="I210">IFS(AND($B210&lt;&gt;"",$E210&lt;&gt;""),IF(INDEX(HistoricSummary!D:D,MATCH($C210,HistoricSummary!$A:$A,0),1)&lt;&gt;"",$E210*INDEX(HistoricSummary!D:D,MATCH($C210,HistoricSummary!$A:$A,0),1)+$G210,""),AND($B210&lt;&gt;"",$D210="COST",$G210&lt;0),$G210,TRUE,)</f>
        <v/>
      </c>
      <c r="J210" s="235" t="str">
        <f t="array" ref="J210">IFS(AND($B210&lt;&gt;"",$E210&lt;&gt;""),IF(INDEX(HistoricSummary!E:E,MATCH($C210,HistoricSummary!$A:$A,0),1)&lt;&gt;"",$E210*INDEX(HistoricSummary!E:E,MATCH($C210,HistoricSummary!$A:$A,0),1)+$G210,""),AND($B210&lt;&gt;"",$D210="COST",$G210&lt;0),$G210,TRUE,)</f>
        <v/>
      </c>
    </row>
    <row r="211">
      <c r="A211" s="184">
        <v>43831.0</v>
      </c>
      <c r="B211" s="229" t="s">
        <v>302</v>
      </c>
      <c r="C211" s="229" t="s">
        <v>303</v>
      </c>
      <c r="D211" s="229" t="s">
        <v>475</v>
      </c>
      <c r="E211" s="238"/>
      <c r="F211" s="239"/>
      <c r="G211" s="233">
        <v>-196.86</v>
      </c>
      <c r="H211" s="237" t="s">
        <v>629</v>
      </c>
      <c r="I211" s="235" t="str">
        <f t="array" ref="I211">IFS(AND($B211&lt;&gt;"",$E211&lt;&gt;""),IF(INDEX(HistoricSummary!D:D,MATCH($C211,HistoricSummary!$A:$A,0),1)&lt;&gt;"",$E211*INDEX(HistoricSummary!D:D,MATCH($C211,HistoricSummary!$A:$A,0),1)+$G211,""),AND($B211&lt;&gt;"",$D211="COST",$G211&lt;0),$G211,TRUE,)</f>
        <v/>
      </c>
      <c r="J211" s="235" t="str">
        <f t="array" ref="J211">IFS(AND($B211&lt;&gt;"",$E211&lt;&gt;""),IF(INDEX(HistoricSummary!E:E,MATCH($C211,HistoricSummary!$A:$A,0),1)&lt;&gt;"",$E211*INDEX(HistoricSummary!E:E,MATCH($C211,HistoricSummary!$A:$A,0),1)+$G211,""),AND($B211&lt;&gt;"",$D211="COST",$G211&lt;0),$G211,TRUE,)</f>
        <v/>
      </c>
    </row>
    <row r="212">
      <c r="A212" s="184">
        <v>43831.0</v>
      </c>
      <c r="B212" s="229" t="s">
        <v>292</v>
      </c>
      <c r="C212" s="229" t="s">
        <v>293</v>
      </c>
      <c r="D212" s="229" t="s">
        <v>475</v>
      </c>
      <c r="E212" s="238"/>
      <c r="F212" s="239"/>
      <c r="G212" s="233">
        <v>32.88</v>
      </c>
      <c r="H212" s="237" t="s">
        <v>630</v>
      </c>
      <c r="I212" s="235" t="str">
        <f t="array" ref="I212">IFS(AND($B212&lt;&gt;"",$E212&lt;&gt;""),IF(INDEX(HistoricSummary!D:D,MATCH($C212,HistoricSummary!$A:$A,0),1)&lt;&gt;"",$E212*INDEX(HistoricSummary!D:D,MATCH($C212,HistoricSummary!$A:$A,0),1)+$G212,""),AND($B212&lt;&gt;"",$D212="COST",$G212&lt;0),$G212,TRUE,)</f>
        <v/>
      </c>
      <c r="J212" s="235" t="str">
        <f t="array" ref="J212">IFS(AND($B212&lt;&gt;"",$E212&lt;&gt;""),IF(INDEX(HistoricSummary!E:E,MATCH($C212,HistoricSummary!$A:$A,0),1)&lt;&gt;"",$E212*INDEX(HistoricSummary!E:E,MATCH($C212,HistoricSummary!$A:$A,0),1)+$G212,""),AND($B212&lt;&gt;"",$D212="COST",$G212&lt;0),$G212,TRUE,)</f>
        <v/>
      </c>
    </row>
    <row r="213">
      <c r="A213" s="184">
        <v>43831.0</v>
      </c>
      <c r="B213" s="229"/>
      <c r="C213" s="230"/>
      <c r="D213" s="231" t="s">
        <v>432</v>
      </c>
      <c r="E213" s="231"/>
      <c r="F213" s="232"/>
      <c r="G213" s="233">
        <v>582.23</v>
      </c>
      <c r="H213" s="237" t="s">
        <v>631</v>
      </c>
      <c r="I213" s="235" t="str">
        <f t="array" ref="I213">IFS(AND($B213&lt;&gt;"",$E213&lt;&gt;""),IF(INDEX(HistoricSummary!D:D,MATCH($C213,HistoricSummary!$A:$A,0),1)&lt;&gt;"",$E213*INDEX(HistoricSummary!D:D,MATCH($C213,HistoricSummary!$A:$A,0),1)+$G213,""),AND($B213&lt;&gt;"",$D213="COST",$G213&lt;0),$G213,TRUE,)</f>
        <v/>
      </c>
      <c r="J213" s="235" t="str">
        <f t="array" ref="J213">IFS(AND($B213&lt;&gt;"",$E213&lt;&gt;""),IF(INDEX(HistoricSummary!E:E,MATCH($C213,HistoricSummary!$A:$A,0),1)&lt;&gt;"",$E213*INDEX(HistoricSummary!E:E,MATCH($C213,HistoricSummary!$A:$A,0),1)+$G213,""),AND($B213&lt;&gt;"",$D213="COST",$G213&lt;0),$G213,TRUE,)</f>
        <v/>
      </c>
    </row>
    <row r="214">
      <c r="A214" s="184">
        <v>43831.0</v>
      </c>
      <c r="B214" s="229"/>
      <c r="C214" s="230"/>
      <c r="D214" s="231" t="s">
        <v>454</v>
      </c>
      <c r="E214" s="231"/>
      <c r="F214" s="232"/>
      <c r="G214" s="233">
        <v>-582.23</v>
      </c>
      <c r="H214" s="237" t="s">
        <v>632</v>
      </c>
      <c r="I214" s="235" t="str">
        <f t="array" ref="I214">IFS(AND($B214&lt;&gt;"",$E214&lt;&gt;""),IF(INDEX(HistoricSummary!D:D,MATCH($C214,HistoricSummary!$A:$A,0),1)&lt;&gt;"",$E214*INDEX(HistoricSummary!D:D,MATCH($C214,HistoricSummary!$A:$A,0),1)+$G214,""),AND($B214&lt;&gt;"",$D214="COST",$G214&lt;0),$G214,TRUE,)</f>
        <v/>
      </c>
      <c r="J214" s="235" t="str">
        <f t="array" ref="J214">IFS(AND($B214&lt;&gt;"",$E214&lt;&gt;""),IF(INDEX(HistoricSummary!E:E,MATCH($C214,HistoricSummary!$A:$A,0),1)&lt;&gt;"",$E214*INDEX(HistoricSummary!E:E,MATCH($C214,HistoricSummary!$A:$A,0),1)+$G214,""),AND($B214&lt;&gt;"",$D214="COST",$G214&lt;0),$G214,TRUE,)</f>
        <v/>
      </c>
    </row>
    <row r="215">
      <c r="A215" s="184">
        <v>43830.0</v>
      </c>
      <c r="B215" s="229"/>
      <c r="C215" s="230"/>
      <c r="D215" s="231" t="s">
        <v>454</v>
      </c>
      <c r="E215" s="231"/>
      <c r="F215" s="232"/>
      <c r="G215" s="233">
        <v>29900.0</v>
      </c>
      <c r="H215" s="230" t="s">
        <v>633</v>
      </c>
      <c r="I215" s="235" t="str">
        <f t="array" ref="I215">IFS(AND($B215&lt;&gt;"",$E215&lt;&gt;""),IF(INDEX(HistoricSummary!D:D,MATCH($C215,HistoricSummary!$A:$A,0),1)&lt;&gt;"",$E215*INDEX(HistoricSummary!D:D,MATCH($C215,HistoricSummary!$A:$A,0),1)+$G215,""),AND($B215&lt;&gt;"",$D215="COST",$G215&lt;0),$G215,TRUE,)</f>
        <v/>
      </c>
      <c r="J215" s="235" t="str">
        <f t="array" ref="J215">IFS(AND($B215&lt;&gt;"",$E215&lt;&gt;""),IF(INDEX(HistoricSummary!E:E,MATCH($C215,HistoricSummary!$A:$A,0),1)&lt;&gt;"",$E215*INDEX(HistoricSummary!E:E,MATCH($C215,HistoricSummary!$A:$A,0),1)+$G215,""),AND($B215&lt;&gt;"",$D215="COST",$G215&lt;0),$G215,TRUE,)</f>
        <v/>
      </c>
    </row>
    <row r="216">
      <c r="A216" s="184">
        <v>43830.0</v>
      </c>
      <c r="B216" s="229"/>
      <c r="C216" s="230"/>
      <c r="D216" s="231" t="s">
        <v>432</v>
      </c>
      <c r="E216" s="231"/>
      <c r="F216" s="232"/>
      <c r="G216" s="233">
        <v>-348.96</v>
      </c>
      <c r="H216" s="230" t="s">
        <v>634</v>
      </c>
      <c r="I216" s="235" t="str">
        <f t="array" ref="I216">IFS(AND($B216&lt;&gt;"",$E216&lt;&gt;""),IF(INDEX(HistoricSummary!D:D,MATCH($C216,HistoricSummary!$A:$A,0),1)&lt;&gt;"",$E216*INDEX(HistoricSummary!D:D,MATCH($C216,HistoricSummary!$A:$A,0),1)+$G216,""),AND($B216&lt;&gt;"",$D216="COST",$G216&lt;0),$G216,TRUE,)</f>
        <v/>
      </c>
      <c r="J216" s="235" t="str">
        <f t="array" ref="J216">IFS(AND($B216&lt;&gt;"",$E216&lt;&gt;""),IF(INDEX(HistoricSummary!E:E,MATCH($C216,HistoricSummary!$A:$A,0),1)&lt;&gt;"",$E216*INDEX(HistoricSummary!E:E,MATCH($C216,HistoricSummary!$A:$A,0),1)+$G216,""),AND($B216&lt;&gt;"",$D216="COST",$G216&lt;0),$G216,TRUE,)</f>
        <v/>
      </c>
    </row>
    <row r="217">
      <c r="A217" s="184">
        <v>43826.0</v>
      </c>
      <c r="B217" s="229" t="s">
        <v>302</v>
      </c>
      <c r="C217" s="230" t="s">
        <v>303</v>
      </c>
      <c r="D217" s="231" t="s">
        <v>475</v>
      </c>
      <c r="E217" s="231"/>
      <c r="F217" s="232"/>
      <c r="G217" s="233">
        <v>736.7</v>
      </c>
      <c r="H217" s="230" t="s">
        <v>635</v>
      </c>
      <c r="I217" s="235" t="str">
        <f t="array" ref="I217">IFS(AND($B217&lt;&gt;"",$E217&lt;&gt;""),IF(INDEX(HistoricSummary!D:D,MATCH($C217,HistoricSummary!$A:$A,0),1)&lt;&gt;"",$E217*INDEX(HistoricSummary!D:D,MATCH($C217,HistoricSummary!$A:$A,0),1)+$G217,""),AND($B217&lt;&gt;"",$D217="COST",$G217&lt;0),$G217,TRUE,)</f>
        <v/>
      </c>
      <c r="J217" s="235" t="str">
        <f t="array" ref="J217">IFS(AND($B217&lt;&gt;"",$E217&lt;&gt;""),IF(INDEX(HistoricSummary!E:E,MATCH($C217,HistoricSummary!$A:$A,0),1)&lt;&gt;"",$E217*INDEX(HistoricSummary!E:E,MATCH($C217,HistoricSummary!$A:$A,0),1)+$G217,""),AND($B217&lt;&gt;"",$D217="COST",$G217&lt;0),$G217,TRUE,)</f>
        <v/>
      </c>
    </row>
    <row r="218">
      <c r="A218" s="184">
        <v>43826.0</v>
      </c>
      <c r="B218" s="229" t="s">
        <v>298</v>
      </c>
      <c r="C218" s="230" t="s">
        <v>299</v>
      </c>
      <c r="D218" s="231" t="s">
        <v>475</v>
      </c>
      <c r="E218" s="231"/>
      <c r="F218" s="232"/>
      <c r="G218" s="233">
        <v>3360.26</v>
      </c>
      <c r="H218" s="230" t="s">
        <v>636</v>
      </c>
      <c r="I218" s="235" t="str">
        <f t="array" ref="I218">IFS(AND($B218&lt;&gt;"",$E218&lt;&gt;""),IF(INDEX(HistoricSummary!D:D,MATCH($C218,HistoricSummary!$A:$A,0),1)&lt;&gt;"",$E218*INDEX(HistoricSummary!D:D,MATCH($C218,HistoricSummary!$A:$A,0),1)+$G218,""),AND($B218&lt;&gt;"",$D218="COST",$G218&lt;0),$G218,TRUE,)</f>
        <v/>
      </c>
      <c r="J218" s="235" t="str">
        <f t="array" ref="J218">IFS(AND($B218&lt;&gt;"",$E218&lt;&gt;""),IF(INDEX(HistoricSummary!E:E,MATCH($C218,HistoricSummary!$A:$A,0),1)&lt;&gt;"",$E218*INDEX(HistoricSummary!E:E,MATCH($C218,HistoricSummary!$A:$A,0),1)+$G218,""),AND($B218&lt;&gt;"",$D218="COST",$G218&lt;0),$G218,TRUE,)</f>
        <v/>
      </c>
    </row>
    <row r="219">
      <c r="A219" s="184">
        <v>43826.0</v>
      </c>
      <c r="B219" s="229" t="s">
        <v>298</v>
      </c>
      <c r="C219" s="230" t="s">
        <v>299</v>
      </c>
      <c r="D219" s="231" t="s">
        <v>475</v>
      </c>
      <c r="E219" s="231"/>
      <c r="F219" s="232"/>
      <c r="G219" s="233">
        <v>-435.08</v>
      </c>
      <c r="H219" s="230" t="s">
        <v>637</v>
      </c>
      <c r="I219" s="235" t="str">
        <f t="array" ref="I219">IFS(AND($B219&lt;&gt;"",$E219&lt;&gt;""),IF(INDEX(HistoricSummary!D:D,MATCH($C219,HistoricSummary!$A:$A,0),1)&lt;&gt;"",$E219*INDEX(HistoricSummary!D:D,MATCH($C219,HistoricSummary!$A:$A,0),1)+$G219,""),AND($B219&lt;&gt;"",$D219="COST",$G219&lt;0),$G219,TRUE,)</f>
        <v/>
      </c>
      <c r="J219" s="235" t="str">
        <f t="array" ref="J219">IFS(AND($B219&lt;&gt;"",$E219&lt;&gt;""),IF(INDEX(HistoricSummary!E:E,MATCH($C219,HistoricSummary!$A:$A,0),1)&lt;&gt;"",$E219*INDEX(HistoricSummary!E:E,MATCH($C219,HistoricSummary!$A:$A,0),1)+$G219,""),AND($B219&lt;&gt;"",$D219="COST",$G219&lt;0),$G219,TRUE,)</f>
        <v/>
      </c>
    </row>
    <row r="220">
      <c r="A220" s="184">
        <v>43819.0</v>
      </c>
      <c r="B220" s="229" t="s">
        <v>302</v>
      </c>
      <c r="C220" s="230" t="s">
        <v>303</v>
      </c>
      <c r="D220" s="231" t="s">
        <v>415</v>
      </c>
      <c r="E220" s="231">
        <v>-21.0</v>
      </c>
      <c r="F220" s="232">
        <v>55.11</v>
      </c>
      <c r="G220" s="233">
        <v>1157.31</v>
      </c>
      <c r="H220" s="230" t="s">
        <v>638</v>
      </c>
      <c r="I220" s="235">
        <f t="array" ref="I220">IFS(AND($B220&lt;&gt;"",$E220&lt;&gt;""),IF(INDEX(HistoricSummary!D:D,MATCH($C220,HistoricSummary!$A:$A,0),1)&lt;&gt;"",$E220*INDEX(HistoricSummary!D:D,MATCH($C220,HistoricSummary!$A:$A,0),1)+$G220,""),AND($B220&lt;&gt;"",$D220="COST",$G220&lt;0),$G220,TRUE,)</f>
        <v>-53.088</v>
      </c>
      <c r="J220" s="235">
        <f t="array" ref="J220">IFS(AND($B220&lt;&gt;"",$E220&lt;&gt;""),IF(INDEX(HistoricSummary!E:E,MATCH($C220,HistoricSummary!$A:$A,0),1)&lt;&gt;"",$E220*INDEX(HistoricSummary!E:E,MATCH($C220,HistoricSummary!$A:$A,0),1)+$G220,""),AND($B220&lt;&gt;"",$D220="COST",$G220&lt;0),$G220,TRUE,)</f>
        <v>43.63425581</v>
      </c>
    </row>
    <row r="221">
      <c r="A221" s="184">
        <v>43819.0</v>
      </c>
      <c r="B221" s="229" t="s">
        <v>302</v>
      </c>
      <c r="C221" s="230" t="s">
        <v>303</v>
      </c>
      <c r="D221" s="231" t="s">
        <v>415</v>
      </c>
      <c r="E221" s="231">
        <v>-1.0</v>
      </c>
      <c r="F221" s="232">
        <v>54.98</v>
      </c>
      <c r="G221" s="233">
        <v>54.98</v>
      </c>
      <c r="H221" s="230" t="s">
        <v>639</v>
      </c>
      <c r="I221" s="235">
        <f t="array" ref="I221">IFS(AND($B221&lt;&gt;"",$E221&lt;&gt;""),IF(INDEX(HistoricSummary!D:D,MATCH($C221,HistoricSummary!$A:$A,0),1)&lt;&gt;"",$E221*INDEX(HistoricSummary!D:D,MATCH($C221,HistoricSummary!$A:$A,0),1)+$G221,""),AND($B221&lt;&gt;"",$D221="COST",$G221&lt;0),$G221,TRUE,)</f>
        <v>-2.658</v>
      </c>
      <c r="J221" s="235">
        <f t="array" ref="J221">IFS(AND($B221&lt;&gt;"",$E221&lt;&gt;""),IF(INDEX(HistoricSummary!E:E,MATCH($C221,HistoricSummary!$A:$A,0),1)&lt;&gt;"",$E221*INDEX(HistoricSummary!E:E,MATCH($C221,HistoricSummary!$A:$A,0),1)+$G221,""),AND($B221&lt;&gt;"",$D221="COST",$G221&lt;0),$G221,TRUE,)</f>
        <v>1.947821705</v>
      </c>
    </row>
    <row r="222">
      <c r="A222" s="184">
        <v>43819.0</v>
      </c>
      <c r="B222" s="229" t="s">
        <v>302</v>
      </c>
      <c r="C222" s="230" t="s">
        <v>303</v>
      </c>
      <c r="D222" s="231" t="s">
        <v>415</v>
      </c>
      <c r="E222" s="231">
        <v>-18.0</v>
      </c>
      <c r="F222" s="232">
        <v>54.98</v>
      </c>
      <c r="G222" s="233">
        <v>989.64</v>
      </c>
      <c r="H222" s="230" t="s">
        <v>640</v>
      </c>
      <c r="I222" s="235">
        <f t="array" ref="I222">IFS(AND($B222&lt;&gt;"",$E222&lt;&gt;""),IF(INDEX(HistoricSummary!D:D,MATCH($C222,HistoricSummary!$A:$A,0),1)&lt;&gt;"",$E222*INDEX(HistoricSummary!D:D,MATCH($C222,HistoricSummary!$A:$A,0),1)+$G222,""),AND($B222&lt;&gt;"",$D222="COST",$G222&lt;0),$G222,TRUE,)</f>
        <v>-47.844</v>
      </c>
      <c r="J222" s="235">
        <f t="array" ref="J222">IFS(AND($B222&lt;&gt;"",$E222&lt;&gt;""),IF(INDEX(HistoricSummary!E:E,MATCH($C222,HistoricSummary!$A:$A,0),1)&lt;&gt;"",$E222*INDEX(HistoricSummary!E:E,MATCH($C222,HistoricSummary!$A:$A,0),1)+$G222,""),AND($B222&lt;&gt;"",$D222="COST",$G222&lt;0),$G222,TRUE,)</f>
        <v>35.0607907</v>
      </c>
    </row>
    <row r="223">
      <c r="A223" s="184">
        <v>43819.0</v>
      </c>
      <c r="B223" s="229" t="s">
        <v>302</v>
      </c>
      <c r="C223" s="230" t="s">
        <v>303</v>
      </c>
      <c r="D223" s="231" t="s">
        <v>415</v>
      </c>
      <c r="E223" s="231">
        <v>-24.0</v>
      </c>
      <c r="F223" s="232">
        <v>54.8579</v>
      </c>
      <c r="G223" s="233">
        <v>1316.59</v>
      </c>
      <c r="H223" s="230" t="s">
        <v>641</v>
      </c>
      <c r="I223" s="235">
        <f t="array" ref="I223">IFS(AND($B223&lt;&gt;"",$E223&lt;&gt;""),IF(INDEX(HistoricSummary!D:D,MATCH($C223,HistoricSummary!$A:$A,0),1)&lt;&gt;"",$E223*INDEX(HistoricSummary!D:D,MATCH($C223,HistoricSummary!$A:$A,0),1)+$G223,""),AND($B223&lt;&gt;"",$D223="COST",$G223&lt;0),$G223,TRUE,)</f>
        <v>-66.722</v>
      </c>
      <c r="J223" s="235">
        <f t="array" ref="J223">IFS(AND($B223&lt;&gt;"",$E223&lt;&gt;""),IF(INDEX(HistoricSummary!E:E,MATCH($C223,HistoricSummary!$A:$A,0),1)&lt;&gt;"",$E223*INDEX(HistoricSummary!E:E,MATCH($C223,HistoricSummary!$A:$A,0),1)+$G223,""),AND($B223&lt;&gt;"",$D223="COST",$G223&lt;0),$G223,TRUE,)</f>
        <v>43.81772093</v>
      </c>
    </row>
    <row r="224">
      <c r="A224" s="184">
        <v>43819.0</v>
      </c>
      <c r="B224" s="229" t="s">
        <v>283</v>
      </c>
      <c r="C224" s="230" t="s">
        <v>286</v>
      </c>
      <c r="D224" s="231" t="s">
        <v>415</v>
      </c>
      <c r="E224" s="231">
        <v>-164.0</v>
      </c>
      <c r="F224" s="232">
        <v>7.46</v>
      </c>
      <c r="G224" s="233">
        <v>1223.44</v>
      </c>
      <c r="H224" s="230" t="s">
        <v>642</v>
      </c>
      <c r="I224" s="235">
        <f t="array" ref="I224">IFS(AND($B224&lt;&gt;"",$E224&lt;&gt;""),IF(INDEX(HistoricSummary!D:D,MATCH($C224,HistoricSummary!$A:$A,0),1)&lt;&gt;"",$E224*INDEX(HistoricSummary!D:D,MATCH($C224,HistoricSummary!$A:$A,0),1)+$G224,""),AND($B224&lt;&gt;"",$D224="COST",$G224&lt;0),$G224,TRUE,)</f>
        <v>158.588</v>
      </c>
      <c r="J224" s="235">
        <f t="array" ref="J224">IFS(AND($B224&lt;&gt;"",$E224&lt;&gt;""),IF(INDEX(HistoricSummary!E:E,MATCH($C224,HistoricSummary!$A:$A,0),1)&lt;&gt;"",$E224*INDEX(HistoricSummary!E:E,MATCH($C224,HistoricSummary!$A:$A,0),1)+$G224,""),AND($B224&lt;&gt;"",$D224="COST",$G224&lt;0),$G224,TRUE,)</f>
        <v>165.4073488</v>
      </c>
    </row>
    <row r="225">
      <c r="A225" s="184">
        <v>43819.0</v>
      </c>
      <c r="B225" s="229" t="s">
        <v>302</v>
      </c>
      <c r="C225" s="230" t="s">
        <v>303</v>
      </c>
      <c r="D225" s="231" t="s">
        <v>415</v>
      </c>
      <c r="E225" s="231">
        <v>-31.0</v>
      </c>
      <c r="F225" s="232">
        <v>54.7319</v>
      </c>
      <c r="G225" s="233">
        <v>1696.69</v>
      </c>
      <c r="H225" s="230" t="s">
        <v>643</v>
      </c>
      <c r="I225" s="235">
        <f t="array" ref="I225">IFS(AND($B225&lt;&gt;"",$E225&lt;&gt;""),IF(INDEX(HistoricSummary!D:D,MATCH($C225,HistoricSummary!$A:$A,0),1)&lt;&gt;"",$E225*INDEX(HistoricSummary!D:D,MATCH($C225,HistoricSummary!$A:$A,0),1)+$G225,""),AND($B225&lt;&gt;"",$D225="COST",$G225&lt;0),$G225,TRUE,)</f>
        <v>-90.088</v>
      </c>
      <c r="J225" s="235">
        <f t="array" ref="J225">IFS(AND($B225&lt;&gt;"",$E225&lt;&gt;""),IF(INDEX(HistoricSummary!E:E,MATCH($C225,HistoricSummary!$A:$A,0),1)&lt;&gt;"",$E225*INDEX(HistoricSummary!E:E,MATCH($C225,HistoricSummary!$A:$A,0),1)+$G225,""),AND($B225&lt;&gt;"",$D225="COST",$G225&lt;0),$G225,TRUE,)</f>
        <v>52.69247287</v>
      </c>
    </row>
    <row r="226">
      <c r="A226" s="184">
        <v>43819.0</v>
      </c>
      <c r="B226" s="229" t="s">
        <v>283</v>
      </c>
      <c r="C226" s="230" t="s">
        <v>286</v>
      </c>
      <c r="D226" s="231" t="s">
        <v>415</v>
      </c>
      <c r="E226" s="231">
        <v>-10.0</v>
      </c>
      <c r="F226" s="232">
        <v>7.46</v>
      </c>
      <c r="G226" s="233">
        <v>74.6</v>
      </c>
      <c r="H226" s="230" t="s">
        <v>644</v>
      </c>
      <c r="I226" s="235">
        <f t="array" ref="I226">IFS(AND($B226&lt;&gt;"",$E226&lt;&gt;""),IF(INDEX(HistoricSummary!D:D,MATCH($C226,HistoricSummary!$A:$A,0),1)&lt;&gt;"",$E226*INDEX(HistoricSummary!D:D,MATCH($C226,HistoricSummary!$A:$A,0),1)+$G226,""),AND($B226&lt;&gt;"",$D226="COST",$G226&lt;0),$G226,TRUE,)</f>
        <v>9.67</v>
      </c>
      <c r="J226" s="235">
        <f t="array" ref="J226">IFS(AND($B226&lt;&gt;"",$E226&lt;&gt;""),IF(INDEX(HistoricSummary!E:E,MATCH($C226,HistoricSummary!$A:$A,0),1)&lt;&gt;"",$E226*INDEX(HistoricSummary!E:E,MATCH($C226,HistoricSummary!$A:$A,0),1)+$G226,""),AND($B226&lt;&gt;"",$D226="COST",$G226&lt;0),$G226,TRUE,)</f>
        <v>10.08581395</v>
      </c>
    </row>
    <row r="227">
      <c r="A227" s="184">
        <v>43817.0</v>
      </c>
      <c r="B227" s="229" t="s">
        <v>302</v>
      </c>
      <c r="C227" s="230" t="s">
        <v>303</v>
      </c>
      <c r="D227" s="231" t="s">
        <v>415</v>
      </c>
      <c r="E227" s="231">
        <v>-24.0</v>
      </c>
      <c r="F227" s="232">
        <v>54.4408</v>
      </c>
      <c r="G227" s="233">
        <v>1306.58</v>
      </c>
      <c r="H227" s="230" t="s">
        <v>645</v>
      </c>
      <c r="I227" s="235">
        <f t="array" ref="I227">IFS(AND($B227&lt;&gt;"",$E227&lt;&gt;""),IF(INDEX(HistoricSummary!D:D,MATCH($C227,HistoricSummary!$A:$A,0),1)&lt;&gt;"",$E227*INDEX(HistoricSummary!D:D,MATCH($C227,HistoricSummary!$A:$A,0),1)+$G227,""),AND($B227&lt;&gt;"",$D227="COST",$G227&lt;0),$G227,TRUE,)</f>
        <v>-76.732</v>
      </c>
      <c r="J227" s="235">
        <f t="array" ref="J227">IFS(AND($B227&lt;&gt;"",$E227&lt;&gt;""),IF(INDEX(HistoricSummary!E:E,MATCH($C227,HistoricSummary!$A:$A,0),1)&lt;&gt;"",$E227*INDEX(HistoricSummary!E:E,MATCH($C227,HistoricSummary!$A:$A,0),1)+$G227,""),AND($B227&lt;&gt;"",$D227="COST",$G227&lt;0),$G227,TRUE,)</f>
        <v>33.80772093</v>
      </c>
    </row>
    <row r="228">
      <c r="A228" s="184">
        <v>43816.0</v>
      </c>
      <c r="B228" s="229" t="s">
        <v>302</v>
      </c>
      <c r="C228" s="230" t="s">
        <v>303</v>
      </c>
      <c r="D228" s="231" t="s">
        <v>415</v>
      </c>
      <c r="E228" s="231">
        <v>-19.0</v>
      </c>
      <c r="F228" s="232">
        <v>54.2821</v>
      </c>
      <c r="G228" s="233">
        <v>1031.36</v>
      </c>
      <c r="H228" s="230" t="s">
        <v>646</v>
      </c>
      <c r="I228" s="235">
        <f t="array" ref="I228">IFS(AND($B228&lt;&gt;"",$E228&lt;&gt;""),IF(INDEX(HistoricSummary!D:D,MATCH($C228,HistoricSummary!$A:$A,0),1)&lt;&gt;"",$E228*INDEX(HistoricSummary!D:D,MATCH($C228,HistoricSummary!$A:$A,0),1)+$G228,""),AND($B228&lt;&gt;"",$D228="COST",$G228&lt;0),$G228,TRUE,)</f>
        <v>-63.762</v>
      </c>
      <c r="J228" s="235">
        <f t="array" ref="J228">IFS(AND($B228&lt;&gt;"",$E228&lt;&gt;""),IF(INDEX(HistoricSummary!E:E,MATCH($C228,HistoricSummary!$A:$A,0),1)&lt;&gt;"",$E228*INDEX(HistoricSummary!E:E,MATCH($C228,HistoricSummary!$A:$A,0),1)+$G228,""),AND($B228&lt;&gt;"",$D228="COST",$G228&lt;0),$G228,TRUE,)</f>
        <v>23.7486124</v>
      </c>
    </row>
    <row r="229">
      <c r="A229" s="184">
        <v>43811.0</v>
      </c>
      <c r="B229" s="229"/>
      <c r="C229" s="230"/>
      <c r="D229" s="231" t="s">
        <v>454</v>
      </c>
      <c r="E229" s="231"/>
      <c r="F229" s="232"/>
      <c r="G229" s="233">
        <v>-100.0</v>
      </c>
      <c r="H229" s="230" t="s">
        <v>513</v>
      </c>
      <c r="I229" s="235" t="str">
        <f t="array" ref="I229">IFS(AND($B229&lt;&gt;"",$E229&lt;&gt;""),IF(INDEX(HistoricSummary!D:D,MATCH($C229,HistoricSummary!$A:$A,0),1)&lt;&gt;"",$E229*INDEX(HistoricSummary!D:D,MATCH($C229,HistoricSummary!$A:$A,0),1)+$G229,""),AND($B229&lt;&gt;"",$D229="COST",$G229&lt;0),$G229,TRUE,)</f>
        <v/>
      </c>
      <c r="J229" s="235" t="str">
        <f t="array" ref="J229">IFS(AND($B229&lt;&gt;"",$E229&lt;&gt;""),IF(INDEX(HistoricSummary!E:E,MATCH($C229,HistoricSummary!$A:$A,0),1)&lt;&gt;"",$E229*INDEX(HistoricSummary!E:E,MATCH($C229,HistoricSummary!$A:$A,0),1)+$G229,""),AND($B229&lt;&gt;"",$D229="COST",$G229&lt;0),$G229,TRUE,)</f>
        <v/>
      </c>
    </row>
    <row r="230">
      <c r="A230" s="184">
        <v>43808.0</v>
      </c>
      <c r="B230" s="229" t="s">
        <v>302</v>
      </c>
      <c r="C230" s="230" t="s">
        <v>303</v>
      </c>
      <c r="D230" s="231" t="s">
        <v>415</v>
      </c>
      <c r="E230" s="231">
        <v>-17.0</v>
      </c>
      <c r="F230" s="232">
        <v>54.11</v>
      </c>
      <c r="G230" s="233">
        <v>919.87</v>
      </c>
      <c r="H230" s="230" t="s">
        <v>647</v>
      </c>
      <c r="I230" s="235">
        <f t="array" ref="I230">IFS(AND($B230&lt;&gt;"",$E230&lt;&gt;""),IF(INDEX(HistoricSummary!D:D,MATCH($C230,HistoricSummary!$A:$A,0),1)&lt;&gt;"",$E230*INDEX(HistoricSummary!D:D,MATCH($C230,HistoricSummary!$A:$A,0),1)+$G230,""),AND($B230&lt;&gt;"",$D230="COST",$G230&lt;0),$G230,TRUE,)</f>
        <v>-59.976</v>
      </c>
      <c r="J230" s="235">
        <f t="array" ref="J230">IFS(AND($B230&lt;&gt;"",$E230&lt;&gt;""),IF(INDEX(HistoricSummary!E:E,MATCH($C230,HistoricSummary!$A:$A,0),1)&lt;&gt;"",$E230*INDEX(HistoricSummary!E:E,MATCH($C230,HistoricSummary!$A:$A,0),1)+$G230,""),AND($B230&lt;&gt;"",$D230="COST",$G230&lt;0),$G230,TRUE,)</f>
        <v>18.32296899</v>
      </c>
    </row>
    <row r="231">
      <c r="A231" s="184">
        <v>43804.0</v>
      </c>
      <c r="B231" s="229"/>
      <c r="C231" s="230"/>
      <c r="D231" s="231" t="s">
        <v>454</v>
      </c>
      <c r="E231" s="231"/>
      <c r="F231" s="232"/>
      <c r="G231" s="233">
        <v>-100.0</v>
      </c>
      <c r="H231" s="230" t="s">
        <v>513</v>
      </c>
      <c r="I231" s="235" t="str">
        <f t="array" ref="I231">IFS(AND($B231&lt;&gt;"",$E231&lt;&gt;""),IF(INDEX(HistoricSummary!D:D,MATCH($C231,HistoricSummary!$A:$A,0),1)&lt;&gt;"",$E231*INDEX(HistoricSummary!D:D,MATCH($C231,HistoricSummary!$A:$A,0),1)+$G231,""),AND($B231&lt;&gt;"",$D231="COST",$G231&lt;0),$G231,TRUE,)</f>
        <v/>
      </c>
      <c r="J231" s="235" t="str">
        <f t="array" ref="J231">IFS(AND($B231&lt;&gt;"",$E231&lt;&gt;""),IF(INDEX(HistoricSummary!E:E,MATCH($C231,HistoricSummary!$A:$A,0),1)&lt;&gt;"",$E231*INDEX(HistoricSummary!E:E,MATCH($C231,HistoricSummary!$A:$A,0),1)+$G231,""),AND($B231&lt;&gt;"",$D231="COST",$G231&lt;0),$G231,TRUE,)</f>
        <v/>
      </c>
    </row>
    <row r="232">
      <c r="A232" s="184">
        <v>43799.0</v>
      </c>
      <c r="B232" s="229"/>
      <c r="C232" s="230"/>
      <c r="D232" s="231" t="s">
        <v>432</v>
      </c>
      <c r="E232" s="231"/>
      <c r="F232" s="232"/>
      <c r="G232" s="233">
        <v>-382.12</v>
      </c>
      <c r="H232" s="230" t="s">
        <v>648</v>
      </c>
      <c r="I232" s="235" t="str">
        <f t="array" ref="I232">IFS(AND($B232&lt;&gt;"",$E232&lt;&gt;""),IF(INDEX(HistoricSummary!D:D,MATCH($C232,HistoricSummary!$A:$A,0),1)&lt;&gt;"",$E232*INDEX(HistoricSummary!D:D,MATCH($C232,HistoricSummary!$A:$A,0),1)+$G232,""),AND($B232&lt;&gt;"",$D232="COST",$G232&lt;0),$G232,TRUE,)</f>
        <v/>
      </c>
      <c r="J232" s="235" t="str">
        <f t="array" ref="J232">IFS(AND($B232&lt;&gt;"",$E232&lt;&gt;""),IF(INDEX(HistoricSummary!E:E,MATCH($C232,HistoricSummary!$A:$A,0),1)&lt;&gt;"",$E232*INDEX(HistoricSummary!E:E,MATCH($C232,HistoricSummary!$A:$A,0),1)+$G232,""),AND($B232&lt;&gt;"",$D232="COST",$G232&lt;0),$G232,TRUE,)</f>
        <v/>
      </c>
    </row>
    <row r="233">
      <c r="A233" s="184">
        <v>43797.0</v>
      </c>
      <c r="B233" s="229" t="s">
        <v>292</v>
      </c>
      <c r="C233" s="230" t="s">
        <v>293</v>
      </c>
      <c r="D233" s="231" t="s">
        <v>475</v>
      </c>
      <c r="E233" s="231"/>
      <c r="F233" s="232"/>
      <c r="G233" s="233">
        <v>-124.33</v>
      </c>
      <c r="H233" s="230" t="s">
        <v>649</v>
      </c>
      <c r="I233" s="235" t="str">
        <f t="array" ref="I233">IFS(AND($B233&lt;&gt;"",$E233&lt;&gt;""),IF(INDEX(HistoricSummary!D:D,MATCH($C233,HistoricSummary!$A:$A,0),1)&lt;&gt;"",$E233*INDEX(HistoricSummary!D:D,MATCH($C233,HistoricSummary!$A:$A,0),1)+$G233,""),AND($B233&lt;&gt;"",$D233="COST",$G233&lt;0),$G233,TRUE,)</f>
        <v/>
      </c>
      <c r="J233" s="235" t="str">
        <f t="array" ref="J233">IFS(AND($B233&lt;&gt;"",$E233&lt;&gt;""),IF(INDEX(HistoricSummary!E:E,MATCH($C233,HistoricSummary!$A:$A,0),1)&lt;&gt;"",$E233*INDEX(HistoricSummary!E:E,MATCH($C233,HistoricSummary!$A:$A,0),1)+$G233,""),AND($B233&lt;&gt;"",$D233="COST",$G233&lt;0),$G233,TRUE,)</f>
        <v/>
      </c>
    </row>
    <row r="234">
      <c r="A234" s="184">
        <v>43796.0</v>
      </c>
      <c r="B234" s="229" t="s">
        <v>292</v>
      </c>
      <c r="C234" s="230" t="s">
        <v>293</v>
      </c>
      <c r="D234" s="231" t="s">
        <v>475</v>
      </c>
      <c r="E234" s="231"/>
      <c r="F234" s="232"/>
      <c r="G234" s="233">
        <v>1342.46</v>
      </c>
      <c r="H234" s="230" t="s">
        <v>650</v>
      </c>
      <c r="I234" s="235" t="str">
        <f t="array" ref="I234">IFS(AND($B234&lt;&gt;"",$E234&lt;&gt;""),IF(INDEX(HistoricSummary!D:D,MATCH($C234,HistoricSummary!$A:$A,0),1)&lt;&gt;"",$E234*INDEX(HistoricSummary!D:D,MATCH($C234,HistoricSummary!$A:$A,0),1)+$G234,""),AND($B234&lt;&gt;"",$D234="COST",$G234&lt;0),$G234,TRUE,)</f>
        <v/>
      </c>
      <c r="J234" s="235" t="str">
        <f t="array" ref="J234">IFS(AND($B234&lt;&gt;"",$E234&lt;&gt;""),IF(INDEX(HistoricSummary!E:E,MATCH($C234,HistoricSummary!$A:$A,0),1)&lt;&gt;"",$E234*INDEX(HistoricSummary!E:E,MATCH($C234,HistoricSummary!$A:$A,0),1)+$G234,""),AND($B234&lt;&gt;"",$D234="COST",$G234&lt;0),$G234,TRUE,)</f>
        <v/>
      </c>
    </row>
    <row r="235">
      <c r="A235" s="184">
        <v>43795.0</v>
      </c>
      <c r="B235" s="229" t="s">
        <v>302</v>
      </c>
      <c r="C235" s="230" t="s">
        <v>303</v>
      </c>
      <c r="D235" s="231" t="s">
        <v>415</v>
      </c>
      <c r="E235" s="231">
        <v>-1.0</v>
      </c>
      <c r="F235" s="232">
        <v>54.18</v>
      </c>
      <c r="G235" s="233">
        <v>54.18</v>
      </c>
      <c r="H235" s="230" t="s">
        <v>651</v>
      </c>
      <c r="I235" s="235">
        <f t="array" ref="I235">IFS(AND($B235&lt;&gt;"",$E235&lt;&gt;""),IF(INDEX(HistoricSummary!D:D,MATCH($C235,HistoricSummary!$A:$A,0),1)&lt;&gt;"",$E235*INDEX(HistoricSummary!D:D,MATCH($C235,HistoricSummary!$A:$A,0),1)+$G235,""),AND($B235&lt;&gt;"",$D235="COST",$G235&lt;0),$G235,TRUE,)</f>
        <v>-3.458</v>
      </c>
      <c r="J235" s="235">
        <f t="array" ref="J235">IFS(AND($B235&lt;&gt;"",$E235&lt;&gt;""),IF(INDEX(HistoricSummary!E:E,MATCH($C235,HistoricSummary!$A:$A,0),1)&lt;&gt;"",$E235*INDEX(HistoricSummary!E:E,MATCH($C235,HistoricSummary!$A:$A,0),1)+$G235,""),AND($B235&lt;&gt;"",$D235="COST",$G235&lt;0),$G235,TRUE,)</f>
        <v>1.147821705</v>
      </c>
    </row>
    <row r="236">
      <c r="A236" s="184">
        <v>43795.0</v>
      </c>
      <c r="B236" s="229" t="s">
        <v>302</v>
      </c>
      <c r="C236" s="230" t="s">
        <v>303</v>
      </c>
      <c r="D236" s="231" t="s">
        <v>415</v>
      </c>
      <c r="E236" s="231">
        <v>-1.0</v>
      </c>
      <c r="F236" s="232">
        <v>54.18</v>
      </c>
      <c r="G236" s="233">
        <v>54.18</v>
      </c>
      <c r="H236" s="230" t="s">
        <v>651</v>
      </c>
      <c r="I236" s="235">
        <f t="array" ref="I236">IFS(AND($B236&lt;&gt;"",$E236&lt;&gt;""),IF(INDEX(HistoricSummary!D:D,MATCH($C236,HistoricSummary!$A:$A,0),1)&lt;&gt;"",$E236*INDEX(HistoricSummary!D:D,MATCH($C236,HistoricSummary!$A:$A,0),1)+$G236,""),AND($B236&lt;&gt;"",$D236="COST",$G236&lt;0),$G236,TRUE,)</f>
        <v>-3.458</v>
      </c>
      <c r="J236" s="235">
        <f t="array" ref="J236">IFS(AND($B236&lt;&gt;"",$E236&lt;&gt;""),IF(INDEX(HistoricSummary!E:E,MATCH($C236,HistoricSummary!$A:$A,0),1)&lt;&gt;"",$E236*INDEX(HistoricSummary!E:E,MATCH($C236,HistoricSummary!$A:$A,0),1)+$G236,""),AND($B236&lt;&gt;"",$D236="COST",$G236&lt;0),$G236,TRUE,)</f>
        <v>1.147821705</v>
      </c>
    </row>
    <row r="237">
      <c r="A237" s="184">
        <v>43795.0</v>
      </c>
      <c r="B237" s="229" t="s">
        <v>302</v>
      </c>
      <c r="C237" s="230" t="s">
        <v>303</v>
      </c>
      <c r="D237" s="231" t="s">
        <v>415</v>
      </c>
      <c r="E237" s="231">
        <v>-18.0</v>
      </c>
      <c r="F237" s="232">
        <v>54.18</v>
      </c>
      <c r="G237" s="233">
        <v>975.24</v>
      </c>
      <c r="H237" s="230" t="s">
        <v>652</v>
      </c>
      <c r="I237" s="235">
        <f t="array" ref="I237">IFS(AND($B237&lt;&gt;"",$E237&lt;&gt;""),IF(INDEX(HistoricSummary!D:D,MATCH($C237,HistoricSummary!$A:$A,0),1)&lt;&gt;"",$E237*INDEX(HistoricSummary!D:D,MATCH($C237,HistoricSummary!$A:$A,0),1)+$G237,""),AND($B237&lt;&gt;"",$D237="COST",$G237&lt;0),$G237,TRUE,)</f>
        <v>-62.244</v>
      </c>
      <c r="J237" s="235">
        <f t="array" ref="J237">IFS(AND($B237&lt;&gt;"",$E237&lt;&gt;""),IF(INDEX(HistoricSummary!E:E,MATCH($C237,HistoricSummary!$A:$A,0),1)&lt;&gt;"",$E237*INDEX(HistoricSummary!E:E,MATCH($C237,HistoricSummary!$A:$A,0),1)+$G237,""),AND($B237&lt;&gt;"",$D237="COST",$G237&lt;0),$G237,TRUE,)</f>
        <v>20.6607907</v>
      </c>
    </row>
    <row r="238">
      <c r="A238" s="184">
        <v>43795.0</v>
      </c>
      <c r="B238" s="229" t="s">
        <v>302</v>
      </c>
      <c r="C238" s="230" t="s">
        <v>303</v>
      </c>
      <c r="D238" s="231" t="s">
        <v>415</v>
      </c>
      <c r="E238" s="231">
        <v>-1.0</v>
      </c>
      <c r="F238" s="232">
        <v>54.18</v>
      </c>
      <c r="G238" s="233">
        <v>54.18</v>
      </c>
      <c r="H238" s="230" t="s">
        <v>651</v>
      </c>
      <c r="I238" s="235">
        <f t="array" ref="I238">IFS(AND($B238&lt;&gt;"",$E238&lt;&gt;""),IF(INDEX(HistoricSummary!D:D,MATCH($C238,HistoricSummary!$A:$A,0),1)&lt;&gt;"",$E238*INDEX(HistoricSummary!D:D,MATCH($C238,HistoricSummary!$A:$A,0),1)+$G238,""),AND($B238&lt;&gt;"",$D238="COST",$G238&lt;0),$G238,TRUE,)</f>
        <v>-3.458</v>
      </c>
      <c r="J238" s="235">
        <f t="array" ref="J238">IFS(AND($B238&lt;&gt;"",$E238&lt;&gt;""),IF(INDEX(HistoricSummary!E:E,MATCH($C238,HistoricSummary!$A:$A,0),1)&lt;&gt;"",$E238*INDEX(HistoricSummary!E:E,MATCH($C238,HistoricSummary!$A:$A,0),1)+$G238,""),AND($B238&lt;&gt;"",$D238="COST",$G238&lt;0),$G238,TRUE,)</f>
        <v>1.147821705</v>
      </c>
    </row>
    <row r="239">
      <c r="A239" s="184">
        <v>43795.0</v>
      </c>
      <c r="B239" s="229" t="s">
        <v>302</v>
      </c>
      <c r="C239" s="230" t="s">
        <v>303</v>
      </c>
      <c r="D239" s="231" t="s">
        <v>415</v>
      </c>
      <c r="E239" s="231">
        <v>-1.0</v>
      </c>
      <c r="F239" s="232">
        <v>54.18</v>
      </c>
      <c r="G239" s="233">
        <v>54.18</v>
      </c>
      <c r="H239" s="230" t="s">
        <v>651</v>
      </c>
      <c r="I239" s="235">
        <f t="array" ref="I239">IFS(AND($B239&lt;&gt;"",$E239&lt;&gt;""),IF(INDEX(HistoricSummary!D:D,MATCH($C239,HistoricSummary!$A:$A,0),1)&lt;&gt;"",$E239*INDEX(HistoricSummary!D:D,MATCH($C239,HistoricSummary!$A:$A,0),1)+$G239,""),AND($B239&lt;&gt;"",$D239="COST",$G239&lt;0),$G239,TRUE,)</f>
        <v>-3.458</v>
      </c>
      <c r="J239" s="235">
        <f t="array" ref="J239">IFS(AND($B239&lt;&gt;"",$E239&lt;&gt;""),IF(INDEX(HistoricSummary!E:E,MATCH($C239,HistoricSummary!$A:$A,0),1)&lt;&gt;"",$E239*INDEX(HistoricSummary!E:E,MATCH($C239,HistoricSummary!$A:$A,0),1)+$G239,""),AND($B239&lt;&gt;"",$D239="COST",$G239&lt;0),$G239,TRUE,)</f>
        <v>1.147821705</v>
      </c>
    </row>
    <row r="240">
      <c r="A240" s="184">
        <v>43782.0</v>
      </c>
      <c r="B240" s="229" t="s">
        <v>292</v>
      </c>
      <c r="C240" s="230" t="s">
        <v>293</v>
      </c>
      <c r="D240" s="231" t="s">
        <v>415</v>
      </c>
      <c r="E240" s="231">
        <v>-4.0</v>
      </c>
      <c r="F240" s="232">
        <v>186.43</v>
      </c>
      <c r="G240" s="233">
        <v>745.72</v>
      </c>
      <c r="H240" s="230" t="s">
        <v>653</v>
      </c>
      <c r="I240" s="235">
        <f t="array" ref="I240">IFS(AND($B240&lt;&gt;"",$E240&lt;&gt;""),IF(INDEX(HistoricSummary!D:D,MATCH($C240,HistoricSummary!$A:$A,0),1)&lt;&gt;"",$E240*INDEX(HistoricSummary!D:D,MATCH($C240,HistoricSummary!$A:$A,0),1)+$G240,""),AND($B240&lt;&gt;"",$D240="COST",$G240&lt;0),$G240,TRUE,)</f>
        <v>-0.12</v>
      </c>
      <c r="J240" s="235">
        <f t="array" ref="J240">IFS(AND($B240&lt;&gt;"",$E240&lt;&gt;""),IF(INDEX(HistoricSummary!E:E,MATCH($C240,HistoricSummary!$A:$A,0),1)&lt;&gt;"",$E240*INDEX(HistoricSummary!E:E,MATCH($C240,HistoricSummary!$A:$A,0),1)+$G240,""),AND($B240&lt;&gt;"",$D240="COST",$G240&lt;0),$G240,TRUE,)</f>
        <v>-25.83875969</v>
      </c>
    </row>
    <row r="241">
      <c r="A241" s="184">
        <v>43781.0</v>
      </c>
      <c r="B241" s="229" t="s">
        <v>302</v>
      </c>
      <c r="C241" s="230" t="s">
        <v>303</v>
      </c>
      <c r="D241" s="231" t="s">
        <v>415</v>
      </c>
      <c r="E241" s="231">
        <v>-21.0</v>
      </c>
      <c r="F241" s="232">
        <v>53.4362</v>
      </c>
      <c r="G241" s="233">
        <v>1122.16</v>
      </c>
      <c r="H241" s="230" t="s">
        <v>654</v>
      </c>
      <c r="I241" s="235">
        <f t="array" ref="I241">IFS(AND($B241&lt;&gt;"",$E241&lt;&gt;""),IF(INDEX(HistoricSummary!D:D,MATCH($C241,HistoricSummary!$A:$A,0),1)&lt;&gt;"",$E241*INDEX(HistoricSummary!D:D,MATCH($C241,HistoricSummary!$A:$A,0),1)+$G241,""),AND($B241&lt;&gt;"",$D241="COST",$G241&lt;0),$G241,TRUE,)</f>
        <v>-88.238</v>
      </c>
      <c r="J241" s="235">
        <f t="array" ref="J241">IFS(AND($B241&lt;&gt;"",$E241&lt;&gt;""),IF(INDEX(HistoricSummary!E:E,MATCH($C241,HistoricSummary!$A:$A,0),1)&lt;&gt;"",$E241*INDEX(HistoricSummary!E:E,MATCH($C241,HistoricSummary!$A:$A,0),1)+$G241,""),AND($B241&lt;&gt;"",$D241="COST",$G241&lt;0),$G241,TRUE,)</f>
        <v>8.484255814</v>
      </c>
    </row>
    <row r="242">
      <c r="A242" s="184">
        <v>43781.0</v>
      </c>
      <c r="B242" s="229" t="s">
        <v>302</v>
      </c>
      <c r="C242" s="230" t="s">
        <v>303</v>
      </c>
      <c r="D242" s="231" t="s">
        <v>415</v>
      </c>
      <c r="E242" s="231">
        <v>-19.0</v>
      </c>
      <c r="F242" s="232">
        <v>53.4011</v>
      </c>
      <c r="G242" s="233">
        <v>1014.62</v>
      </c>
      <c r="H242" s="230" t="s">
        <v>655</v>
      </c>
      <c r="I242" s="235">
        <f t="array" ref="I242">IFS(AND($B242&lt;&gt;"",$E242&lt;&gt;""),IF(INDEX(HistoricSummary!D:D,MATCH($C242,HistoricSummary!$A:$A,0),1)&lt;&gt;"",$E242*INDEX(HistoricSummary!D:D,MATCH($C242,HistoricSummary!$A:$A,0),1)+$G242,""),AND($B242&lt;&gt;"",$D242="COST",$G242&lt;0),$G242,TRUE,)</f>
        <v>-80.502</v>
      </c>
      <c r="J242" s="235">
        <f t="array" ref="J242">IFS(AND($B242&lt;&gt;"",$E242&lt;&gt;""),IF(INDEX(HistoricSummary!E:E,MATCH($C242,HistoricSummary!$A:$A,0),1)&lt;&gt;"",$E242*INDEX(HistoricSummary!E:E,MATCH($C242,HistoricSummary!$A:$A,0),1)+$G242,""),AND($B242&lt;&gt;"",$D242="COST",$G242&lt;0),$G242,TRUE,)</f>
        <v>7.008612403</v>
      </c>
    </row>
    <row r="243">
      <c r="A243" s="184">
        <v>43774.0</v>
      </c>
      <c r="B243" s="229" t="s">
        <v>302</v>
      </c>
      <c r="C243" s="230" t="s">
        <v>303</v>
      </c>
      <c r="D243" s="231" t="s">
        <v>415</v>
      </c>
      <c r="E243" s="231">
        <v>-15.0</v>
      </c>
      <c r="F243" s="232">
        <v>52.7</v>
      </c>
      <c r="G243" s="233">
        <v>790.5</v>
      </c>
      <c r="H243" s="230" t="s">
        <v>656</v>
      </c>
      <c r="I243" s="235">
        <f t="array" ref="I243">IFS(AND($B243&lt;&gt;"",$E243&lt;&gt;""),IF(INDEX(HistoricSummary!D:D,MATCH($C243,HistoricSummary!$A:$A,0),1)&lt;&gt;"",$E243*INDEX(HistoricSummary!D:D,MATCH($C243,HistoricSummary!$A:$A,0),1)+$G243,""),AND($B243&lt;&gt;"",$D243="COST",$G243&lt;0),$G243,TRUE,)</f>
        <v>-74.07</v>
      </c>
      <c r="J243" s="235">
        <f t="array" ref="J243">IFS(AND($B243&lt;&gt;"",$E243&lt;&gt;""),IF(INDEX(HistoricSummary!E:E,MATCH($C243,HistoricSummary!$A:$A,0),1)&lt;&gt;"",$E243*INDEX(HistoricSummary!E:E,MATCH($C243,HistoricSummary!$A:$A,0),1)+$G243,""),AND($B243&lt;&gt;"",$D243="COST",$G243&lt;0),$G243,TRUE,)</f>
        <v>-4.982674419</v>
      </c>
    </row>
    <row r="244">
      <c r="A244" s="184">
        <v>43774.0</v>
      </c>
      <c r="B244" s="229" t="s">
        <v>302</v>
      </c>
      <c r="C244" s="230" t="s">
        <v>303</v>
      </c>
      <c r="D244" s="231" t="s">
        <v>415</v>
      </c>
      <c r="E244" s="231">
        <v>-4.0</v>
      </c>
      <c r="F244" s="232">
        <v>52.7</v>
      </c>
      <c r="G244" s="233">
        <v>210.8</v>
      </c>
      <c r="H244" s="230" t="s">
        <v>657</v>
      </c>
      <c r="I244" s="235">
        <f t="array" ref="I244">IFS(AND($B244&lt;&gt;"",$E244&lt;&gt;""),IF(INDEX(HistoricSummary!D:D,MATCH($C244,HistoricSummary!$A:$A,0),1)&lt;&gt;"",$E244*INDEX(HistoricSummary!D:D,MATCH($C244,HistoricSummary!$A:$A,0),1)+$G244,""),AND($B244&lt;&gt;"",$D244="COST",$G244&lt;0),$G244,TRUE,)</f>
        <v>-19.752</v>
      </c>
      <c r="J244" s="235">
        <f t="array" ref="J244">IFS(AND($B244&lt;&gt;"",$E244&lt;&gt;""),IF(INDEX(HistoricSummary!E:E,MATCH($C244,HistoricSummary!$A:$A,0),1)&lt;&gt;"",$E244*INDEX(HistoricSummary!E:E,MATCH($C244,HistoricSummary!$A:$A,0),1)+$G244,""),AND($B244&lt;&gt;"",$D244="COST",$G244&lt;0),$G244,TRUE,)</f>
        <v>-1.328713178</v>
      </c>
    </row>
    <row r="245">
      <c r="A245" s="184">
        <v>43774.0</v>
      </c>
      <c r="B245" s="229" t="s">
        <v>302</v>
      </c>
      <c r="C245" s="230" t="s">
        <v>303</v>
      </c>
      <c r="D245" s="231" t="s">
        <v>415</v>
      </c>
      <c r="E245" s="231">
        <v>-33.0</v>
      </c>
      <c r="F245" s="232">
        <v>52.67</v>
      </c>
      <c r="G245" s="233">
        <v>1738.11</v>
      </c>
      <c r="H245" s="230" t="s">
        <v>658</v>
      </c>
      <c r="I245" s="235">
        <f t="array" ref="I245">IFS(AND($B245&lt;&gt;"",$E245&lt;&gt;""),IF(INDEX(HistoricSummary!D:D,MATCH($C245,HistoricSummary!$A:$A,0),1)&lt;&gt;"",$E245*INDEX(HistoricSummary!D:D,MATCH($C245,HistoricSummary!$A:$A,0),1)+$G245,""),AND($B245&lt;&gt;"",$D245="COST",$G245&lt;0),$G245,TRUE,)</f>
        <v>-163.944</v>
      </c>
      <c r="J245" s="235">
        <f t="array" ref="J245">IFS(AND($B245&lt;&gt;"",$E245&lt;&gt;""),IF(INDEX(HistoricSummary!E:E,MATCH($C245,HistoricSummary!$A:$A,0),1)&lt;&gt;"",$E245*INDEX(HistoricSummary!E:E,MATCH($C245,HistoricSummary!$A:$A,0),1)+$G245,""),AND($B245&lt;&gt;"",$D245="COST",$G245&lt;0),$G245,TRUE,)</f>
        <v>-11.95188372</v>
      </c>
    </row>
    <row r="246">
      <c r="A246" s="184">
        <v>43774.0</v>
      </c>
      <c r="B246" s="229" t="s">
        <v>283</v>
      </c>
      <c r="C246" s="230" t="s">
        <v>286</v>
      </c>
      <c r="D246" s="231" t="s">
        <v>415</v>
      </c>
      <c r="E246" s="231">
        <v>-200.0</v>
      </c>
      <c r="F246" s="232">
        <v>7.45</v>
      </c>
      <c r="G246" s="233">
        <v>1490.0</v>
      </c>
      <c r="H246" s="230" t="s">
        <v>659</v>
      </c>
      <c r="I246" s="235">
        <f t="array" ref="I246">IFS(AND($B246&lt;&gt;"",$E246&lt;&gt;""),IF(INDEX(HistoricSummary!D:D,MATCH($C246,HistoricSummary!$A:$A,0),1)&lt;&gt;"",$E246*INDEX(HistoricSummary!D:D,MATCH($C246,HistoricSummary!$A:$A,0),1)+$G246,""),AND($B246&lt;&gt;"",$D246="COST",$G246&lt;0),$G246,TRUE,)</f>
        <v>191.4</v>
      </c>
      <c r="J246" s="235">
        <f t="array" ref="J246">IFS(AND($B246&lt;&gt;"",$E246&lt;&gt;""),IF(INDEX(HistoricSummary!E:E,MATCH($C246,HistoricSummary!$A:$A,0),1)&lt;&gt;"",$E246*INDEX(HistoricSummary!E:E,MATCH($C246,HistoricSummary!$A:$A,0),1)+$G246,""),AND($B246&lt;&gt;"",$D246="COST",$G246&lt;0),$G246,TRUE,)</f>
        <v>199.7162791</v>
      </c>
    </row>
    <row r="247">
      <c r="A247" s="184">
        <v>43774.0</v>
      </c>
      <c r="B247" s="229" t="s">
        <v>302</v>
      </c>
      <c r="C247" s="230" t="s">
        <v>303</v>
      </c>
      <c r="D247" s="231" t="s">
        <v>415</v>
      </c>
      <c r="E247" s="231">
        <v>-30.0</v>
      </c>
      <c r="F247" s="232">
        <v>52.581</v>
      </c>
      <c r="G247" s="233">
        <v>1577.43</v>
      </c>
      <c r="H247" s="230" t="s">
        <v>660</v>
      </c>
      <c r="I247" s="235">
        <f t="array" ref="I247">IFS(AND($B247&lt;&gt;"",$E247&lt;&gt;""),IF(INDEX(HistoricSummary!D:D,MATCH($C247,HistoricSummary!$A:$A,0),1)&lt;&gt;"",$E247*INDEX(HistoricSummary!D:D,MATCH($C247,HistoricSummary!$A:$A,0),1)+$G247,""),AND($B247&lt;&gt;"",$D247="COST",$G247&lt;0),$G247,TRUE,)</f>
        <v>-151.71</v>
      </c>
      <c r="J247" s="235">
        <f t="array" ref="J247">IFS(AND($B247&lt;&gt;"",$E247&lt;&gt;""),IF(INDEX(HistoricSummary!E:E,MATCH($C247,HistoricSummary!$A:$A,0),1)&lt;&gt;"",$E247*INDEX(HistoricSummary!E:E,MATCH($C247,HistoricSummary!$A:$A,0),1)+$G247,""),AND($B247&lt;&gt;"",$D247="COST",$G247&lt;0),$G247,TRUE,)</f>
        <v>-13.53534884</v>
      </c>
    </row>
    <row r="248">
      <c r="A248" s="184">
        <v>43774.0</v>
      </c>
      <c r="B248" s="229" t="s">
        <v>302</v>
      </c>
      <c r="C248" s="230" t="s">
        <v>303</v>
      </c>
      <c r="D248" s="231" t="s">
        <v>415</v>
      </c>
      <c r="E248" s="231">
        <v>-5.0</v>
      </c>
      <c r="F248" s="232">
        <v>52.58</v>
      </c>
      <c r="G248" s="233">
        <v>262.9</v>
      </c>
      <c r="H248" s="230" t="s">
        <v>661</v>
      </c>
      <c r="I248" s="235">
        <f t="array" ref="I248">IFS(AND($B248&lt;&gt;"",$E248&lt;&gt;""),IF(INDEX(HistoricSummary!D:D,MATCH($C248,HistoricSummary!$A:$A,0),1)&lt;&gt;"",$E248*INDEX(HistoricSummary!D:D,MATCH($C248,HistoricSummary!$A:$A,0),1)+$G248,""),AND($B248&lt;&gt;"",$D248="COST",$G248&lt;0),$G248,TRUE,)</f>
        <v>-25.29</v>
      </c>
      <c r="J248" s="235">
        <f t="array" ref="J248">IFS(AND($B248&lt;&gt;"",$E248&lt;&gt;""),IF(INDEX(HistoricSummary!E:E,MATCH($C248,HistoricSummary!$A:$A,0),1)&lt;&gt;"",$E248*INDEX(HistoricSummary!E:E,MATCH($C248,HistoricSummary!$A:$A,0),1)+$G248,""),AND($B248&lt;&gt;"",$D248="COST",$G248&lt;0),$G248,TRUE,)</f>
        <v>-2.260891473</v>
      </c>
    </row>
    <row r="249">
      <c r="A249" s="184">
        <v>43774.0</v>
      </c>
      <c r="B249" s="229" t="s">
        <v>302</v>
      </c>
      <c r="C249" s="230" t="s">
        <v>303</v>
      </c>
      <c r="D249" s="231" t="s">
        <v>415</v>
      </c>
      <c r="E249" s="231">
        <v>-5.0</v>
      </c>
      <c r="F249" s="232">
        <v>52.58</v>
      </c>
      <c r="G249" s="233">
        <v>262.9</v>
      </c>
      <c r="H249" s="230" t="s">
        <v>661</v>
      </c>
      <c r="I249" s="235">
        <f t="array" ref="I249">IFS(AND($B249&lt;&gt;"",$E249&lt;&gt;""),IF(INDEX(HistoricSummary!D:D,MATCH($C249,HistoricSummary!$A:$A,0),1)&lt;&gt;"",$E249*INDEX(HistoricSummary!D:D,MATCH($C249,HistoricSummary!$A:$A,0),1)+$G249,""),AND($B249&lt;&gt;"",$D249="COST",$G249&lt;0),$G249,TRUE,)</f>
        <v>-25.29</v>
      </c>
      <c r="J249" s="235">
        <f t="array" ref="J249">IFS(AND($B249&lt;&gt;"",$E249&lt;&gt;""),IF(INDEX(HistoricSummary!E:E,MATCH($C249,HistoricSummary!$A:$A,0),1)&lt;&gt;"",$E249*INDEX(HistoricSummary!E:E,MATCH($C249,HistoricSummary!$A:$A,0),1)+$G249,""),AND($B249&lt;&gt;"",$D249="COST",$G249&lt;0),$G249,TRUE,)</f>
        <v>-2.260891473</v>
      </c>
    </row>
    <row r="250">
      <c r="A250" s="184">
        <v>43773.0</v>
      </c>
      <c r="B250" s="229" t="s">
        <v>302</v>
      </c>
      <c r="C250" s="230" t="s">
        <v>303</v>
      </c>
      <c r="D250" s="231" t="s">
        <v>415</v>
      </c>
      <c r="E250" s="231">
        <v>-24.0</v>
      </c>
      <c r="F250" s="232">
        <v>52.4829</v>
      </c>
      <c r="G250" s="233">
        <v>1259.59</v>
      </c>
      <c r="H250" s="230" t="s">
        <v>662</v>
      </c>
      <c r="I250" s="235">
        <f t="array" ref="I250">IFS(AND($B250&lt;&gt;"",$E250&lt;&gt;""),IF(INDEX(HistoricSummary!D:D,MATCH($C250,HistoricSummary!$A:$A,0),1)&lt;&gt;"",$E250*INDEX(HistoricSummary!D:D,MATCH($C250,HistoricSummary!$A:$A,0),1)+$G250,""),AND($B250&lt;&gt;"",$D250="COST",$G250&lt;0),$G250,TRUE,)</f>
        <v>-123.722</v>
      </c>
      <c r="J250" s="235">
        <f t="array" ref="J250">IFS(AND($B250&lt;&gt;"",$E250&lt;&gt;""),IF(INDEX(HistoricSummary!E:E,MATCH($C250,HistoricSummary!$A:$A,0),1)&lt;&gt;"",$E250*INDEX(HistoricSummary!E:E,MATCH($C250,HistoricSummary!$A:$A,0),1)+$G250,""),AND($B250&lt;&gt;"",$D250="COST",$G250&lt;0),$G250,TRUE,)</f>
        <v>-13.18227907</v>
      </c>
    </row>
    <row r="251">
      <c r="A251" s="184">
        <v>43773.0</v>
      </c>
      <c r="B251" s="229" t="s">
        <v>302</v>
      </c>
      <c r="C251" s="230" t="s">
        <v>303</v>
      </c>
      <c r="D251" s="231" t="s">
        <v>415</v>
      </c>
      <c r="E251" s="231">
        <v>-16.0</v>
      </c>
      <c r="F251" s="232">
        <v>52.4231</v>
      </c>
      <c r="G251" s="233">
        <v>838.77</v>
      </c>
      <c r="H251" s="230" t="s">
        <v>663</v>
      </c>
      <c r="I251" s="235">
        <f t="array" ref="I251">IFS(AND($B251&lt;&gt;"",$E251&lt;&gt;""),IF(INDEX(HistoricSummary!D:D,MATCH($C251,HistoricSummary!$A:$A,0),1)&lt;&gt;"",$E251*INDEX(HistoricSummary!D:D,MATCH($C251,HistoricSummary!$A:$A,0),1)+$G251,""),AND($B251&lt;&gt;"",$D251="COST",$G251&lt;0),$G251,TRUE,)</f>
        <v>-83.438</v>
      </c>
      <c r="J251" s="235">
        <f t="array" ref="J251">IFS(AND($B251&lt;&gt;"",$E251&lt;&gt;""),IF(INDEX(HistoricSummary!E:E,MATCH($C251,HistoricSummary!$A:$A,0),1)&lt;&gt;"",$E251*INDEX(HistoricSummary!E:E,MATCH($C251,HistoricSummary!$A:$A,0),1)+$G251,""),AND($B251&lt;&gt;"",$D251="COST",$G251&lt;0),$G251,TRUE,)</f>
        <v>-9.744852713</v>
      </c>
    </row>
    <row r="252">
      <c r="A252" s="184">
        <v>43773.0</v>
      </c>
      <c r="B252" s="229" t="s">
        <v>302</v>
      </c>
      <c r="C252" s="230" t="s">
        <v>303</v>
      </c>
      <c r="D252" s="231" t="s">
        <v>415</v>
      </c>
      <c r="E252" s="231">
        <v>-10.0</v>
      </c>
      <c r="F252" s="232">
        <v>52.423</v>
      </c>
      <c r="G252" s="233">
        <v>524.23</v>
      </c>
      <c r="H252" s="230" t="s">
        <v>664</v>
      </c>
      <c r="I252" s="235">
        <f t="array" ref="I252">IFS(AND($B252&lt;&gt;"",$E252&lt;&gt;""),IF(INDEX(HistoricSummary!D:D,MATCH($C252,HistoricSummary!$A:$A,0),1)&lt;&gt;"",$E252*INDEX(HistoricSummary!D:D,MATCH($C252,HistoricSummary!$A:$A,0),1)+$G252,""),AND($B252&lt;&gt;"",$D252="COST",$G252&lt;0),$G252,TRUE,)</f>
        <v>-52.15</v>
      </c>
      <c r="J252" s="235">
        <f t="array" ref="J252">IFS(AND($B252&lt;&gt;"",$E252&lt;&gt;""),IF(INDEX(HistoricSummary!E:E,MATCH($C252,HistoricSummary!$A:$A,0),1)&lt;&gt;"",$E252*INDEX(HistoricSummary!E:E,MATCH($C252,HistoricSummary!$A:$A,0),1)+$G252,""),AND($B252&lt;&gt;"",$D252="COST",$G252&lt;0),$G252,TRUE,)</f>
        <v>-6.091782946</v>
      </c>
    </row>
    <row r="253">
      <c r="A253" s="184">
        <v>43773.0</v>
      </c>
      <c r="B253" s="229" t="s">
        <v>283</v>
      </c>
      <c r="C253" s="230" t="s">
        <v>286</v>
      </c>
      <c r="D253" s="231" t="s">
        <v>415</v>
      </c>
      <c r="E253" s="231">
        <v>-562.0</v>
      </c>
      <c r="F253" s="232">
        <v>7.415</v>
      </c>
      <c r="G253" s="233">
        <v>4167.23</v>
      </c>
      <c r="H253" s="230" t="s">
        <v>665</v>
      </c>
      <c r="I253" s="235">
        <f t="array" ref="I253">IFS(AND($B253&lt;&gt;"",$E253&lt;&gt;""),IF(INDEX(HistoricSummary!D:D,MATCH($C253,HistoricSummary!$A:$A,0),1)&lt;&gt;"",$E253*INDEX(HistoricSummary!D:D,MATCH($C253,HistoricSummary!$A:$A,0),1)+$G253,""),AND($B253&lt;&gt;"",$D253="COST",$G253&lt;0),$G253,TRUE,)</f>
        <v>518.164</v>
      </c>
      <c r="J253" s="235">
        <f t="array" ref="J253">IFS(AND($B253&lt;&gt;"",$E253&lt;&gt;""),IF(INDEX(HistoricSummary!E:E,MATCH($C253,HistoricSummary!$A:$A,0),1)&lt;&gt;"",$E253*INDEX(HistoricSummary!E:E,MATCH($C253,HistoricSummary!$A:$A,0),1)+$G253,""),AND($B253&lt;&gt;"",$D253="COST",$G253&lt;0),$G253,TRUE,)</f>
        <v>541.5327442</v>
      </c>
    </row>
    <row r="254">
      <c r="A254" s="184">
        <v>43773.0</v>
      </c>
      <c r="B254" s="229" t="s">
        <v>302</v>
      </c>
      <c r="C254" s="230" t="s">
        <v>303</v>
      </c>
      <c r="D254" s="231" t="s">
        <v>415</v>
      </c>
      <c r="E254" s="231">
        <v>-14.0</v>
      </c>
      <c r="F254" s="232">
        <v>52.365</v>
      </c>
      <c r="G254" s="233">
        <v>733.11</v>
      </c>
      <c r="H254" s="230" t="s">
        <v>666</v>
      </c>
      <c r="I254" s="235">
        <f t="array" ref="I254">IFS(AND($B254&lt;&gt;"",$E254&lt;&gt;""),IF(INDEX(HistoricSummary!D:D,MATCH($C254,HistoricSummary!$A:$A,0),1)&lt;&gt;"",$E254*INDEX(HistoricSummary!D:D,MATCH($C254,HistoricSummary!$A:$A,0),1)+$G254,""),AND($B254&lt;&gt;"",$D254="COST",$G254&lt;0),$G254,TRUE,)</f>
        <v>-73.822</v>
      </c>
      <c r="J254" s="235">
        <f t="array" ref="J254">IFS(AND($B254&lt;&gt;"",$E254&lt;&gt;""),IF(INDEX(HistoricSummary!E:E,MATCH($C254,HistoricSummary!$A:$A,0),1)&lt;&gt;"",$E254*INDEX(HistoricSummary!E:E,MATCH($C254,HistoricSummary!$A:$A,0),1)+$G254,""),AND($B254&lt;&gt;"",$D254="COST",$G254&lt;0),$G254,TRUE,)</f>
        <v>-9.340496124</v>
      </c>
    </row>
    <row r="255">
      <c r="A255" s="184">
        <v>43773.0</v>
      </c>
      <c r="B255" s="229" t="s">
        <v>302</v>
      </c>
      <c r="C255" s="230" t="s">
        <v>303</v>
      </c>
      <c r="D255" s="231" t="s">
        <v>415</v>
      </c>
      <c r="E255" s="231">
        <v>-7.0</v>
      </c>
      <c r="F255" s="232">
        <v>52.3657</v>
      </c>
      <c r="G255" s="233">
        <v>366.56</v>
      </c>
      <c r="H255" s="230" t="s">
        <v>667</v>
      </c>
      <c r="I255" s="235">
        <f t="array" ref="I255">IFS(AND($B255&lt;&gt;"",$E255&lt;&gt;""),IF(INDEX(HistoricSummary!D:D,MATCH($C255,HistoricSummary!$A:$A,0),1)&lt;&gt;"",$E255*INDEX(HistoricSummary!D:D,MATCH($C255,HistoricSummary!$A:$A,0),1)+$G255,""),AND($B255&lt;&gt;"",$D255="COST",$G255&lt;0),$G255,TRUE,)</f>
        <v>-36.906</v>
      </c>
      <c r="J255" s="235">
        <f t="array" ref="J255">IFS(AND($B255&lt;&gt;"",$E255&lt;&gt;""),IF(INDEX(HistoricSummary!E:E,MATCH($C255,HistoricSummary!$A:$A,0),1)&lt;&gt;"",$E255*INDEX(HistoricSummary!E:E,MATCH($C255,HistoricSummary!$A:$A,0),1)+$G255,""),AND($B255&lt;&gt;"",$D255="COST",$G255&lt;0),$G255,TRUE,)</f>
        <v>-4.665248062</v>
      </c>
    </row>
    <row r="256">
      <c r="A256" s="184">
        <v>43773.0</v>
      </c>
      <c r="B256" s="229" t="s">
        <v>302</v>
      </c>
      <c r="C256" s="230" t="s">
        <v>303</v>
      </c>
      <c r="D256" s="231" t="s">
        <v>415</v>
      </c>
      <c r="E256" s="231">
        <v>-24.0</v>
      </c>
      <c r="F256" s="232">
        <v>52.28</v>
      </c>
      <c r="G256" s="233">
        <v>1254.72</v>
      </c>
      <c r="H256" s="230" t="s">
        <v>668</v>
      </c>
      <c r="I256" s="235">
        <f t="array" ref="I256">IFS(AND($B256&lt;&gt;"",$E256&lt;&gt;""),IF(INDEX(HistoricSummary!D:D,MATCH($C256,HistoricSummary!$A:$A,0),1)&lt;&gt;"",$E256*INDEX(HistoricSummary!D:D,MATCH($C256,HistoricSummary!$A:$A,0),1)+$G256,""),AND($B256&lt;&gt;"",$D256="COST",$G256&lt;0),$G256,TRUE,)</f>
        <v>-128.592</v>
      </c>
      <c r="J256" s="235">
        <f t="array" ref="J256">IFS(AND($B256&lt;&gt;"",$E256&lt;&gt;""),IF(INDEX(HistoricSummary!E:E,MATCH($C256,HistoricSummary!$A:$A,0),1)&lt;&gt;"",$E256*INDEX(HistoricSummary!E:E,MATCH($C256,HistoricSummary!$A:$A,0),1)+$G256,""),AND($B256&lt;&gt;"",$D256="COST",$G256&lt;0),$G256,TRUE,)</f>
        <v>-18.05227907</v>
      </c>
    </row>
    <row r="257">
      <c r="A257" s="184">
        <v>43770.0</v>
      </c>
      <c r="B257" s="229"/>
      <c r="C257" s="230"/>
      <c r="D257" s="231" t="s">
        <v>454</v>
      </c>
      <c r="E257" s="231"/>
      <c r="F257" s="232"/>
      <c r="G257" s="233">
        <v>-13700.0</v>
      </c>
      <c r="H257" s="230" t="s">
        <v>669</v>
      </c>
      <c r="I257" s="235" t="str">
        <f t="array" ref="I257">IFS(AND($B257&lt;&gt;"",$E257&lt;&gt;""),IF(INDEX(HistoricSummary!D:D,MATCH($C257,HistoricSummary!$A:$A,0),1)&lt;&gt;"",$E257*INDEX(HistoricSummary!D:D,MATCH($C257,HistoricSummary!$A:$A,0),1)+$G257,""),AND($B257&lt;&gt;"",$D257="COST",$G257&lt;0),$G257,TRUE,)</f>
        <v/>
      </c>
      <c r="J257" s="235" t="str">
        <f t="array" ref="J257">IFS(AND($B257&lt;&gt;"",$E257&lt;&gt;""),IF(INDEX(HistoricSummary!E:E,MATCH($C257,HistoricSummary!$A:$A,0),1)&lt;&gt;"",$E257*INDEX(HistoricSummary!E:E,MATCH($C257,HistoricSummary!$A:$A,0),1)+$G257,""),AND($B257&lt;&gt;"",$D257="COST",$G257&lt;0),$G257,TRUE,)</f>
        <v/>
      </c>
    </row>
    <row r="258">
      <c r="A258" s="184">
        <v>43769.0</v>
      </c>
      <c r="B258" s="229"/>
      <c r="C258" s="230"/>
      <c r="D258" s="231" t="s">
        <v>432</v>
      </c>
      <c r="E258" s="231"/>
      <c r="F258" s="232"/>
      <c r="G258" s="233">
        <v>-369.69</v>
      </c>
      <c r="H258" s="230" t="s">
        <v>670</v>
      </c>
      <c r="I258" s="235" t="str">
        <f t="array" ref="I258">IFS(AND($B258&lt;&gt;"",$E258&lt;&gt;""),IF(INDEX(HistoricSummary!D:D,MATCH($C258,HistoricSummary!$A:$A,0),1)&lt;&gt;"",$E258*INDEX(HistoricSummary!D:D,MATCH($C258,HistoricSummary!$A:$A,0),1)+$G258,""),AND($B258&lt;&gt;"",$D258="COST",$G258&lt;0),$G258,TRUE,)</f>
        <v/>
      </c>
      <c r="J258" s="235" t="str">
        <f t="array" ref="J258">IFS(AND($B258&lt;&gt;"",$E258&lt;&gt;""),IF(INDEX(HistoricSummary!E:E,MATCH($C258,HistoricSummary!$A:$A,0),1)&lt;&gt;"",$E258*INDEX(HistoricSummary!E:E,MATCH($C258,HistoricSummary!$A:$A,0),1)+$G258,""),AND($B258&lt;&gt;"",$D258="COST",$G258&lt;0),$G258,TRUE,)</f>
        <v/>
      </c>
    </row>
    <row r="259">
      <c r="A259" s="184">
        <v>43766.0</v>
      </c>
      <c r="B259" s="229" t="s">
        <v>302</v>
      </c>
      <c r="C259" s="230" t="s">
        <v>303</v>
      </c>
      <c r="D259" s="231" t="s">
        <v>415</v>
      </c>
      <c r="E259" s="231">
        <v>-22.0</v>
      </c>
      <c r="F259" s="232">
        <v>51.85</v>
      </c>
      <c r="G259" s="233">
        <v>1140.7</v>
      </c>
      <c r="H259" s="230" t="s">
        <v>671</v>
      </c>
      <c r="I259" s="235">
        <f t="array" ref="I259">IFS(AND($B259&lt;&gt;"",$E259&lt;&gt;""),IF(INDEX(HistoricSummary!D:D,MATCH($C259,HistoricSummary!$A:$A,0),1)&lt;&gt;"",$E259*INDEX(HistoricSummary!D:D,MATCH($C259,HistoricSummary!$A:$A,0),1)+$G259,""),AND($B259&lt;&gt;"",$D259="COST",$G259&lt;0),$G259,TRUE,)</f>
        <v>-127.336</v>
      </c>
      <c r="J259" s="235">
        <f t="array" ref="J259">IFS(AND($B259&lt;&gt;"",$E259&lt;&gt;""),IF(INDEX(HistoricSummary!E:E,MATCH($C259,HistoricSummary!$A:$A,0),1)&lt;&gt;"",$E259*INDEX(HistoricSummary!E:E,MATCH($C259,HistoricSummary!$A:$A,0),1)+$G259,""),AND($B259&lt;&gt;"",$D259="COST",$G259&lt;0),$G259,TRUE,)</f>
        <v>-26.00792248</v>
      </c>
    </row>
    <row r="260">
      <c r="A260" s="184">
        <v>43766.0</v>
      </c>
      <c r="B260" s="229" t="s">
        <v>302</v>
      </c>
      <c r="C260" s="230" t="s">
        <v>303</v>
      </c>
      <c r="D260" s="231" t="s">
        <v>415</v>
      </c>
      <c r="E260" s="231">
        <v>-20.0</v>
      </c>
      <c r="F260" s="232">
        <v>51.85</v>
      </c>
      <c r="G260" s="233">
        <v>1037.0</v>
      </c>
      <c r="H260" s="230" t="s">
        <v>672</v>
      </c>
      <c r="I260" s="235">
        <f t="array" ref="I260">IFS(AND($B260&lt;&gt;"",$E260&lt;&gt;""),IF(INDEX(HistoricSummary!D:D,MATCH($C260,HistoricSummary!$A:$A,0),1)&lt;&gt;"",$E260*INDEX(HistoricSummary!D:D,MATCH($C260,HistoricSummary!$A:$A,0),1)+$G260,""),AND($B260&lt;&gt;"",$D260="COST",$G260&lt;0),$G260,TRUE,)</f>
        <v>-115.76</v>
      </c>
      <c r="J260" s="235">
        <f t="array" ref="J260">IFS(AND($B260&lt;&gt;"",$E260&lt;&gt;""),IF(INDEX(HistoricSummary!E:E,MATCH($C260,HistoricSummary!$A:$A,0),1)&lt;&gt;"",$E260*INDEX(HistoricSummary!E:E,MATCH($C260,HistoricSummary!$A:$A,0),1)+$G260,""),AND($B260&lt;&gt;"",$D260="COST",$G260&lt;0),$G260,TRUE,)</f>
        <v>-23.64356589</v>
      </c>
    </row>
    <row r="261">
      <c r="A261" s="184">
        <v>43766.0</v>
      </c>
      <c r="B261" s="229" t="s">
        <v>302</v>
      </c>
      <c r="C261" s="230" t="s">
        <v>303</v>
      </c>
      <c r="D261" s="231" t="s">
        <v>415</v>
      </c>
      <c r="E261" s="231">
        <v>-5.0</v>
      </c>
      <c r="F261" s="232">
        <v>51.85</v>
      </c>
      <c r="G261" s="233">
        <v>259.25</v>
      </c>
      <c r="H261" s="230" t="s">
        <v>673</v>
      </c>
      <c r="I261" s="235">
        <f t="array" ref="I261">IFS(AND($B261&lt;&gt;"",$E261&lt;&gt;""),IF(INDEX(HistoricSummary!D:D,MATCH($C261,HistoricSummary!$A:$A,0),1)&lt;&gt;"",$E261*INDEX(HistoricSummary!D:D,MATCH($C261,HistoricSummary!$A:$A,0),1)+$G261,""),AND($B261&lt;&gt;"",$D261="COST",$G261&lt;0),$G261,TRUE,)</f>
        <v>-28.94</v>
      </c>
      <c r="J261" s="235">
        <f t="array" ref="J261">IFS(AND($B261&lt;&gt;"",$E261&lt;&gt;""),IF(INDEX(HistoricSummary!E:E,MATCH($C261,HistoricSummary!$A:$A,0),1)&lt;&gt;"",$E261*INDEX(HistoricSummary!E:E,MATCH($C261,HistoricSummary!$A:$A,0),1)+$G261,""),AND($B261&lt;&gt;"",$D261="COST",$G261&lt;0),$G261,TRUE,)</f>
        <v>-5.910891473</v>
      </c>
    </row>
    <row r="262">
      <c r="A262" s="184">
        <v>43753.0</v>
      </c>
      <c r="B262" s="229"/>
      <c r="C262" s="230"/>
      <c r="D262" s="231" t="s">
        <v>454</v>
      </c>
      <c r="E262" s="231"/>
      <c r="F262" s="232"/>
      <c r="G262" s="233">
        <v>-200.0</v>
      </c>
      <c r="H262" s="230" t="s">
        <v>533</v>
      </c>
      <c r="I262" s="235" t="str">
        <f t="array" ref="I262">IFS(AND($B262&lt;&gt;"",$E262&lt;&gt;""),IF(INDEX(HistoricSummary!D:D,MATCH($C262,HistoricSummary!$A:$A,0),1)&lt;&gt;"",$E262*INDEX(HistoricSummary!D:D,MATCH($C262,HistoricSummary!$A:$A,0),1)+$G262,""),AND($B262&lt;&gt;"",$D262="COST",$G262&lt;0),$G262,TRUE,)</f>
        <v/>
      </c>
      <c r="J262" s="235" t="str">
        <f t="array" ref="J262">IFS(AND($B262&lt;&gt;"",$E262&lt;&gt;""),IF(INDEX(HistoricSummary!E:E,MATCH($C262,HistoricSummary!$A:$A,0),1)&lt;&gt;"",$E262*INDEX(HistoricSummary!E:E,MATCH($C262,HistoricSummary!$A:$A,0),1)+$G262,""),AND($B262&lt;&gt;"",$D262="COST",$G262&lt;0),$G262,TRUE,)</f>
        <v/>
      </c>
    </row>
    <row r="263">
      <c r="A263" s="184">
        <v>43747.0</v>
      </c>
      <c r="B263" s="229" t="s">
        <v>302</v>
      </c>
      <c r="C263" s="230" t="s">
        <v>303</v>
      </c>
      <c r="D263" s="231" t="s">
        <v>475</v>
      </c>
      <c r="E263" s="231"/>
      <c r="F263" s="232"/>
      <c r="G263" s="233">
        <v>902.42</v>
      </c>
      <c r="H263" s="230" t="s">
        <v>674</v>
      </c>
      <c r="I263" s="235" t="str">
        <f t="array" ref="I263">IFS(AND($B263&lt;&gt;"",$E263&lt;&gt;""),IF(INDEX(HistoricSummary!D:D,MATCH($C263,HistoricSummary!$A:$A,0),1)&lt;&gt;"",$E263*INDEX(HistoricSummary!D:D,MATCH($C263,HistoricSummary!$A:$A,0),1)+$G263,""),AND($B263&lt;&gt;"",$D263="COST",$G263&lt;0),$G263,TRUE,)</f>
        <v/>
      </c>
      <c r="J263" s="235" t="str">
        <f t="array" ref="J263">IFS(AND($B263&lt;&gt;"",$E263&lt;&gt;""),IF(INDEX(HistoricSummary!E:E,MATCH($C263,HistoricSummary!$A:$A,0),1)&lt;&gt;"",$E263*INDEX(HistoricSummary!E:E,MATCH($C263,HistoricSummary!$A:$A,0),1)+$G263,""),AND($B263&lt;&gt;"",$D263="COST",$G263&lt;0),$G263,TRUE,)</f>
        <v/>
      </c>
    </row>
    <row r="264">
      <c r="A264" s="184">
        <v>43747.0</v>
      </c>
      <c r="B264" s="229" t="s">
        <v>302</v>
      </c>
      <c r="C264" s="230" t="s">
        <v>303</v>
      </c>
      <c r="D264" s="231" t="s">
        <v>475</v>
      </c>
      <c r="E264" s="231"/>
      <c r="F264" s="232"/>
      <c r="G264" s="233">
        <v>-80.78</v>
      </c>
      <c r="H264" s="230" t="s">
        <v>675</v>
      </c>
      <c r="I264" s="235" t="str">
        <f t="array" ref="I264">IFS(AND($B264&lt;&gt;"",$E264&lt;&gt;""),IF(INDEX(HistoricSummary!D:D,MATCH($C264,HistoricSummary!$A:$A,0),1)&lt;&gt;"",$E264*INDEX(HistoricSummary!D:D,MATCH($C264,HistoricSummary!$A:$A,0),1)+$G264,""),AND($B264&lt;&gt;"",$D264="COST",$G264&lt;0),$G264,TRUE,)</f>
        <v/>
      </c>
      <c r="J264" s="235" t="str">
        <f t="array" ref="J264">IFS(AND($B264&lt;&gt;"",$E264&lt;&gt;""),IF(INDEX(HistoricSummary!E:E,MATCH($C264,HistoricSummary!$A:$A,0),1)&lt;&gt;"",$E264*INDEX(HistoricSummary!E:E,MATCH($C264,HistoricSummary!$A:$A,0),1)+$G264,""),AND($B264&lt;&gt;"",$D264="COST",$G264&lt;0),$G264,TRUE,)</f>
        <v/>
      </c>
    </row>
    <row r="265">
      <c r="A265" s="184">
        <v>43739.0</v>
      </c>
      <c r="B265" s="229"/>
      <c r="C265" s="230"/>
      <c r="D265" s="231" t="s">
        <v>454</v>
      </c>
      <c r="E265" s="231"/>
      <c r="F265" s="232"/>
      <c r="G265" s="233">
        <v>-400.0</v>
      </c>
      <c r="H265" s="230" t="s">
        <v>499</v>
      </c>
      <c r="I265" s="235" t="str">
        <f t="array" ref="I265">IFS(AND($B265&lt;&gt;"",$E265&lt;&gt;""),IF(INDEX(HistoricSummary!D:D,MATCH($C265,HistoricSummary!$A:$A,0),1)&lt;&gt;"",$E265*INDEX(HistoricSummary!D:D,MATCH($C265,HistoricSummary!$A:$A,0),1)+$G265,""),AND($B265&lt;&gt;"",$D265="COST",$G265&lt;0),$G265,TRUE,)</f>
        <v/>
      </c>
      <c r="J265" s="235" t="str">
        <f t="array" ref="J265">IFS(AND($B265&lt;&gt;"",$E265&lt;&gt;""),IF(INDEX(HistoricSummary!E:E,MATCH($C265,HistoricSummary!$A:$A,0),1)&lt;&gt;"",$E265*INDEX(HistoricSummary!E:E,MATCH($C265,HistoricSummary!$A:$A,0),1)+$G265,""),AND($B265&lt;&gt;"",$D265="COST",$G265&lt;0),$G265,TRUE,)</f>
        <v/>
      </c>
    </row>
    <row r="266">
      <c r="A266" s="184">
        <v>43738.0</v>
      </c>
      <c r="B266" s="229"/>
      <c r="C266" s="230"/>
      <c r="D266" s="231" t="s">
        <v>432</v>
      </c>
      <c r="E266" s="231"/>
      <c r="F266" s="232"/>
      <c r="G266" s="233">
        <v>-369.3</v>
      </c>
      <c r="H266" s="230" t="s">
        <v>676</v>
      </c>
      <c r="I266" s="235" t="str">
        <f t="array" ref="I266">IFS(AND($B266&lt;&gt;"",$E266&lt;&gt;""),IF(INDEX(HistoricSummary!D:D,MATCH($C266,HistoricSummary!$A:$A,0),1)&lt;&gt;"",$E266*INDEX(HistoricSummary!D:D,MATCH($C266,HistoricSummary!$A:$A,0),1)+$G266,""),AND($B266&lt;&gt;"",$D266="COST",$G266&lt;0),$G266,TRUE,)</f>
        <v/>
      </c>
      <c r="J266" s="235" t="str">
        <f t="array" ref="J266">IFS(AND($B266&lt;&gt;"",$E266&lt;&gt;""),IF(INDEX(HistoricSummary!E:E,MATCH($C266,HistoricSummary!$A:$A,0),1)&lt;&gt;"",$E266*INDEX(HistoricSummary!E:E,MATCH($C266,HistoricSummary!$A:$A,0),1)+$G266,""),AND($B266&lt;&gt;"",$D266="COST",$G266&lt;0),$G266,TRUE,)</f>
        <v/>
      </c>
    </row>
    <row r="267">
      <c r="A267" s="184">
        <v>43732.0</v>
      </c>
      <c r="B267" s="229" t="s">
        <v>288</v>
      </c>
      <c r="C267" s="230" t="s">
        <v>289</v>
      </c>
      <c r="D267" s="231" t="s">
        <v>415</v>
      </c>
      <c r="E267" s="231">
        <v>-8.0</v>
      </c>
      <c r="F267" s="232">
        <v>131.96</v>
      </c>
      <c r="G267" s="233">
        <v>1055.68</v>
      </c>
      <c r="H267" s="230" t="s">
        <v>677</v>
      </c>
      <c r="I267" s="235">
        <f t="array" ref="I267">IFS(AND($B267&lt;&gt;"",$E267&lt;&gt;""),IF(INDEX(HistoricSummary!D:D,MATCH($C267,HistoricSummary!$A:$A,0),1)&lt;&gt;"",$E267*INDEX(HistoricSummary!D:D,MATCH($C267,HistoricSummary!$A:$A,0),1)+$G267,""),AND($B267&lt;&gt;"",$D267="COST",$G267&lt;0),$G267,TRUE,)</f>
        <v>-146.56</v>
      </c>
      <c r="J267" s="235">
        <f t="array" ref="J267">IFS(AND($B267&lt;&gt;"",$E267&lt;&gt;""),IF(INDEX(HistoricSummary!E:E,MATCH($C267,HistoricSummary!$A:$A,0),1)&lt;&gt;"",$E267*INDEX(HistoricSummary!E:E,MATCH($C267,HistoricSummary!$A:$A,0),1)+$G267,""),AND($B267&lt;&gt;"",$D267="COST",$G267&lt;0),$G267,TRUE,)</f>
        <v>-101.391938</v>
      </c>
    </row>
    <row r="268">
      <c r="A268" s="184">
        <v>43728.0</v>
      </c>
      <c r="B268" s="229" t="s">
        <v>302</v>
      </c>
      <c r="C268" s="230" t="s">
        <v>303</v>
      </c>
      <c r="D268" s="231" t="s">
        <v>415</v>
      </c>
      <c r="E268" s="231">
        <v>-36.0</v>
      </c>
      <c r="F268" s="232">
        <v>52.035</v>
      </c>
      <c r="G268" s="233">
        <v>1873.26</v>
      </c>
      <c r="H268" s="230" t="s">
        <v>678</v>
      </c>
      <c r="I268" s="235">
        <f t="array" ref="I268">IFS(AND($B268&lt;&gt;"",$E268&lt;&gt;""),IF(INDEX(HistoricSummary!D:D,MATCH($C268,HistoricSummary!$A:$A,0),1)&lt;&gt;"",$E268*INDEX(HistoricSummary!D:D,MATCH($C268,HistoricSummary!$A:$A,0),1)+$G268,""),AND($B268&lt;&gt;"",$D268="COST",$G268&lt;0),$G268,TRUE,)</f>
        <v>-201.708</v>
      </c>
      <c r="J268" s="235">
        <f t="array" ref="J268">IFS(AND($B268&lt;&gt;"",$E268&lt;&gt;""),IF(INDEX(HistoricSummary!E:E,MATCH($C268,HistoricSummary!$A:$A,0),1)&lt;&gt;"",$E268*INDEX(HistoricSummary!E:E,MATCH($C268,HistoricSummary!$A:$A,0),1)+$G268,""),AND($B268&lt;&gt;"",$D268="COST",$G268&lt;0),$G268,TRUE,)</f>
        <v>-35.8984186</v>
      </c>
    </row>
    <row r="269">
      <c r="A269" s="184">
        <v>43724.0</v>
      </c>
      <c r="B269" s="229" t="s">
        <v>292</v>
      </c>
      <c r="C269" s="230" t="s">
        <v>297</v>
      </c>
      <c r="D269" s="231" t="s">
        <v>475</v>
      </c>
      <c r="E269" s="231"/>
      <c r="F269" s="232"/>
      <c r="G269" s="233">
        <v>-10.37</v>
      </c>
      <c r="H269" s="230" t="s">
        <v>679</v>
      </c>
      <c r="I269" s="235" t="str">
        <f t="array" ref="I269">IFS(AND($B269&lt;&gt;"",$E269&lt;&gt;""),IF(INDEX(HistoricSummary!D:D,MATCH($C269,HistoricSummary!$A:$A,0),1)&lt;&gt;"",$E269*INDEX(HistoricSummary!D:D,MATCH($C269,HistoricSummary!$A:$A,0),1)+$G269,""),AND($B269&lt;&gt;"",$D269="COST",$G269&lt;0),$G269,TRUE,)</f>
        <v/>
      </c>
      <c r="J269" s="235" t="str">
        <f t="array" ref="J269">IFS(AND($B269&lt;&gt;"",$E269&lt;&gt;""),IF(INDEX(HistoricSummary!E:E,MATCH($C269,HistoricSummary!$A:$A,0),1)&lt;&gt;"",$E269*INDEX(HistoricSummary!E:E,MATCH($C269,HistoricSummary!$A:$A,0),1)+$G269,""),AND($B269&lt;&gt;"",$D269="COST",$G269&lt;0),$G269,TRUE,)</f>
        <v/>
      </c>
    </row>
    <row r="270">
      <c r="A270" s="184">
        <v>43724.0</v>
      </c>
      <c r="B270" s="229" t="s">
        <v>283</v>
      </c>
      <c r="C270" s="230" t="s">
        <v>286</v>
      </c>
      <c r="D270" s="231" t="s">
        <v>415</v>
      </c>
      <c r="E270" s="231">
        <v>-692.0</v>
      </c>
      <c r="F270" s="232">
        <v>7.5</v>
      </c>
      <c r="G270" s="233">
        <v>5190.0</v>
      </c>
      <c r="H270" s="230" t="s">
        <v>680</v>
      </c>
      <c r="I270" s="235">
        <f t="array" ref="I270">IFS(AND($B270&lt;&gt;"",$E270&lt;&gt;""),IF(INDEX(HistoricSummary!D:D,MATCH($C270,HistoricSummary!$A:$A,0),1)&lt;&gt;"",$E270*INDEX(HistoricSummary!D:D,MATCH($C270,HistoricSummary!$A:$A,0),1)+$G270,""),AND($B270&lt;&gt;"",$D270="COST",$G270&lt;0),$G270,TRUE,)</f>
        <v>696.844</v>
      </c>
      <c r="J270" s="235">
        <f t="array" ref="J270">IFS(AND($B270&lt;&gt;"",$E270&lt;&gt;""),IF(INDEX(HistoricSummary!E:E,MATCH($C270,HistoricSummary!$A:$A,0),1)&lt;&gt;"",$E270*INDEX(HistoricSummary!E:E,MATCH($C270,HistoricSummary!$A:$A,0),1)+$G270,""),AND($B270&lt;&gt;"",$D270="COST",$G270&lt;0),$G270,TRUE,)</f>
        <v>725.6183256</v>
      </c>
    </row>
    <row r="271">
      <c r="A271" s="184">
        <v>43724.0</v>
      </c>
      <c r="B271" s="229" t="s">
        <v>283</v>
      </c>
      <c r="C271" s="230" t="s">
        <v>286</v>
      </c>
      <c r="D271" s="231" t="s">
        <v>432</v>
      </c>
      <c r="E271" s="231"/>
      <c r="F271" s="232"/>
      <c r="G271" s="233">
        <v>-3.04</v>
      </c>
      <c r="H271" s="230" t="s">
        <v>681</v>
      </c>
      <c r="I271" s="235">
        <f t="array" ref="I271">IFS(AND($B271&lt;&gt;"",$E271&lt;&gt;""),IF(INDEX(HistoricSummary!D:D,MATCH($C271,HistoricSummary!$A:$A,0),1)&lt;&gt;"",$E271*INDEX(HistoricSummary!D:D,MATCH($C271,HistoricSummary!$A:$A,0),1)+$G271,""),AND($B271&lt;&gt;"",$D271="COST",$G271&lt;0),$G271,TRUE,)</f>
        <v>-3.04</v>
      </c>
      <c r="J271" s="235">
        <f t="array" ref="J271">IFS(AND($B271&lt;&gt;"",$E271&lt;&gt;""),IF(INDEX(HistoricSummary!E:E,MATCH($C271,HistoricSummary!$A:$A,0),1)&lt;&gt;"",$E271*INDEX(HistoricSummary!E:E,MATCH($C271,HistoricSummary!$A:$A,0),1)+$G271,""),AND($B271&lt;&gt;"",$D271="COST",$G271&lt;0),$G271,TRUE,)</f>
        <v>-3.04</v>
      </c>
    </row>
    <row r="272">
      <c r="A272" s="184">
        <v>43724.0</v>
      </c>
      <c r="B272" s="229" t="s">
        <v>283</v>
      </c>
      <c r="C272" s="230" t="s">
        <v>286</v>
      </c>
      <c r="D272" s="231" t="s">
        <v>415</v>
      </c>
      <c r="E272" s="231">
        <v>-1247.0</v>
      </c>
      <c r="F272" s="232">
        <v>7.425</v>
      </c>
      <c r="G272" s="233">
        <v>9258.98</v>
      </c>
      <c r="H272" s="230" t="s">
        <v>682</v>
      </c>
      <c r="I272" s="235">
        <f t="array" ref="I272">IFS(AND($B272&lt;&gt;"",$E272&lt;&gt;""),IF(INDEX(HistoricSummary!D:D,MATCH($C272,HistoricSummary!$A:$A,0),1)&lt;&gt;"",$E272*INDEX(HistoricSummary!D:D,MATCH($C272,HistoricSummary!$A:$A,0),1)+$G272,""),AND($B272&lt;&gt;"",$D272="COST",$G272&lt;0),$G272,TRUE,)</f>
        <v>1162.209</v>
      </c>
      <c r="J272" s="235">
        <f t="array" ref="J272">IFS(AND($B272&lt;&gt;"",$E272&lt;&gt;""),IF(INDEX(HistoricSummary!E:E,MATCH($C272,HistoricSummary!$A:$A,0),1)&lt;&gt;"",$E272*INDEX(HistoricSummary!E:E,MATCH($C272,HistoricSummary!$A:$A,0),1)+$G272,""),AND($B272&lt;&gt;"",$D272="COST",$G272&lt;0),$G272,TRUE,)</f>
        <v>1214.061</v>
      </c>
    </row>
    <row r="273">
      <c r="A273" s="184">
        <v>43724.0</v>
      </c>
      <c r="B273" s="229" t="s">
        <v>283</v>
      </c>
      <c r="C273" s="230" t="s">
        <v>286</v>
      </c>
      <c r="D273" s="231" t="s">
        <v>432</v>
      </c>
      <c r="E273" s="231"/>
      <c r="F273" s="232"/>
      <c r="G273" s="233">
        <v>-3.85</v>
      </c>
      <c r="H273" s="230" t="s">
        <v>683</v>
      </c>
      <c r="I273" s="235">
        <f t="array" ref="I273">IFS(AND($B273&lt;&gt;"",$E273&lt;&gt;""),IF(INDEX(HistoricSummary!D:D,MATCH($C273,HistoricSummary!$A:$A,0),1)&lt;&gt;"",$E273*INDEX(HistoricSummary!D:D,MATCH($C273,HistoricSummary!$A:$A,0),1)+$G273,""),AND($B273&lt;&gt;"",$D273="COST",$G273&lt;0),$G273,TRUE,)</f>
        <v>-3.85</v>
      </c>
      <c r="J273" s="235">
        <f t="array" ref="J273">IFS(AND($B273&lt;&gt;"",$E273&lt;&gt;""),IF(INDEX(HistoricSummary!E:E,MATCH($C273,HistoricSummary!$A:$A,0),1)&lt;&gt;"",$E273*INDEX(HistoricSummary!E:E,MATCH($C273,HistoricSummary!$A:$A,0),1)+$G273,""),AND($B273&lt;&gt;"",$D273="COST",$G273&lt;0),$G273,TRUE,)</f>
        <v>-3.85</v>
      </c>
    </row>
    <row r="274">
      <c r="A274" s="184">
        <v>43721.0</v>
      </c>
      <c r="B274" s="229" t="s">
        <v>302</v>
      </c>
      <c r="C274" s="230" t="s">
        <v>303</v>
      </c>
      <c r="D274" s="231" t="s">
        <v>415</v>
      </c>
      <c r="E274" s="231">
        <v>-38.0</v>
      </c>
      <c r="F274" s="232">
        <v>51.78</v>
      </c>
      <c r="G274" s="233">
        <v>1967.64</v>
      </c>
      <c r="H274" s="230" t="s">
        <v>684</v>
      </c>
      <c r="I274" s="235">
        <f t="array" ref="I274">IFS(AND($B274&lt;&gt;"",$E274&lt;&gt;""),IF(INDEX(HistoricSummary!D:D,MATCH($C274,HistoricSummary!$A:$A,0),1)&lt;&gt;"",$E274*INDEX(HistoricSummary!D:D,MATCH($C274,HistoricSummary!$A:$A,0),1)+$G274,""),AND($B274&lt;&gt;"",$D274="COST",$G274&lt;0),$G274,TRUE,)</f>
        <v>-222.604</v>
      </c>
      <c r="J274" s="235">
        <f t="array" ref="J274">IFS(AND($B274&lt;&gt;"",$E274&lt;&gt;""),IF(INDEX(HistoricSummary!E:E,MATCH($C274,HistoricSummary!$A:$A,0),1)&lt;&gt;"",$E274*INDEX(HistoricSummary!E:E,MATCH($C274,HistoricSummary!$A:$A,0),1)+$G274,""),AND($B274&lt;&gt;"",$D274="COST",$G274&lt;0),$G274,TRUE,)</f>
        <v>-47.58277519</v>
      </c>
    </row>
    <row r="275">
      <c r="A275" s="184">
        <v>43721.0</v>
      </c>
      <c r="B275" s="229" t="s">
        <v>302</v>
      </c>
      <c r="C275" s="230" t="s">
        <v>303</v>
      </c>
      <c r="D275" s="231" t="s">
        <v>415</v>
      </c>
      <c r="E275" s="231">
        <v>-59.0</v>
      </c>
      <c r="F275" s="232">
        <v>51.7631</v>
      </c>
      <c r="G275" s="233">
        <v>3054.02</v>
      </c>
      <c r="H275" s="230" t="s">
        <v>685</v>
      </c>
      <c r="I275" s="235">
        <f t="array" ref="I275">IFS(AND($B275&lt;&gt;"",$E275&lt;&gt;""),IF(INDEX(HistoricSummary!D:D,MATCH($C275,HistoricSummary!$A:$A,0),1)&lt;&gt;"",$E275*INDEX(HistoricSummary!D:D,MATCH($C275,HistoricSummary!$A:$A,0),1)+$G275,""),AND($B275&lt;&gt;"",$D275="COST",$G275&lt;0),$G275,TRUE,)</f>
        <v>-346.622</v>
      </c>
      <c r="J275" s="235">
        <f t="array" ref="J275">IFS(AND($B275&lt;&gt;"",$E275&lt;&gt;""),IF(INDEX(HistoricSummary!E:E,MATCH($C275,HistoricSummary!$A:$A,0),1)&lt;&gt;"",$E275*INDEX(HistoricSummary!E:E,MATCH($C275,HistoricSummary!$A:$A,0),1)+$G275,""),AND($B275&lt;&gt;"",$D275="COST",$G275&lt;0),$G275,TRUE,)</f>
        <v>-74.87851938</v>
      </c>
    </row>
    <row r="276">
      <c r="A276" s="184">
        <v>43718.0</v>
      </c>
      <c r="B276" s="229"/>
      <c r="C276" s="230"/>
      <c r="D276" s="231" t="s">
        <v>454</v>
      </c>
      <c r="E276" s="231"/>
      <c r="F276" s="232"/>
      <c r="G276" s="233">
        <v>-300.0</v>
      </c>
      <c r="H276" s="230" t="s">
        <v>581</v>
      </c>
      <c r="I276" s="235" t="str">
        <f t="array" ref="I276">IFS(AND($B276&lt;&gt;"",$E276&lt;&gt;""),IF(INDEX(HistoricSummary!D:D,MATCH($C276,HistoricSummary!$A:$A,0),1)&lt;&gt;"",$E276*INDEX(HistoricSummary!D:D,MATCH($C276,HistoricSummary!$A:$A,0),1)+$G276,""),AND($B276&lt;&gt;"",$D276="COST",$G276&lt;0),$G276,TRUE,)</f>
        <v/>
      </c>
      <c r="J276" s="235" t="str">
        <f t="array" ref="J276">IFS(AND($B276&lt;&gt;"",$E276&lt;&gt;""),IF(INDEX(HistoricSummary!E:E,MATCH($C276,HistoricSummary!$A:$A,0),1)&lt;&gt;"",$E276*INDEX(HistoricSummary!E:E,MATCH($C276,HistoricSummary!$A:$A,0),1)+$G276,""),AND($B276&lt;&gt;"",$D276="COST",$G276&lt;0),$G276,TRUE,)</f>
        <v/>
      </c>
    </row>
    <row r="277">
      <c r="A277" s="184">
        <v>43718.0</v>
      </c>
      <c r="B277" s="229"/>
      <c r="C277" s="230"/>
      <c r="D277" s="231" t="s">
        <v>454</v>
      </c>
      <c r="E277" s="231"/>
      <c r="F277" s="232"/>
      <c r="G277" s="233">
        <v>-100.0</v>
      </c>
      <c r="H277" s="230" t="s">
        <v>513</v>
      </c>
      <c r="I277" s="235" t="str">
        <f t="array" ref="I277">IFS(AND($B277&lt;&gt;"",$E277&lt;&gt;""),IF(INDEX(HistoricSummary!D:D,MATCH($C277,HistoricSummary!$A:$A,0),1)&lt;&gt;"",$E277*INDEX(HistoricSummary!D:D,MATCH($C277,HistoricSummary!$A:$A,0),1)+$G277,""),AND($B277&lt;&gt;"",$D277="COST",$G277&lt;0),$G277,TRUE,)</f>
        <v/>
      </c>
      <c r="J277" s="235" t="str">
        <f t="array" ref="J277">IFS(AND($B277&lt;&gt;"",$E277&lt;&gt;""),IF(INDEX(HistoricSummary!E:E,MATCH($C277,HistoricSummary!$A:$A,0),1)&lt;&gt;"",$E277*INDEX(HistoricSummary!E:E,MATCH($C277,HistoricSummary!$A:$A,0),1)+$G277,""),AND($B277&lt;&gt;"",$D277="COST",$G277&lt;0),$G277,TRUE,)</f>
        <v/>
      </c>
    </row>
    <row r="278">
      <c r="A278" s="184">
        <v>43714.0</v>
      </c>
      <c r="B278" s="229"/>
      <c r="C278" s="230"/>
      <c r="D278" s="231" t="s">
        <v>454</v>
      </c>
      <c r="E278" s="231"/>
      <c r="F278" s="232"/>
      <c r="G278" s="233">
        <v>-0.1</v>
      </c>
      <c r="H278" s="230" t="s">
        <v>686</v>
      </c>
      <c r="I278" s="235" t="str">
        <f t="array" ref="I278">IFS(AND($B278&lt;&gt;"",$E278&lt;&gt;""),IF(INDEX(HistoricSummary!D:D,MATCH($C278,HistoricSummary!$A:$A,0),1)&lt;&gt;"",$E278*INDEX(HistoricSummary!D:D,MATCH($C278,HistoricSummary!$A:$A,0),1)+$G278,""),AND($B278&lt;&gt;"",$D278="COST",$G278&lt;0),$G278,TRUE,)</f>
        <v/>
      </c>
      <c r="J278" s="235" t="str">
        <f t="array" ref="J278">IFS(AND($B278&lt;&gt;"",$E278&lt;&gt;""),IF(INDEX(HistoricSummary!E:E,MATCH($C278,HistoricSummary!$A:$A,0),1)&lt;&gt;"",$E278*INDEX(HistoricSummary!E:E,MATCH($C278,HistoricSummary!$A:$A,0),1)+$G278,""),AND($B278&lt;&gt;"",$D278="COST",$G278&lt;0),$G278,TRUE,)</f>
        <v/>
      </c>
    </row>
    <row r="279">
      <c r="A279" s="184">
        <v>43714.0</v>
      </c>
      <c r="B279" s="229" t="s">
        <v>302</v>
      </c>
      <c r="C279" s="230" t="s">
        <v>303</v>
      </c>
      <c r="D279" s="231" t="s">
        <v>415</v>
      </c>
      <c r="E279" s="231">
        <v>-21.0</v>
      </c>
      <c r="F279" s="232">
        <v>51.45</v>
      </c>
      <c r="G279" s="233">
        <v>1080.45</v>
      </c>
      <c r="H279" s="230" t="s">
        <v>687</v>
      </c>
      <c r="I279" s="235">
        <f t="array" ref="I279">IFS(AND($B279&lt;&gt;"",$E279&lt;&gt;""),IF(INDEX(HistoricSummary!D:D,MATCH($C279,HistoricSummary!$A:$A,0),1)&lt;&gt;"",$E279*INDEX(HistoricSummary!D:D,MATCH($C279,HistoricSummary!$A:$A,0),1)+$G279,""),AND($B279&lt;&gt;"",$D279="COST",$G279&lt;0),$G279,TRUE,)</f>
        <v>-129.948</v>
      </c>
      <c r="J279" s="235">
        <f t="array" ref="J279">IFS(AND($B279&lt;&gt;"",$E279&lt;&gt;""),IF(INDEX(HistoricSummary!E:E,MATCH($C279,HistoricSummary!$A:$A,0),1)&lt;&gt;"",$E279*INDEX(HistoricSummary!E:E,MATCH($C279,HistoricSummary!$A:$A,0),1)+$G279,""),AND($B279&lt;&gt;"",$D279="COST",$G279&lt;0),$G279,TRUE,)</f>
        <v>-33.22574419</v>
      </c>
    </row>
    <row r="280">
      <c r="A280" s="184">
        <v>43714.0</v>
      </c>
      <c r="B280" s="229" t="s">
        <v>302</v>
      </c>
      <c r="C280" s="230" t="s">
        <v>303</v>
      </c>
      <c r="D280" s="231" t="s">
        <v>415</v>
      </c>
      <c r="E280" s="231">
        <v>-43.0</v>
      </c>
      <c r="F280" s="232">
        <v>51.417</v>
      </c>
      <c r="G280" s="233">
        <v>2210.93</v>
      </c>
      <c r="H280" s="230" t="s">
        <v>688</v>
      </c>
      <c r="I280" s="235">
        <f t="array" ref="I280">IFS(AND($B280&lt;&gt;"",$E280&lt;&gt;""),IF(INDEX(HistoricSummary!D:D,MATCH($C280,HistoricSummary!$A:$A,0),1)&lt;&gt;"",$E280*INDEX(HistoricSummary!D:D,MATCH($C280,HistoricSummary!$A:$A,0),1)+$G280,""),AND($B280&lt;&gt;"",$D280="COST",$G280&lt;0),$G280,TRUE,)</f>
        <v>-267.504</v>
      </c>
      <c r="J280" s="235">
        <f t="array" ref="J280">IFS(AND($B280&lt;&gt;"",$E280&lt;&gt;""),IF(INDEX(HistoricSummary!E:E,MATCH($C280,HistoricSummary!$A:$A,0),1)&lt;&gt;"",$E280*INDEX(HistoricSummary!E:E,MATCH($C280,HistoricSummary!$A:$A,0),1)+$G280,""),AND($B280&lt;&gt;"",$D280="COST",$G280&lt;0),$G280,TRUE,)</f>
        <v>-69.45366667</v>
      </c>
    </row>
    <row r="281">
      <c r="A281" s="184">
        <v>43713.0</v>
      </c>
      <c r="B281" s="229"/>
      <c r="C281" s="230"/>
      <c r="D281" s="231" t="s">
        <v>454</v>
      </c>
      <c r="E281" s="231"/>
      <c r="F281" s="232"/>
      <c r="G281" s="233">
        <v>0.1</v>
      </c>
      <c r="H281" s="230" t="s">
        <v>689</v>
      </c>
      <c r="I281" s="235" t="str">
        <f t="array" ref="I281">IFS(AND($B281&lt;&gt;"",$E281&lt;&gt;""),IF(INDEX(HistoricSummary!D:D,MATCH($C281,HistoricSummary!$A:$A,0),1)&lt;&gt;"",$E281*INDEX(HistoricSummary!D:D,MATCH($C281,HistoricSummary!$A:$A,0),1)+$G281,""),AND($B281&lt;&gt;"",$D281="COST",$G281&lt;0),$G281,TRUE,)</f>
        <v/>
      </c>
      <c r="J281" s="235" t="str">
        <f t="array" ref="J281">IFS(AND($B281&lt;&gt;"",$E281&lt;&gt;""),IF(INDEX(HistoricSummary!E:E,MATCH($C281,HistoricSummary!$A:$A,0),1)&lt;&gt;"",$E281*INDEX(HistoricSummary!E:E,MATCH($C281,HistoricSummary!$A:$A,0),1)+$G281,""),AND($B281&lt;&gt;"",$D281="COST",$G281&lt;0),$G281,TRUE,)</f>
        <v/>
      </c>
    </row>
    <row r="282">
      <c r="A282" s="184">
        <v>43712.0</v>
      </c>
      <c r="B282" s="229"/>
      <c r="C282" s="230"/>
      <c r="D282" s="231" t="s">
        <v>454</v>
      </c>
      <c r="E282" s="231"/>
      <c r="F282" s="232"/>
      <c r="G282" s="233">
        <v>-100.0</v>
      </c>
      <c r="H282" s="230" t="s">
        <v>513</v>
      </c>
      <c r="I282" s="235" t="str">
        <f t="array" ref="I282">IFS(AND($B282&lt;&gt;"",$E282&lt;&gt;""),IF(INDEX(HistoricSummary!D:D,MATCH($C282,HistoricSummary!$A:$A,0),1)&lt;&gt;"",$E282*INDEX(HistoricSummary!D:D,MATCH($C282,HistoricSummary!$A:$A,0),1)+$G282,""),AND($B282&lt;&gt;"",$D282="COST",$G282&lt;0),$G282,TRUE,)</f>
        <v/>
      </c>
      <c r="J282" s="235" t="str">
        <f t="array" ref="J282">IFS(AND($B282&lt;&gt;"",$E282&lt;&gt;""),IF(INDEX(HistoricSummary!E:E,MATCH($C282,HistoricSummary!$A:$A,0),1)&lt;&gt;"",$E282*INDEX(HistoricSummary!E:E,MATCH($C282,HistoricSummary!$A:$A,0),1)+$G282,""),AND($B282&lt;&gt;"",$D282="COST",$G282&lt;0),$G282,TRUE,)</f>
        <v/>
      </c>
    </row>
    <row r="283">
      <c r="A283" s="184">
        <v>43711.0</v>
      </c>
      <c r="B283" s="229" t="s">
        <v>283</v>
      </c>
      <c r="C283" s="230" t="s">
        <v>286</v>
      </c>
      <c r="D283" s="231" t="s">
        <v>414</v>
      </c>
      <c r="E283" s="231">
        <v>223.0</v>
      </c>
      <c r="F283" s="232">
        <v>7.165</v>
      </c>
      <c r="G283" s="233">
        <v>-1597.8</v>
      </c>
      <c r="H283" s="230" t="s">
        <v>690</v>
      </c>
      <c r="I283" s="235">
        <f t="array" ref="I283">IFS(AND($B283&lt;&gt;"",$E283&lt;&gt;""),IF(INDEX(HistoricSummary!D:D,MATCH($C283,HistoricSummary!$A:$A,0),1)&lt;&gt;"",$E283*INDEX(HistoricSummary!D:D,MATCH($C283,HistoricSummary!$A:$A,0),1)+$G283,""),AND($B283&lt;&gt;"",$D283="COST",$G283&lt;0),$G283,TRUE,)</f>
        <v>-149.861</v>
      </c>
      <c r="J283" s="235">
        <f t="array" ref="J283">IFS(AND($B283&lt;&gt;"",$E283&lt;&gt;""),IF(INDEX(HistoricSummary!E:E,MATCH($C283,HistoricSummary!$A:$A,0),1)&lt;&gt;"",$E283*INDEX(HistoricSummary!E:E,MATCH($C283,HistoricSummary!$A:$A,0),1)+$G283,""),AND($B283&lt;&gt;"",$D283="COST",$G283&lt;0),$G283,TRUE,)</f>
        <v>-159.1336512</v>
      </c>
    </row>
    <row r="284">
      <c r="A284" s="184">
        <v>43710.0</v>
      </c>
      <c r="B284" s="229" t="s">
        <v>283</v>
      </c>
      <c r="C284" s="230" t="s">
        <v>286</v>
      </c>
      <c r="D284" s="231" t="s">
        <v>414</v>
      </c>
      <c r="E284" s="231">
        <v>213.0</v>
      </c>
      <c r="F284" s="232">
        <v>7.2</v>
      </c>
      <c r="G284" s="233">
        <v>-1533.6</v>
      </c>
      <c r="H284" s="230" t="s">
        <v>691</v>
      </c>
      <c r="I284" s="235">
        <f t="array" ref="I284">IFS(AND($B284&lt;&gt;"",$E284&lt;&gt;""),IF(INDEX(HistoricSummary!D:D,MATCH($C284,HistoricSummary!$A:$A,0),1)&lt;&gt;"",$E284*INDEX(HistoricSummary!D:D,MATCH($C284,HistoricSummary!$A:$A,0),1)+$G284,""),AND($B284&lt;&gt;"",$D284="COST",$G284&lt;0),$G284,TRUE,)</f>
        <v>-150.591</v>
      </c>
      <c r="J284" s="235">
        <f t="array" ref="J284">IFS(AND($B284&lt;&gt;"",$E284&lt;&gt;""),IF(INDEX(HistoricSummary!E:E,MATCH($C284,HistoricSummary!$A:$A,0),1)&lt;&gt;"",$E284*INDEX(HistoricSummary!E:E,MATCH($C284,HistoricSummary!$A:$A,0),1)+$G284,""),AND($B284&lt;&gt;"",$D284="COST",$G284&lt;0),$G284,TRUE,)</f>
        <v>-159.4478372</v>
      </c>
    </row>
    <row r="285">
      <c r="A285" s="184">
        <v>43708.0</v>
      </c>
      <c r="B285" s="229"/>
      <c r="C285" s="230"/>
      <c r="D285" s="231" t="s">
        <v>432</v>
      </c>
      <c r="E285" s="231"/>
      <c r="F285" s="232"/>
      <c r="G285" s="233">
        <v>-461.31</v>
      </c>
      <c r="H285" s="230" t="s">
        <v>692</v>
      </c>
      <c r="I285" s="235" t="str">
        <f t="array" ref="I285">IFS(AND($B285&lt;&gt;"",$E285&lt;&gt;""),IF(INDEX(HistoricSummary!D:D,MATCH($C285,HistoricSummary!$A:$A,0),1)&lt;&gt;"",$E285*INDEX(HistoricSummary!D:D,MATCH($C285,HistoricSummary!$A:$A,0),1)+$G285,""),AND($B285&lt;&gt;"",$D285="COST",$G285&lt;0),$G285,TRUE,)</f>
        <v/>
      </c>
      <c r="J285" s="235" t="str">
        <f t="array" ref="J285">IFS(AND($B285&lt;&gt;"",$E285&lt;&gt;""),IF(INDEX(HistoricSummary!E:E,MATCH($C285,HistoricSummary!$A:$A,0),1)&lt;&gt;"",$E285*INDEX(HistoricSummary!E:E,MATCH($C285,HistoricSummary!$A:$A,0),1)+$G285,""),AND($B285&lt;&gt;"",$D285="COST",$G285&lt;0),$G285,TRUE,)</f>
        <v/>
      </c>
    </row>
    <row r="286">
      <c r="A286" s="184">
        <v>43703.0</v>
      </c>
      <c r="B286" s="229" t="s">
        <v>288</v>
      </c>
      <c r="C286" s="230" t="s">
        <v>289</v>
      </c>
      <c r="D286" s="231" t="s">
        <v>415</v>
      </c>
      <c r="E286" s="231">
        <v>-8.0</v>
      </c>
      <c r="F286" s="232">
        <v>131.5</v>
      </c>
      <c r="G286" s="233">
        <v>1052.0</v>
      </c>
      <c r="H286" s="230" t="s">
        <v>693</v>
      </c>
      <c r="I286" s="235">
        <f t="array" ref="I286">IFS(AND($B286&lt;&gt;"",$E286&lt;&gt;""),IF(INDEX(HistoricSummary!D:D,MATCH($C286,HistoricSummary!$A:$A,0),1)&lt;&gt;"",$E286*INDEX(HistoricSummary!D:D,MATCH($C286,HistoricSummary!$A:$A,0),1)+$G286,""),AND($B286&lt;&gt;"",$D286="COST",$G286&lt;0),$G286,TRUE,)</f>
        <v>-150.24</v>
      </c>
      <c r="J286" s="235">
        <f t="array" ref="J286">IFS(AND($B286&lt;&gt;"",$E286&lt;&gt;""),IF(INDEX(HistoricSummary!E:E,MATCH($C286,HistoricSummary!$A:$A,0),1)&lt;&gt;"",$E286*INDEX(HistoricSummary!E:E,MATCH($C286,HistoricSummary!$A:$A,0),1)+$G286,""),AND($B286&lt;&gt;"",$D286="COST",$G286&lt;0),$G286,TRUE,)</f>
        <v>-105.071938</v>
      </c>
    </row>
    <row r="287">
      <c r="A287" s="184">
        <v>43701.0</v>
      </c>
      <c r="B287" s="229"/>
      <c r="C287" s="230"/>
      <c r="D287" s="231" t="s">
        <v>454</v>
      </c>
      <c r="E287" s="231"/>
      <c r="F287" s="232"/>
      <c r="G287" s="233">
        <v>-1000.0</v>
      </c>
      <c r="H287" s="230" t="s">
        <v>459</v>
      </c>
      <c r="I287" s="235" t="str">
        <f t="array" ref="I287">IFS(AND($B287&lt;&gt;"",$E287&lt;&gt;""),IF(INDEX(HistoricSummary!D:D,MATCH($C287,HistoricSummary!$A:$A,0),1)&lt;&gt;"",$E287*INDEX(HistoricSummary!D:D,MATCH($C287,HistoricSummary!$A:$A,0),1)+$G287,""),AND($B287&lt;&gt;"",$D287="COST",$G287&lt;0),$G287,TRUE,)</f>
        <v/>
      </c>
      <c r="J287" s="235" t="str">
        <f t="array" ref="J287">IFS(AND($B287&lt;&gt;"",$E287&lt;&gt;""),IF(INDEX(HistoricSummary!E:E,MATCH($C287,HistoricSummary!$A:$A,0),1)&lt;&gt;"",$E287*INDEX(HistoricSummary!E:E,MATCH($C287,HistoricSummary!$A:$A,0),1)+$G287,""),AND($B287&lt;&gt;"",$D287="COST",$G287&lt;0),$G287,TRUE,)</f>
        <v/>
      </c>
    </row>
    <row r="288">
      <c r="A288" s="184">
        <v>43697.0</v>
      </c>
      <c r="B288" s="229" t="s">
        <v>302</v>
      </c>
      <c r="C288" s="230" t="s">
        <v>303</v>
      </c>
      <c r="D288" s="231" t="s">
        <v>415</v>
      </c>
      <c r="E288" s="231">
        <v>-32.0</v>
      </c>
      <c r="F288" s="232">
        <v>50.17</v>
      </c>
      <c r="G288" s="233">
        <v>1605.44</v>
      </c>
      <c r="H288" s="230" t="s">
        <v>694</v>
      </c>
      <c r="I288" s="235">
        <f t="array" ref="I288">IFS(AND($B288&lt;&gt;"",$E288&lt;&gt;""),IF(INDEX(HistoricSummary!D:D,MATCH($C288,HistoricSummary!$A:$A,0),1)&lt;&gt;"",$E288*INDEX(HistoricSummary!D:D,MATCH($C288,HistoricSummary!$A:$A,0),1)+$G288,""),AND($B288&lt;&gt;"",$D288="COST",$G288&lt;0),$G288,TRUE,)</f>
        <v>-238.976</v>
      </c>
      <c r="J288" s="235">
        <f t="array" ref="J288">IFS(AND($B288&lt;&gt;"",$E288&lt;&gt;""),IF(INDEX(HistoricSummary!E:E,MATCH($C288,HistoricSummary!$A:$A,0),1)&lt;&gt;"",$E288*INDEX(HistoricSummary!E:E,MATCH($C288,HistoricSummary!$A:$A,0),1)+$G288,""),AND($B288&lt;&gt;"",$D288="COST",$G288&lt;0),$G288,TRUE,)</f>
        <v>-91.58970543</v>
      </c>
    </row>
    <row r="289">
      <c r="A289" s="184">
        <v>43693.0</v>
      </c>
      <c r="B289" s="229" t="s">
        <v>292</v>
      </c>
      <c r="C289" s="230" t="s">
        <v>293</v>
      </c>
      <c r="D289" s="231" t="s">
        <v>415</v>
      </c>
      <c r="E289" s="231">
        <v>-6.0</v>
      </c>
      <c r="F289" s="232">
        <v>189.0</v>
      </c>
      <c r="G289" s="233">
        <v>1134.0</v>
      </c>
      <c r="H289" s="230" t="s">
        <v>695</v>
      </c>
      <c r="I289" s="235">
        <f t="array" ref="I289">IFS(AND($B289&lt;&gt;"",$E289&lt;&gt;""),IF(INDEX(HistoricSummary!D:D,MATCH($C289,HistoricSummary!$A:$A,0),1)&lt;&gt;"",$E289*INDEX(HistoricSummary!D:D,MATCH($C289,HistoricSummary!$A:$A,0),1)+$G289,""),AND($B289&lt;&gt;"",$D289="COST",$G289&lt;0),$G289,TRUE,)</f>
        <v>15.24</v>
      </c>
      <c r="J289" s="235">
        <f t="array" ref="J289">IFS(AND($B289&lt;&gt;"",$E289&lt;&gt;""),IF(INDEX(HistoricSummary!E:E,MATCH($C289,HistoricSummary!$A:$A,0),1)&lt;&gt;"",$E289*INDEX(HistoricSummary!E:E,MATCH($C289,HistoricSummary!$A:$A,0),1)+$G289,""),AND($B289&lt;&gt;"",$D289="COST",$G289&lt;0),$G289,TRUE,)</f>
        <v>-23.33813953</v>
      </c>
    </row>
    <row r="290">
      <c r="A290" s="184">
        <v>43693.0</v>
      </c>
      <c r="B290" s="229" t="s">
        <v>292</v>
      </c>
      <c r="C290" s="230" t="s">
        <v>293</v>
      </c>
      <c r="D290" s="231" t="s">
        <v>415</v>
      </c>
      <c r="E290" s="231">
        <v>-6.0</v>
      </c>
      <c r="F290" s="232">
        <v>188.75</v>
      </c>
      <c r="G290" s="233">
        <v>1132.5</v>
      </c>
      <c r="H290" s="230" t="s">
        <v>696</v>
      </c>
      <c r="I290" s="235">
        <f t="array" ref="I290">IFS(AND($B290&lt;&gt;"",$E290&lt;&gt;""),IF(INDEX(HistoricSummary!D:D,MATCH($C290,HistoricSummary!$A:$A,0),1)&lt;&gt;"",$E290*INDEX(HistoricSummary!D:D,MATCH($C290,HistoricSummary!$A:$A,0),1)+$G290,""),AND($B290&lt;&gt;"",$D290="COST",$G290&lt;0),$G290,TRUE,)</f>
        <v>13.74</v>
      </c>
      <c r="J290" s="235">
        <f t="array" ref="J290">IFS(AND($B290&lt;&gt;"",$E290&lt;&gt;""),IF(INDEX(HistoricSummary!E:E,MATCH($C290,HistoricSummary!$A:$A,0),1)&lt;&gt;"",$E290*INDEX(HistoricSummary!E:E,MATCH($C290,HistoricSummary!$A:$A,0),1)+$G290,""),AND($B290&lt;&gt;"",$D290="COST",$G290&lt;0),$G290,TRUE,)</f>
        <v>-24.83813953</v>
      </c>
    </row>
    <row r="291">
      <c r="A291" s="184">
        <v>43692.0</v>
      </c>
      <c r="B291" s="229" t="s">
        <v>298</v>
      </c>
      <c r="C291" s="230" t="s">
        <v>299</v>
      </c>
      <c r="D291" s="231" t="s">
        <v>415</v>
      </c>
      <c r="E291" s="231">
        <v>-152.0</v>
      </c>
      <c r="F291" s="232">
        <v>4.95</v>
      </c>
      <c r="G291" s="233">
        <v>752.4</v>
      </c>
      <c r="H291" s="230" t="s">
        <v>697</v>
      </c>
      <c r="I291" s="235">
        <f t="array" ref="I291">IFS(AND($B291&lt;&gt;"",$E291&lt;&gt;""),IF(INDEX(HistoricSummary!D:D,MATCH($C291,HistoricSummary!$A:$A,0),1)&lt;&gt;"",$E291*INDEX(HistoricSummary!D:D,MATCH($C291,HistoricSummary!$A:$A,0),1)+$G291,""),AND($B291&lt;&gt;"",$D291="COST",$G291&lt;0),$G291,TRUE,)</f>
        <v>0.7904</v>
      </c>
      <c r="J291" s="235">
        <f t="array" ref="J291">IFS(AND($B291&lt;&gt;"",$E291&lt;&gt;""),IF(INDEX(HistoricSummary!E:E,MATCH($C291,HistoricSummary!$A:$A,0),1)&lt;&gt;"",$E291*INDEX(HistoricSummary!E:E,MATCH($C291,HistoricSummary!$A:$A,0),1)+$G291,""),AND($B291&lt;&gt;"",$D291="COST",$G291&lt;0),$G291,TRUE,)</f>
        <v>-38.06775194</v>
      </c>
    </row>
    <row r="292">
      <c r="A292" s="184">
        <v>43692.0</v>
      </c>
      <c r="B292" s="229" t="s">
        <v>298</v>
      </c>
      <c r="C292" s="230" t="s">
        <v>299</v>
      </c>
      <c r="D292" s="231" t="s">
        <v>432</v>
      </c>
      <c r="E292" s="231"/>
      <c r="F292" s="232"/>
      <c r="G292" s="233">
        <v>-2.15</v>
      </c>
      <c r="H292" s="230" t="s">
        <v>698</v>
      </c>
      <c r="I292" s="235">
        <f t="array" ref="I292">IFS(AND($B292&lt;&gt;"",$E292&lt;&gt;""),IF(INDEX(HistoricSummary!D:D,MATCH($C292,HistoricSummary!$A:$A,0),1)&lt;&gt;"",$E292*INDEX(HistoricSummary!D:D,MATCH($C292,HistoricSummary!$A:$A,0),1)+$G292,""),AND($B292&lt;&gt;"",$D292="COST",$G292&lt;0),$G292,TRUE,)</f>
        <v>-2.15</v>
      </c>
      <c r="J292" s="235">
        <f t="array" ref="J292">IFS(AND($B292&lt;&gt;"",$E292&lt;&gt;""),IF(INDEX(HistoricSummary!E:E,MATCH($C292,HistoricSummary!$A:$A,0),1)&lt;&gt;"",$E292*INDEX(HistoricSummary!E:E,MATCH($C292,HistoricSummary!$A:$A,0),1)+$G292,""),AND($B292&lt;&gt;"",$D292="COST",$G292&lt;0),$G292,TRUE,)</f>
        <v>-2.15</v>
      </c>
    </row>
    <row r="293">
      <c r="A293" s="184">
        <v>43692.0</v>
      </c>
      <c r="B293" s="229" t="s">
        <v>298</v>
      </c>
      <c r="C293" s="230" t="s">
        <v>299</v>
      </c>
      <c r="D293" s="231" t="s">
        <v>415</v>
      </c>
      <c r="E293" s="231">
        <v>-51.0</v>
      </c>
      <c r="F293" s="232">
        <v>4.95</v>
      </c>
      <c r="G293" s="233">
        <v>252.45</v>
      </c>
      <c r="H293" s="230" t="s">
        <v>699</v>
      </c>
      <c r="I293" s="235">
        <f t="array" ref="I293">IFS(AND($B293&lt;&gt;"",$E293&lt;&gt;""),IF(INDEX(HistoricSummary!D:D,MATCH($C293,HistoricSummary!$A:$A,0),1)&lt;&gt;"",$E293*INDEX(HistoricSummary!D:D,MATCH($C293,HistoricSummary!$A:$A,0),1)+$G293,""),AND($B293&lt;&gt;"",$D293="COST",$G293&lt;0),$G293,TRUE,)</f>
        <v>0.2652</v>
      </c>
      <c r="J293" s="235">
        <f t="array" ref="J293">IFS(AND($B293&lt;&gt;"",$E293&lt;&gt;""),IF(INDEX(HistoricSummary!E:E,MATCH($C293,HistoricSummary!$A:$A,0),1)&lt;&gt;"",$E293*INDEX(HistoricSummary!E:E,MATCH($C293,HistoricSummary!$A:$A,0),1)+$G293,""),AND($B293&lt;&gt;"",$D293="COST",$G293&lt;0),$G293,TRUE,)</f>
        <v>-12.77273256</v>
      </c>
    </row>
    <row r="294">
      <c r="A294" s="184">
        <v>43692.0</v>
      </c>
      <c r="B294" s="229" t="s">
        <v>298</v>
      </c>
      <c r="C294" s="230" t="s">
        <v>299</v>
      </c>
      <c r="D294" s="231" t="s">
        <v>432</v>
      </c>
      <c r="E294" s="231"/>
      <c r="F294" s="232"/>
      <c r="G294" s="233">
        <v>-0.05</v>
      </c>
      <c r="H294" s="230" t="s">
        <v>700</v>
      </c>
      <c r="I294" s="235">
        <f t="array" ref="I294">IFS(AND($B294&lt;&gt;"",$E294&lt;&gt;""),IF(INDEX(HistoricSummary!D:D,MATCH($C294,HistoricSummary!$A:$A,0),1)&lt;&gt;"",$E294*INDEX(HistoricSummary!D:D,MATCH($C294,HistoricSummary!$A:$A,0),1)+$G294,""),AND($B294&lt;&gt;"",$D294="COST",$G294&lt;0),$G294,TRUE,)</f>
        <v>-0.05</v>
      </c>
      <c r="J294" s="235">
        <f t="array" ref="J294">IFS(AND($B294&lt;&gt;"",$E294&lt;&gt;""),IF(INDEX(HistoricSummary!E:E,MATCH($C294,HistoricSummary!$A:$A,0),1)&lt;&gt;"",$E294*INDEX(HistoricSummary!E:E,MATCH($C294,HistoricSummary!$A:$A,0),1)+$G294,""),AND($B294&lt;&gt;"",$D294="COST",$G294&lt;0),$G294,TRUE,)</f>
        <v>-0.05</v>
      </c>
    </row>
    <row r="295">
      <c r="A295" s="184">
        <v>43692.0</v>
      </c>
      <c r="B295" s="229" t="s">
        <v>298</v>
      </c>
      <c r="C295" s="230" t="s">
        <v>299</v>
      </c>
      <c r="D295" s="231" t="s">
        <v>415</v>
      </c>
      <c r="E295" s="231">
        <v>-300.0</v>
      </c>
      <c r="F295" s="232">
        <v>4.96</v>
      </c>
      <c r="G295" s="233">
        <v>1488.0</v>
      </c>
      <c r="H295" s="230" t="s">
        <v>701</v>
      </c>
      <c r="I295" s="235">
        <f t="array" ref="I295">IFS(AND($B295&lt;&gt;"",$E295&lt;&gt;""),IF(INDEX(HistoricSummary!D:D,MATCH($C295,HistoricSummary!$A:$A,0),1)&lt;&gt;"",$E295*INDEX(HistoricSummary!D:D,MATCH($C295,HistoricSummary!$A:$A,0),1)+$G295,""),AND($B295&lt;&gt;"",$D295="COST",$G295&lt;0),$G295,TRUE,)</f>
        <v>4.56</v>
      </c>
      <c r="J295" s="235">
        <f t="array" ref="J295">IFS(AND($B295&lt;&gt;"",$E295&lt;&gt;""),IF(INDEX(HistoricSummary!E:E,MATCH($C295,HistoricSummary!$A:$A,0),1)&lt;&gt;"",$E295*INDEX(HistoricSummary!E:E,MATCH($C295,HistoricSummary!$A:$A,0),1)+$G295,""),AND($B295&lt;&gt;"",$D295="COST",$G295&lt;0),$G295,TRUE,)</f>
        <v>-72.13372093</v>
      </c>
    </row>
    <row r="296">
      <c r="A296" s="184">
        <v>43692.0</v>
      </c>
      <c r="B296" s="229" t="s">
        <v>298</v>
      </c>
      <c r="C296" s="230" t="s">
        <v>299</v>
      </c>
      <c r="D296" s="231" t="s">
        <v>432</v>
      </c>
      <c r="E296" s="231"/>
      <c r="F296" s="232"/>
      <c r="G296" s="233">
        <v>-2.3</v>
      </c>
      <c r="H296" s="230" t="s">
        <v>702</v>
      </c>
      <c r="I296" s="235">
        <f t="array" ref="I296">IFS(AND($B296&lt;&gt;"",$E296&lt;&gt;""),IF(INDEX(HistoricSummary!D:D,MATCH($C296,HistoricSummary!$A:$A,0),1)&lt;&gt;"",$E296*INDEX(HistoricSummary!D:D,MATCH($C296,HistoricSummary!$A:$A,0),1)+$G296,""),AND($B296&lt;&gt;"",$D296="COST",$G296&lt;0),$G296,TRUE,)</f>
        <v>-2.3</v>
      </c>
      <c r="J296" s="235">
        <f t="array" ref="J296">IFS(AND($B296&lt;&gt;"",$E296&lt;&gt;""),IF(INDEX(HistoricSummary!E:E,MATCH($C296,HistoricSummary!$A:$A,0),1)&lt;&gt;"",$E296*INDEX(HistoricSummary!E:E,MATCH($C296,HistoricSummary!$A:$A,0),1)+$G296,""),AND($B296&lt;&gt;"",$D296="COST",$G296&lt;0),$G296,TRUE,)</f>
        <v>-2.3</v>
      </c>
    </row>
    <row r="297">
      <c r="A297" s="184">
        <v>43692.0</v>
      </c>
      <c r="B297" s="229" t="s">
        <v>298</v>
      </c>
      <c r="C297" s="230" t="s">
        <v>299</v>
      </c>
      <c r="D297" s="231" t="s">
        <v>415</v>
      </c>
      <c r="E297" s="231">
        <v>-203.0</v>
      </c>
      <c r="F297" s="232">
        <v>4.95</v>
      </c>
      <c r="G297" s="233">
        <v>1004.85</v>
      </c>
      <c r="H297" s="230" t="s">
        <v>703</v>
      </c>
      <c r="I297" s="235">
        <f t="array" ref="I297">IFS(AND($B297&lt;&gt;"",$E297&lt;&gt;""),IF(INDEX(HistoricSummary!D:D,MATCH($C297,HistoricSummary!$A:$A,0),1)&lt;&gt;"",$E297*INDEX(HistoricSummary!D:D,MATCH($C297,HistoricSummary!$A:$A,0),1)+$G297,""),AND($B297&lt;&gt;"",$D297="COST",$G297&lt;0),$G297,TRUE,)</f>
        <v>1.0556</v>
      </c>
      <c r="J297" s="235">
        <f t="array" ref="J297">IFS(AND($B297&lt;&gt;"",$E297&lt;&gt;""),IF(INDEX(HistoricSummary!E:E,MATCH($C297,HistoricSummary!$A:$A,0),1)&lt;&gt;"",$E297*INDEX(HistoricSummary!E:E,MATCH($C297,HistoricSummary!$A:$A,0),1)+$G297,""),AND($B297&lt;&gt;"",$D297="COST",$G297&lt;0),$G297,TRUE,)</f>
        <v>-50.8404845</v>
      </c>
    </row>
    <row r="298">
      <c r="A298" s="184">
        <v>43692.0</v>
      </c>
      <c r="B298" s="229" t="s">
        <v>298</v>
      </c>
      <c r="C298" s="230" t="s">
        <v>299</v>
      </c>
      <c r="D298" s="231" t="s">
        <v>432</v>
      </c>
      <c r="E298" s="231"/>
      <c r="F298" s="232"/>
      <c r="G298" s="233">
        <v>-2.2</v>
      </c>
      <c r="H298" s="230" t="s">
        <v>704</v>
      </c>
      <c r="I298" s="235">
        <f t="array" ref="I298">IFS(AND($B298&lt;&gt;"",$E298&lt;&gt;""),IF(INDEX(HistoricSummary!D:D,MATCH($C298,HistoricSummary!$A:$A,0),1)&lt;&gt;"",$E298*INDEX(HistoricSummary!D:D,MATCH($C298,HistoricSummary!$A:$A,0),1)+$G298,""),AND($B298&lt;&gt;"",$D298="COST",$G298&lt;0),$G298,TRUE,)</f>
        <v>-2.2</v>
      </c>
      <c r="J298" s="235">
        <f t="array" ref="J298">IFS(AND($B298&lt;&gt;"",$E298&lt;&gt;""),IF(INDEX(HistoricSummary!E:E,MATCH($C298,HistoricSummary!$A:$A,0),1)&lt;&gt;"",$E298*INDEX(HistoricSummary!E:E,MATCH($C298,HistoricSummary!$A:$A,0),1)+$G298,""),AND($B298&lt;&gt;"",$D298="COST",$G298&lt;0),$G298,TRUE,)</f>
        <v>-2.2</v>
      </c>
    </row>
    <row r="299">
      <c r="A299" s="184">
        <v>43692.0</v>
      </c>
      <c r="B299" s="229" t="s">
        <v>292</v>
      </c>
      <c r="C299" s="230" t="s">
        <v>293</v>
      </c>
      <c r="D299" s="231" t="s">
        <v>415</v>
      </c>
      <c r="E299" s="231">
        <v>-6.0</v>
      </c>
      <c r="F299" s="232">
        <v>187.8</v>
      </c>
      <c r="G299" s="233">
        <v>1126.8</v>
      </c>
      <c r="H299" s="230" t="s">
        <v>705</v>
      </c>
      <c r="I299" s="235">
        <f t="array" ref="I299">IFS(AND($B299&lt;&gt;"",$E299&lt;&gt;""),IF(INDEX(HistoricSummary!D:D,MATCH($C299,HistoricSummary!$A:$A,0),1)&lt;&gt;"",$E299*INDEX(HistoricSummary!D:D,MATCH($C299,HistoricSummary!$A:$A,0),1)+$G299,""),AND($B299&lt;&gt;"",$D299="COST",$G299&lt;0),$G299,TRUE,)</f>
        <v>8.04</v>
      </c>
      <c r="J299" s="235">
        <f t="array" ref="J299">IFS(AND($B299&lt;&gt;"",$E299&lt;&gt;""),IF(INDEX(HistoricSummary!E:E,MATCH($C299,HistoricSummary!$A:$A,0),1)&lt;&gt;"",$E299*INDEX(HistoricSummary!E:E,MATCH($C299,HistoricSummary!$A:$A,0),1)+$G299,""),AND($B299&lt;&gt;"",$D299="COST",$G299&lt;0),$G299,TRUE,)</f>
        <v>-30.53813953</v>
      </c>
    </row>
    <row r="300">
      <c r="A300" s="184">
        <v>43692.0</v>
      </c>
      <c r="B300" s="229" t="s">
        <v>298</v>
      </c>
      <c r="C300" s="230" t="s">
        <v>299</v>
      </c>
      <c r="D300" s="231" t="s">
        <v>415</v>
      </c>
      <c r="E300" s="231">
        <v>-203.0</v>
      </c>
      <c r="F300" s="232">
        <v>4.9483</v>
      </c>
      <c r="G300" s="233">
        <v>1004.5</v>
      </c>
      <c r="H300" s="230" t="s">
        <v>706</v>
      </c>
      <c r="I300" s="235">
        <f t="array" ref="I300">IFS(AND($B300&lt;&gt;"",$E300&lt;&gt;""),IF(INDEX(HistoricSummary!D:D,MATCH($C300,HistoricSummary!$A:$A,0),1)&lt;&gt;"",$E300*INDEX(HistoricSummary!D:D,MATCH($C300,HistoricSummary!$A:$A,0),1)+$G300,""),AND($B300&lt;&gt;"",$D300="COST",$G300&lt;0),$G300,TRUE,)</f>
        <v>0.7056</v>
      </c>
      <c r="J300" s="235">
        <f t="array" ref="J300">IFS(AND($B300&lt;&gt;"",$E300&lt;&gt;""),IF(INDEX(HistoricSummary!E:E,MATCH($C300,HistoricSummary!$A:$A,0),1)&lt;&gt;"",$E300*INDEX(HistoricSummary!E:E,MATCH($C300,HistoricSummary!$A:$A,0),1)+$G300,""),AND($B300&lt;&gt;"",$D300="COST",$G300&lt;0),$G300,TRUE,)</f>
        <v>-51.1904845</v>
      </c>
    </row>
    <row r="301">
      <c r="A301" s="184">
        <v>43692.0</v>
      </c>
      <c r="B301" s="229" t="s">
        <v>298</v>
      </c>
      <c r="C301" s="230" t="s">
        <v>299</v>
      </c>
      <c r="D301" s="231" t="s">
        <v>432</v>
      </c>
      <c r="E301" s="231"/>
      <c r="F301" s="232"/>
      <c r="G301" s="233">
        <v>-2.2</v>
      </c>
      <c r="H301" s="230" t="s">
        <v>704</v>
      </c>
      <c r="I301" s="235">
        <f t="array" ref="I301">IFS(AND($B301&lt;&gt;"",$E301&lt;&gt;""),IF(INDEX(HistoricSummary!D:D,MATCH($C301,HistoricSummary!$A:$A,0),1)&lt;&gt;"",$E301*INDEX(HistoricSummary!D:D,MATCH($C301,HistoricSummary!$A:$A,0),1)+$G301,""),AND($B301&lt;&gt;"",$D301="COST",$G301&lt;0),$G301,TRUE,)</f>
        <v>-2.2</v>
      </c>
      <c r="J301" s="235">
        <f t="array" ref="J301">IFS(AND($B301&lt;&gt;"",$E301&lt;&gt;""),IF(INDEX(HistoricSummary!E:E,MATCH($C301,HistoricSummary!$A:$A,0),1)&lt;&gt;"",$E301*INDEX(HistoricSummary!E:E,MATCH($C301,HistoricSummary!$A:$A,0),1)+$G301,""),AND($B301&lt;&gt;"",$D301="COST",$G301&lt;0),$G301,TRUE,)</f>
        <v>-2.2</v>
      </c>
    </row>
    <row r="302">
      <c r="A302" s="184">
        <v>43692.0</v>
      </c>
      <c r="B302" s="229" t="s">
        <v>298</v>
      </c>
      <c r="C302" s="230" t="s">
        <v>299</v>
      </c>
      <c r="D302" s="231" t="s">
        <v>415</v>
      </c>
      <c r="E302" s="231">
        <v>-203.0</v>
      </c>
      <c r="F302" s="232">
        <v>4.94</v>
      </c>
      <c r="G302" s="233">
        <v>1002.82</v>
      </c>
      <c r="H302" s="230" t="s">
        <v>707</v>
      </c>
      <c r="I302" s="235">
        <f t="array" ref="I302">IFS(AND($B302&lt;&gt;"",$E302&lt;&gt;""),IF(INDEX(HistoricSummary!D:D,MATCH($C302,HistoricSummary!$A:$A,0),1)&lt;&gt;"",$E302*INDEX(HistoricSummary!D:D,MATCH($C302,HistoricSummary!$A:$A,0),1)+$G302,""),AND($B302&lt;&gt;"",$D302="COST",$G302&lt;0),$G302,TRUE,)</f>
        <v>-0.9744</v>
      </c>
      <c r="J302" s="235">
        <f t="array" ref="J302">IFS(AND($B302&lt;&gt;"",$E302&lt;&gt;""),IF(INDEX(HistoricSummary!E:E,MATCH($C302,HistoricSummary!$A:$A,0),1)&lt;&gt;"",$E302*INDEX(HistoricSummary!E:E,MATCH($C302,HistoricSummary!$A:$A,0),1)+$G302,""),AND($B302&lt;&gt;"",$D302="COST",$G302&lt;0),$G302,TRUE,)</f>
        <v>-52.8704845</v>
      </c>
    </row>
    <row r="303">
      <c r="A303" s="184">
        <v>43692.0</v>
      </c>
      <c r="B303" s="229" t="s">
        <v>298</v>
      </c>
      <c r="C303" s="230" t="s">
        <v>299</v>
      </c>
      <c r="D303" s="231" t="s">
        <v>432</v>
      </c>
      <c r="E303" s="231"/>
      <c r="F303" s="232"/>
      <c r="G303" s="233">
        <v>-2.2</v>
      </c>
      <c r="H303" s="230" t="s">
        <v>704</v>
      </c>
      <c r="I303" s="235">
        <f t="array" ref="I303">IFS(AND($B303&lt;&gt;"",$E303&lt;&gt;""),IF(INDEX(HistoricSummary!D:D,MATCH($C303,HistoricSummary!$A:$A,0),1)&lt;&gt;"",$E303*INDEX(HistoricSummary!D:D,MATCH($C303,HistoricSummary!$A:$A,0),1)+$G303,""),AND($B303&lt;&gt;"",$D303="COST",$G303&lt;0),$G303,TRUE,)</f>
        <v>-2.2</v>
      </c>
      <c r="J303" s="235">
        <f t="array" ref="J303">IFS(AND($B303&lt;&gt;"",$E303&lt;&gt;""),IF(INDEX(HistoricSummary!E:E,MATCH($C303,HistoricSummary!$A:$A,0),1)&lt;&gt;"",$E303*INDEX(HistoricSummary!E:E,MATCH($C303,HistoricSummary!$A:$A,0),1)+$G303,""),AND($B303&lt;&gt;"",$D303="COST",$G303&lt;0),$G303,TRUE,)</f>
        <v>-2.2</v>
      </c>
    </row>
    <row r="304">
      <c r="A304" s="184">
        <v>43692.0</v>
      </c>
      <c r="B304" s="229" t="s">
        <v>292</v>
      </c>
      <c r="C304" s="230" t="s">
        <v>293</v>
      </c>
      <c r="D304" s="231" t="s">
        <v>415</v>
      </c>
      <c r="E304" s="231">
        <v>-7.0</v>
      </c>
      <c r="F304" s="232">
        <v>187.75</v>
      </c>
      <c r="G304" s="233">
        <v>1314.25</v>
      </c>
      <c r="H304" s="230" t="s">
        <v>708</v>
      </c>
      <c r="I304" s="235">
        <f t="array" ref="I304">IFS(AND($B304&lt;&gt;"",$E304&lt;&gt;""),IF(INDEX(HistoricSummary!D:D,MATCH($C304,HistoricSummary!$A:$A,0),1)&lt;&gt;"",$E304*INDEX(HistoricSummary!D:D,MATCH($C304,HistoricSummary!$A:$A,0),1)+$G304,""),AND($B304&lt;&gt;"",$D304="COST",$G304&lt;0),$G304,TRUE,)</f>
        <v>9.03</v>
      </c>
      <c r="J304" s="235">
        <f t="array" ref="J304">IFS(AND($B304&lt;&gt;"",$E304&lt;&gt;""),IF(INDEX(HistoricSummary!E:E,MATCH($C304,HistoricSummary!$A:$A,0),1)&lt;&gt;"",$E304*INDEX(HistoricSummary!E:E,MATCH($C304,HistoricSummary!$A:$A,0),1)+$G304,""),AND($B304&lt;&gt;"",$D304="COST",$G304&lt;0),$G304,TRUE,)</f>
        <v>-35.97782946</v>
      </c>
    </row>
    <row r="305">
      <c r="A305" s="184">
        <v>43692.0</v>
      </c>
      <c r="B305" s="229" t="s">
        <v>298</v>
      </c>
      <c r="C305" s="230" t="s">
        <v>299</v>
      </c>
      <c r="D305" s="231" t="s">
        <v>415</v>
      </c>
      <c r="E305" s="231">
        <v>-203.0</v>
      </c>
      <c r="F305" s="232">
        <v>4.934</v>
      </c>
      <c r="G305" s="233">
        <v>1001.6</v>
      </c>
      <c r="H305" s="230" t="s">
        <v>709</v>
      </c>
      <c r="I305" s="235">
        <f t="array" ref="I305">IFS(AND($B305&lt;&gt;"",$E305&lt;&gt;""),IF(INDEX(HistoricSummary!D:D,MATCH($C305,HistoricSummary!$A:$A,0),1)&lt;&gt;"",$E305*INDEX(HistoricSummary!D:D,MATCH($C305,HistoricSummary!$A:$A,0),1)+$G305,""),AND($B305&lt;&gt;"",$D305="COST",$G305&lt;0),$G305,TRUE,)</f>
        <v>-2.1944</v>
      </c>
      <c r="J305" s="235">
        <f t="array" ref="J305">IFS(AND($B305&lt;&gt;"",$E305&lt;&gt;""),IF(INDEX(HistoricSummary!E:E,MATCH($C305,HistoricSummary!$A:$A,0),1)&lt;&gt;"",$E305*INDEX(HistoricSummary!E:E,MATCH($C305,HistoricSummary!$A:$A,0),1)+$G305,""),AND($B305&lt;&gt;"",$D305="COST",$G305&lt;0),$G305,TRUE,)</f>
        <v>-54.0904845</v>
      </c>
    </row>
    <row r="306">
      <c r="A306" s="184">
        <v>43692.0</v>
      </c>
      <c r="B306" s="229" t="s">
        <v>298</v>
      </c>
      <c r="C306" s="230" t="s">
        <v>299</v>
      </c>
      <c r="D306" s="231" t="s">
        <v>432</v>
      </c>
      <c r="E306" s="231"/>
      <c r="F306" s="232"/>
      <c r="G306" s="233">
        <v>-2.2</v>
      </c>
      <c r="H306" s="230" t="s">
        <v>704</v>
      </c>
      <c r="I306" s="235">
        <f t="array" ref="I306">IFS(AND($B306&lt;&gt;"",$E306&lt;&gt;""),IF(INDEX(HistoricSummary!D:D,MATCH($C306,HistoricSummary!$A:$A,0),1)&lt;&gt;"",$E306*INDEX(HistoricSummary!D:D,MATCH($C306,HistoricSummary!$A:$A,0),1)+$G306,""),AND($B306&lt;&gt;"",$D306="COST",$G306&lt;0),$G306,TRUE,)</f>
        <v>-2.2</v>
      </c>
      <c r="J306" s="235">
        <f t="array" ref="J306">IFS(AND($B306&lt;&gt;"",$E306&lt;&gt;""),IF(INDEX(HistoricSummary!E:E,MATCH($C306,HistoricSummary!$A:$A,0),1)&lt;&gt;"",$E306*INDEX(HistoricSummary!E:E,MATCH($C306,HistoricSummary!$A:$A,0),1)+$G306,""),AND($B306&lt;&gt;"",$D306="COST",$G306&lt;0),$G306,TRUE,)</f>
        <v>-2.2</v>
      </c>
    </row>
    <row r="307">
      <c r="A307" s="184">
        <v>43692.0</v>
      </c>
      <c r="B307" s="229" t="s">
        <v>298</v>
      </c>
      <c r="C307" s="230" t="s">
        <v>299</v>
      </c>
      <c r="D307" s="231" t="s">
        <v>415</v>
      </c>
      <c r="E307" s="231">
        <v>-355.0</v>
      </c>
      <c r="F307" s="232">
        <v>4.93</v>
      </c>
      <c r="G307" s="233">
        <v>1750.15</v>
      </c>
      <c r="H307" s="230" t="s">
        <v>710</v>
      </c>
      <c r="I307" s="235">
        <f t="array" ref="I307">IFS(AND($B307&lt;&gt;"",$E307&lt;&gt;""),IF(INDEX(HistoricSummary!D:D,MATCH($C307,HistoricSummary!$A:$A,0),1)&lt;&gt;"",$E307*INDEX(HistoricSummary!D:D,MATCH($C307,HistoricSummary!$A:$A,0),1)+$G307,""),AND($B307&lt;&gt;"",$D307="COST",$G307&lt;0),$G307,TRUE,)</f>
        <v>-5.254</v>
      </c>
      <c r="J307" s="235">
        <f t="array" ref="J307">IFS(AND($B307&lt;&gt;"",$E307&lt;&gt;""),IF(INDEX(HistoricSummary!E:E,MATCH($C307,HistoricSummary!$A:$A,0),1)&lt;&gt;"",$E307*INDEX(HistoricSummary!E:E,MATCH($C307,HistoricSummary!$A:$A,0),1)+$G307,""),AND($B307&lt;&gt;"",$D307="COST",$G307&lt;0),$G307,TRUE,)</f>
        <v>-96.00823643</v>
      </c>
    </row>
    <row r="308">
      <c r="A308" s="184">
        <v>43692.0</v>
      </c>
      <c r="B308" s="229" t="s">
        <v>298</v>
      </c>
      <c r="C308" s="230" t="s">
        <v>299</v>
      </c>
      <c r="D308" s="231" t="s">
        <v>432</v>
      </c>
      <c r="E308" s="231"/>
      <c r="F308" s="232"/>
      <c r="G308" s="233">
        <v>-2.35</v>
      </c>
      <c r="H308" s="230" t="s">
        <v>711</v>
      </c>
      <c r="I308" s="235">
        <f t="array" ref="I308">IFS(AND($B308&lt;&gt;"",$E308&lt;&gt;""),IF(INDEX(HistoricSummary!D:D,MATCH($C308,HistoricSummary!$A:$A,0),1)&lt;&gt;"",$E308*INDEX(HistoricSummary!D:D,MATCH($C308,HistoricSummary!$A:$A,0),1)+$G308,""),AND($B308&lt;&gt;"",$D308="COST",$G308&lt;0),$G308,TRUE,)</f>
        <v>-2.35</v>
      </c>
      <c r="J308" s="235">
        <f t="array" ref="J308">IFS(AND($B308&lt;&gt;"",$E308&lt;&gt;""),IF(INDEX(HistoricSummary!E:E,MATCH($C308,HistoricSummary!$A:$A,0),1)&lt;&gt;"",$E308*INDEX(HistoricSummary!E:E,MATCH($C308,HistoricSummary!$A:$A,0),1)+$G308,""),AND($B308&lt;&gt;"",$D308="COST",$G308&lt;0),$G308,TRUE,)</f>
        <v>-2.35</v>
      </c>
    </row>
    <row r="309">
      <c r="A309" s="184">
        <v>43692.0</v>
      </c>
      <c r="B309" s="229" t="s">
        <v>298</v>
      </c>
      <c r="C309" s="230" t="s">
        <v>299</v>
      </c>
      <c r="D309" s="231" t="s">
        <v>415</v>
      </c>
      <c r="E309" s="231">
        <v>-100.0</v>
      </c>
      <c r="F309" s="232">
        <v>4.93</v>
      </c>
      <c r="G309" s="233">
        <v>493.0</v>
      </c>
      <c r="H309" s="230" t="s">
        <v>712</v>
      </c>
      <c r="I309" s="235">
        <f t="array" ref="I309">IFS(AND($B309&lt;&gt;"",$E309&lt;&gt;""),IF(INDEX(HistoricSummary!D:D,MATCH($C309,HistoricSummary!$A:$A,0),1)&lt;&gt;"",$E309*INDEX(HistoricSummary!D:D,MATCH($C309,HistoricSummary!$A:$A,0),1)+$G309,""),AND($B309&lt;&gt;"",$D309="COST",$G309&lt;0),$G309,TRUE,)</f>
        <v>-1.48</v>
      </c>
      <c r="J309" s="235">
        <f t="array" ref="J309">IFS(AND($B309&lt;&gt;"",$E309&lt;&gt;""),IF(INDEX(HistoricSummary!E:E,MATCH($C309,HistoricSummary!$A:$A,0),1)&lt;&gt;"",$E309*INDEX(HistoricSummary!E:E,MATCH($C309,HistoricSummary!$A:$A,0),1)+$G309,""),AND($B309&lt;&gt;"",$D309="COST",$G309&lt;0),$G309,TRUE,)</f>
        <v>-27.04457364</v>
      </c>
    </row>
    <row r="310">
      <c r="A310" s="184">
        <v>43692.0</v>
      </c>
      <c r="B310" s="229" t="s">
        <v>298</v>
      </c>
      <c r="C310" s="230" t="s">
        <v>299</v>
      </c>
      <c r="D310" s="231" t="s">
        <v>432</v>
      </c>
      <c r="E310" s="231"/>
      <c r="F310" s="232"/>
      <c r="G310" s="233">
        <v>-2.1</v>
      </c>
      <c r="H310" s="230" t="s">
        <v>713</v>
      </c>
      <c r="I310" s="235">
        <f t="array" ref="I310">IFS(AND($B310&lt;&gt;"",$E310&lt;&gt;""),IF(INDEX(HistoricSummary!D:D,MATCH($C310,HistoricSummary!$A:$A,0),1)&lt;&gt;"",$E310*INDEX(HistoricSummary!D:D,MATCH($C310,HistoricSummary!$A:$A,0),1)+$G310,""),AND($B310&lt;&gt;"",$D310="COST",$G310&lt;0),$G310,TRUE,)</f>
        <v>-2.1</v>
      </c>
      <c r="J310" s="235">
        <f t="array" ref="J310">IFS(AND($B310&lt;&gt;"",$E310&lt;&gt;""),IF(INDEX(HistoricSummary!E:E,MATCH($C310,HistoricSummary!$A:$A,0),1)&lt;&gt;"",$E310*INDEX(HistoricSummary!E:E,MATCH($C310,HistoricSummary!$A:$A,0),1)+$G310,""),AND($B310&lt;&gt;"",$D310="COST",$G310&lt;0),$G310,TRUE,)</f>
        <v>-2.1</v>
      </c>
    </row>
    <row r="311">
      <c r="A311" s="184">
        <v>43692.0</v>
      </c>
      <c r="B311" s="229" t="s">
        <v>298</v>
      </c>
      <c r="C311" s="230" t="s">
        <v>299</v>
      </c>
      <c r="D311" s="231" t="s">
        <v>415</v>
      </c>
      <c r="E311" s="231">
        <v>-500.0</v>
      </c>
      <c r="F311" s="232">
        <v>4.93</v>
      </c>
      <c r="G311" s="233">
        <v>2465.0</v>
      </c>
      <c r="H311" s="230" t="s">
        <v>714</v>
      </c>
      <c r="I311" s="235">
        <f t="array" ref="I311">IFS(AND($B311&lt;&gt;"",$E311&lt;&gt;""),IF(INDEX(HistoricSummary!D:D,MATCH($C311,HistoricSummary!$A:$A,0),1)&lt;&gt;"",$E311*INDEX(HistoricSummary!D:D,MATCH($C311,HistoricSummary!$A:$A,0),1)+$G311,""),AND($B311&lt;&gt;"",$D311="COST",$G311&lt;0),$G311,TRUE,)</f>
        <v>-7.4</v>
      </c>
      <c r="J311" s="235">
        <f t="array" ref="J311">IFS(AND($B311&lt;&gt;"",$E311&lt;&gt;""),IF(INDEX(HistoricSummary!E:E,MATCH($C311,HistoricSummary!$A:$A,0),1)&lt;&gt;"",$E311*INDEX(HistoricSummary!E:E,MATCH($C311,HistoricSummary!$A:$A,0),1)+$G311,""),AND($B311&lt;&gt;"",$D311="COST",$G311&lt;0),$G311,TRUE,)</f>
        <v>-135.2228682</v>
      </c>
    </row>
    <row r="312">
      <c r="A312" s="184">
        <v>43692.0</v>
      </c>
      <c r="B312" s="229" t="s">
        <v>298</v>
      </c>
      <c r="C312" s="230" t="s">
        <v>299</v>
      </c>
      <c r="D312" s="231" t="s">
        <v>432</v>
      </c>
      <c r="E312" s="231"/>
      <c r="F312" s="232"/>
      <c r="G312" s="233">
        <v>-0.49</v>
      </c>
      <c r="H312" s="230" t="s">
        <v>715</v>
      </c>
      <c r="I312" s="235">
        <f t="array" ref="I312">IFS(AND($B312&lt;&gt;"",$E312&lt;&gt;""),IF(INDEX(HistoricSummary!D:D,MATCH($C312,HistoricSummary!$A:$A,0),1)&lt;&gt;"",$E312*INDEX(HistoricSummary!D:D,MATCH($C312,HistoricSummary!$A:$A,0),1)+$G312,""),AND($B312&lt;&gt;"",$D312="COST",$G312&lt;0),$G312,TRUE,)</f>
        <v>-0.49</v>
      </c>
      <c r="J312" s="235">
        <f t="array" ref="J312">IFS(AND($B312&lt;&gt;"",$E312&lt;&gt;""),IF(INDEX(HistoricSummary!E:E,MATCH($C312,HistoricSummary!$A:$A,0),1)&lt;&gt;"",$E312*INDEX(HistoricSummary!E:E,MATCH($C312,HistoricSummary!$A:$A,0),1)+$G312,""),AND($B312&lt;&gt;"",$D312="COST",$G312&lt;0),$G312,TRUE,)</f>
        <v>-0.49</v>
      </c>
    </row>
    <row r="313">
      <c r="A313" s="184">
        <v>43691.0</v>
      </c>
      <c r="B313" s="229" t="s">
        <v>298</v>
      </c>
      <c r="C313" s="230" t="s">
        <v>299</v>
      </c>
      <c r="D313" s="231" t="s">
        <v>415</v>
      </c>
      <c r="E313" s="231">
        <v>-206.0</v>
      </c>
      <c r="F313" s="232">
        <v>4.8765</v>
      </c>
      <c r="G313" s="233">
        <v>1004.56</v>
      </c>
      <c r="H313" s="230" t="s">
        <v>716</v>
      </c>
      <c r="I313" s="235">
        <f t="array" ref="I313">IFS(AND($B313&lt;&gt;"",$E313&lt;&gt;""),IF(INDEX(HistoricSummary!D:D,MATCH($C313,HistoricSummary!$A:$A,0),1)&lt;&gt;"",$E313*INDEX(HistoricSummary!D:D,MATCH($C313,HistoricSummary!$A:$A,0),1)+$G313,""),AND($B313&lt;&gt;"",$D313="COST",$G313&lt;0),$G313,TRUE,)</f>
        <v>-14.0688</v>
      </c>
      <c r="J313" s="235">
        <f t="array" ref="J313">IFS(AND($B313&lt;&gt;"",$E313&lt;&gt;""),IF(INDEX(HistoricSummary!E:E,MATCH($C313,HistoricSummary!$A:$A,0),1)&lt;&gt;"",$E313*INDEX(HistoricSummary!E:E,MATCH($C313,HistoricSummary!$A:$A,0),1)+$G313,""),AND($B313&lt;&gt;"",$D313="COST",$G313&lt;0),$G313,TRUE,)</f>
        <v>-66.73182171</v>
      </c>
    </row>
    <row r="314">
      <c r="A314" s="184">
        <v>43691.0</v>
      </c>
      <c r="B314" s="229" t="s">
        <v>298</v>
      </c>
      <c r="C314" s="230" t="s">
        <v>299</v>
      </c>
      <c r="D314" s="231" t="s">
        <v>432</v>
      </c>
      <c r="E314" s="231"/>
      <c r="F314" s="232"/>
      <c r="G314" s="233">
        <v>-2.2</v>
      </c>
      <c r="H314" s="230" t="s">
        <v>704</v>
      </c>
      <c r="I314" s="235">
        <f t="array" ref="I314">IFS(AND($B314&lt;&gt;"",$E314&lt;&gt;""),IF(INDEX(HistoricSummary!D:D,MATCH($C314,HistoricSummary!$A:$A,0),1)&lt;&gt;"",$E314*INDEX(HistoricSummary!D:D,MATCH($C314,HistoricSummary!$A:$A,0),1)+$G314,""),AND($B314&lt;&gt;"",$D314="COST",$G314&lt;0),$G314,TRUE,)</f>
        <v>-2.2</v>
      </c>
      <c r="J314" s="235">
        <f t="array" ref="J314">IFS(AND($B314&lt;&gt;"",$E314&lt;&gt;""),IF(INDEX(HistoricSummary!E:E,MATCH($C314,HistoricSummary!$A:$A,0),1)&lt;&gt;"",$E314*INDEX(HistoricSummary!E:E,MATCH($C314,HistoricSummary!$A:$A,0),1)+$G314,""),AND($B314&lt;&gt;"",$D314="COST",$G314&lt;0),$G314,TRUE,)</f>
        <v>-2.2</v>
      </c>
    </row>
    <row r="315">
      <c r="A315" s="184">
        <v>43691.0</v>
      </c>
      <c r="B315" s="229" t="s">
        <v>298</v>
      </c>
      <c r="C315" s="230" t="s">
        <v>299</v>
      </c>
      <c r="D315" s="231" t="s">
        <v>415</v>
      </c>
      <c r="E315" s="231">
        <v>-106.0</v>
      </c>
      <c r="F315" s="232">
        <v>4.876</v>
      </c>
      <c r="G315" s="233">
        <v>516.86</v>
      </c>
      <c r="H315" s="230" t="s">
        <v>717</v>
      </c>
      <c r="I315" s="235">
        <f t="array" ref="I315">IFS(AND($B315&lt;&gt;"",$E315&lt;&gt;""),IF(INDEX(HistoricSummary!D:D,MATCH($C315,HistoricSummary!$A:$A,0),1)&lt;&gt;"",$E315*INDEX(HistoricSummary!D:D,MATCH($C315,HistoricSummary!$A:$A,0),1)+$G315,""),AND($B315&lt;&gt;"",$D315="COST",$G315&lt;0),$G315,TRUE,)</f>
        <v>-7.2888</v>
      </c>
      <c r="J315" s="235">
        <f t="array" ref="J315">IFS(AND($B315&lt;&gt;"",$E315&lt;&gt;""),IF(INDEX(HistoricSummary!E:E,MATCH($C315,HistoricSummary!$A:$A,0),1)&lt;&gt;"",$E315*INDEX(HistoricSummary!E:E,MATCH($C315,HistoricSummary!$A:$A,0),1)+$G315,""),AND($B315&lt;&gt;"",$D315="COST",$G315&lt;0),$G315,TRUE,)</f>
        <v>-34.38724806</v>
      </c>
    </row>
    <row r="316">
      <c r="A316" s="184">
        <v>43691.0</v>
      </c>
      <c r="B316" s="229" t="s">
        <v>298</v>
      </c>
      <c r="C316" s="230" t="s">
        <v>299</v>
      </c>
      <c r="D316" s="231" t="s">
        <v>432</v>
      </c>
      <c r="E316" s="231"/>
      <c r="F316" s="232"/>
      <c r="G316" s="233">
        <v>-0.1</v>
      </c>
      <c r="H316" s="230" t="s">
        <v>718</v>
      </c>
      <c r="I316" s="235">
        <f t="array" ref="I316">IFS(AND($B316&lt;&gt;"",$E316&lt;&gt;""),IF(INDEX(HistoricSummary!D:D,MATCH($C316,HistoricSummary!$A:$A,0),1)&lt;&gt;"",$E316*INDEX(HistoricSummary!D:D,MATCH($C316,HistoricSummary!$A:$A,0),1)+$G316,""),AND($B316&lt;&gt;"",$D316="COST",$G316&lt;0),$G316,TRUE,)</f>
        <v>-0.1</v>
      </c>
      <c r="J316" s="235">
        <f t="array" ref="J316">IFS(AND($B316&lt;&gt;"",$E316&lt;&gt;""),IF(INDEX(HistoricSummary!E:E,MATCH($C316,HistoricSummary!$A:$A,0),1)&lt;&gt;"",$E316*INDEX(HistoricSummary!E:E,MATCH($C316,HistoricSummary!$A:$A,0),1)+$G316,""),AND($B316&lt;&gt;"",$D316="COST",$G316&lt;0),$G316,TRUE,)</f>
        <v>-0.1</v>
      </c>
    </row>
    <row r="317">
      <c r="A317" s="184">
        <v>43691.0</v>
      </c>
      <c r="B317" s="229" t="s">
        <v>298</v>
      </c>
      <c r="C317" s="230" t="s">
        <v>299</v>
      </c>
      <c r="D317" s="231" t="s">
        <v>415</v>
      </c>
      <c r="E317" s="231">
        <v>-100.0</v>
      </c>
      <c r="F317" s="232">
        <v>4.876</v>
      </c>
      <c r="G317" s="233">
        <v>487.6</v>
      </c>
      <c r="H317" s="230" t="s">
        <v>719</v>
      </c>
      <c r="I317" s="235">
        <f t="array" ref="I317">IFS(AND($B317&lt;&gt;"",$E317&lt;&gt;""),IF(INDEX(HistoricSummary!D:D,MATCH($C317,HistoricSummary!$A:$A,0),1)&lt;&gt;"",$E317*INDEX(HistoricSummary!D:D,MATCH($C317,HistoricSummary!$A:$A,0),1)+$G317,""),AND($B317&lt;&gt;"",$D317="COST",$G317&lt;0),$G317,TRUE,)</f>
        <v>-6.88</v>
      </c>
      <c r="J317" s="235">
        <f t="array" ref="J317">IFS(AND($B317&lt;&gt;"",$E317&lt;&gt;""),IF(INDEX(HistoricSummary!E:E,MATCH($C317,HistoricSummary!$A:$A,0),1)&lt;&gt;"",$E317*INDEX(HistoricSummary!E:E,MATCH($C317,HistoricSummary!$A:$A,0),1)+$G317,""),AND($B317&lt;&gt;"",$D317="COST",$G317&lt;0),$G317,TRUE,)</f>
        <v>-32.44457364</v>
      </c>
    </row>
    <row r="318">
      <c r="A318" s="184">
        <v>43691.0</v>
      </c>
      <c r="B318" s="229" t="s">
        <v>298</v>
      </c>
      <c r="C318" s="230" t="s">
        <v>299</v>
      </c>
      <c r="D318" s="231" t="s">
        <v>432</v>
      </c>
      <c r="E318" s="231"/>
      <c r="F318" s="232"/>
      <c r="G318" s="233">
        <v>-2.1</v>
      </c>
      <c r="H318" s="230" t="s">
        <v>713</v>
      </c>
      <c r="I318" s="235">
        <f t="array" ref="I318">IFS(AND($B318&lt;&gt;"",$E318&lt;&gt;""),IF(INDEX(HistoricSummary!D:D,MATCH($C318,HistoricSummary!$A:$A,0),1)&lt;&gt;"",$E318*INDEX(HistoricSummary!D:D,MATCH($C318,HistoricSummary!$A:$A,0),1)+$G318,""),AND($B318&lt;&gt;"",$D318="COST",$G318&lt;0),$G318,TRUE,)</f>
        <v>-2.1</v>
      </c>
      <c r="J318" s="235">
        <f t="array" ref="J318">IFS(AND($B318&lt;&gt;"",$E318&lt;&gt;""),IF(INDEX(HistoricSummary!E:E,MATCH($C318,HistoricSummary!$A:$A,0),1)&lt;&gt;"",$E318*INDEX(HistoricSummary!E:E,MATCH($C318,HistoricSummary!$A:$A,0),1)+$G318,""),AND($B318&lt;&gt;"",$D318="COST",$G318&lt;0),$G318,TRUE,)</f>
        <v>-2.1</v>
      </c>
    </row>
    <row r="319">
      <c r="A319" s="184">
        <v>43691.0</v>
      </c>
      <c r="B319" s="229" t="s">
        <v>298</v>
      </c>
      <c r="C319" s="230" t="s">
        <v>299</v>
      </c>
      <c r="D319" s="231" t="s">
        <v>415</v>
      </c>
      <c r="E319" s="231">
        <v>-56.0</v>
      </c>
      <c r="F319" s="232">
        <v>4.8739</v>
      </c>
      <c r="G319" s="233">
        <v>272.94</v>
      </c>
      <c r="H319" s="230" t="s">
        <v>720</v>
      </c>
      <c r="I319" s="235">
        <f t="array" ref="I319">IFS(AND($B319&lt;&gt;"",$E319&lt;&gt;""),IF(INDEX(HistoricSummary!D:D,MATCH($C319,HistoricSummary!$A:$A,0),1)&lt;&gt;"",$E319*INDEX(HistoricSummary!D:D,MATCH($C319,HistoricSummary!$A:$A,0),1)+$G319,""),AND($B319&lt;&gt;"",$D319="COST",$G319&lt;0),$G319,TRUE,)</f>
        <v>-3.9688</v>
      </c>
      <c r="J319" s="235">
        <f t="array" ref="J319">IFS(AND($B319&lt;&gt;"",$E319&lt;&gt;""),IF(INDEX(HistoricSummary!E:E,MATCH($C319,HistoricSummary!$A:$A,0),1)&lt;&gt;"",$E319*INDEX(HistoricSummary!E:E,MATCH($C319,HistoricSummary!$A:$A,0),1)+$G319,""),AND($B319&lt;&gt;"",$D319="COST",$G319&lt;0),$G319,TRUE,)</f>
        <v>-18.28496124</v>
      </c>
    </row>
    <row r="320">
      <c r="A320" s="184">
        <v>43691.0</v>
      </c>
      <c r="B320" s="229" t="s">
        <v>298</v>
      </c>
      <c r="C320" s="230" t="s">
        <v>299</v>
      </c>
      <c r="D320" s="231" t="s">
        <v>432</v>
      </c>
      <c r="E320" s="231"/>
      <c r="F320" s="232"/>
      <c r="G320" s="233">
        <v>-2.05</v>
      </c>
      <c r="H320" s="230" t="s">
        <v>721</v>
      </c>
      <c r="I320" s="235">
        <f t="array" ref="I320">IFS(AND($B320&lt;&gt;"",$E320&lt;&gt;""),IF(INDEX(HistoricSummary!D:D,MATCH($C320,HistoricSummary!$A:$A,0),1)&lt;&gt;"",$E320*INDEX(HistoricSummary!D:D,MATCH($C320,HistoricSummary!$A:$A,0),1)+$G320,""),AND($B320&lt;&gt;"",$D320="COST",$G320&lt;0),$G320,TRUE,)</f>
        <v>-2.05</v>
      </c>
      <c r="J320" s="235">
        <f t="array" ref="J320">IFS(AND($B320&lt;&gt;"",$E320&lt;&gt;""),IF(INDEX(HistoricSummary!E:E,MATCH($C320,HistoricSummary!$A:$A,0),1)&lt;&gt;"",$E320*INDEX(HistoricSummary!E:E,MATCH($C320,HistoricSummary!$A:$A,0),1)+$G320,""),AND($B320&lt;&gt;"",$D320="COST",$G320&lt;0),$G320,TRUE,)</f>
        <v>-2.05</v>
      </c>
    </row>
    <row r="321">
      <c r="A321" s="184">
        <v>43691.0</v>
      </c>
      <c r="B321" s="229" t="s">
        <v>298</v>
      </c>
      <c r="C321" s="230" t="s">
        <v>299</v>
      </c>
      <c r="D321" s="231" t="s">
        <v>415</v>
      </c>
      <c r="E321" s="231">
        <v>-167.0</v>
      </c>
      <c r="F321" s="232">
        <v>4.878</v>
      </c>
      <c r="G321" s="233">
        <v>814.63</v>
      </c>
      <c r="H321" s="230" t="s">
        <v>722</v>
      </c>
      <c r="I321" s="235">
        <f t="array" ref="I321">IFS(AND($B321&lt;&gt;"",$E321&lt;&gt;""),IF(INDEX(HistoricSummary!D:D,MATCH($C321,HistoricSummary!$A:$A,0),1)&lt;&gt;"",$E321*INDEX(HistoricSummary!D:D,MATCH($C321,HistoricSummary!$A:$A,0),1)+$G321,""),AND($B321&lt;&gt;"",$D321="COST",$G321&lt;0),$G321,TRUE,)</f>
        <v>-11.1516</v>
      </c>
      <c r="J321" s="235">
        <f t="array" ref="J321">IFS(AND($B321&lt;&gt;"",$E321&lt;&gt;""),IF(INDEX(HistoricSummary!E:E,MATCH($C321,HistoricSummary!$A:$A,0),1)&lt;&gt;"",$E321*INDEX(HistoricSummary!E:E,MATCH($C321,HistoricSummary!$A:$A,0),1)+$G321,""),AND($B321&lt;&gt;"",$D321="COST",$G321&lt;0),$G321,TRUE,)</f>
        <v>-53.84443798</v>
      </c>
    </row>
    <row r="322">
      <c r="A322" s="184">
        <v>43691.0</v>
      </c>
      <c r="B322" s="229" t="s">
        <v>298</v>
      </c>
      <c r="C322" s="230" t="s">
        <v>299</v>
      </c>
      <c r="D322" s="231" t="s">
        <v>432</v>
      </c>
      <c r="E322" s="231"/>
      <c r="F322" s="232"/>
      <c r="G322" s="233">
        <v>-0.16</v>
      </c>
      <c r="H322" s="230" t="s">
        <v>723</v>
      </c>
      <c r="I322" s="235">
        <f t="array" ref="I322">IFS(AND($B322&lt;&gt;"",$E322&lt;&gt;""),IF(INDEX(HistoricSummary!D:D,MATCH($C322,HistoricSummary!$A:$A,0),1)&lt;&gt;"",$E322*INDEX(HistoricSummary!D:D,MATCH($C322,HistoricSummary!$A:$A,0),1)+$G322,""),AND($B322&lt;&gt;"",$D322="COST",$G322&lt;0),$G322,TRUE,)</f>
        <v>-0.16</v>
      </c>
      <c r="J322" s="235">
        <f t="array" ref="J322">IFS(AND($B322&lt;&gt;"",$E322&lt;&gt;""),IF(INDEX(HistoricSummary!E:E,MATCH($C322,HistoricSummary!$A:$A,0),1)&lt;&gt;"",$E322*INDEX(HistoricSummary!E:E,MATCH($C322,HistoricSummary!$A:$A,0),1)+$G322,""),AND($B322&lt;&gt;"",$D322="COST",$G322&lt;0),$G322,TRUE,)</f>
        <v>-0.16</v>
      </c>
    </row>
    <row r="323">
      <c r="A323" s="184">
        <v>43691.0</v>
      </c>
      <c r="B323" s="229" t="s">
        <v>298</v>
      </c>
      <c r="C323" s="230" t="s">
        <v>299</v>
      </c>
      <c r="D323" s="231" t="s">
        <v>415</v>
      </c>
      <c r="E323" s="231">
        <v>-100.0</v>
      </c>
      <c r="F323" s="232">
        <v>4.878</v>
      </c>
      <c r="G323" s="233">
        <v>487.8</v>
      </c>
      <c r="H323" s="230" t="s">
        <v>724</v>
      </c>
      <c r="I323" s="235">
        <f t="array" ref="I323">IFS(AND($B323&lt;&gt;"",$E323&lt;&gt;""),IF(INDEX(HistoricSummary!D:D,MATCH($C323,HistoricSummary!$A:$A,0),1)&lt;&gt;"",$E323*INDEX(HistoricSummary!D:D,MATCH($C323,HistoricSummary!$A:$A,0),1)+$G323,""),AND($B323&lt;&gt;"",$D323="COST",$G323&lt;0),$G323,TRUE,)</f>
        <v>-6.68</v>
      </c>
      <c r="J323" s="235">
        <f t="array" ref="J323">IFS(AND($B323&lt;&gt;"",$E323&lt;&gt;""),IF(INDEX(HistoricSummary!E:E,MATCH($C323,HistoricSummary!$A:$A,0),1)&lt;&gt;"",$E323*INDEX(HistoricSummary!E:E,MATCH($C323,HistoricSummary!$A:$A,0),1)+$G323,""),AND($B323&lt;&gt;"",$D323="COST",$G323&lt;0),$G323,TRUE,)</f>
        <v>-32.24457364</v>
      </c>
    </row>
    <row r="324">
      <c r="A324" s="184">
        <v>43691.0</v>
      </c>
      <c r="B324" s="229" t="s">
        <v>298</v>
      </c>
      <c r="C324" s="230" t="s">
        <v>299</v>
      </c>
      <c r="D324" s="231" t="s">
        <v>432</v>
      </c>
      <c r="E324" s="231"/>
      <c r="F324" s="232"/>
      <c r="G324" s="233">
        <v>-2.1</v>
      </c>
      <c r="H324" s="230" t="s">
        <v>713</v>
      </c>
      <c r="I324" s="235">
        <f t="array" ref="I324">IFS(AND($B324&lt;&gt;"",$E324&lt;&gt;""),IF(INDEX(HistoricSummary!D:D,MATCH($C324,HistoricSummary!$A:$A,0),1)&lt;&gt;"",$E324*INDEX(HistoricSummary!D:D,MATCH($C324,HistoricSummary!$A:$A,0),1)+$G324,""),AND($B324&lt;&gt;"",$D324="COST",$G324&lt;0),$G324,TRUE,)</f>
        <v>-2.1</v>
      </c>
      <c r="J324" s="235">
        <f t="array" ref="J324">IFS(AND($B324&lt;&gt;"",$E324&lt;&gt;""),IF(INDEX(HistoricSummary!E:E,MATCH($C324,HistoricSummary!$A:$A,0),1)&lt;&gt;"",$E324*INDEX(HistoricSummary!E:E,MATCH($C324,HistoricSummary!$A:$A,0),1)+$G324,""),AND($B324&lt;&gt;"",$D324="COST",$G324&lt;0),$G324,TRUE,)</f>
        <v>-2.1</v>
      </c>
    </row>
    <row r="325">
      <c r="A325" s="184">
        <v>43691.0</v>
      </c>
      <c r="B325" s="229" t="s">
        <v>298</v>
      </c>
      <c r="C325" s="230" t="s">
        <v>299</v>
      </c>
      <c r="D325" s="231" t="s">
        <v>415</v>
      </c>
      <c r="E325" s="231">
        <v>-589.0</v>
      </c>
      <c r="F325" s="232">
        <v>4.88</v>
      </c>
      <c r="G325" s="233">
        <v>2874.32</v>
      </c>
      <c r="H325" s="230" t="s">
        <v>725</v>
      </c>
      <c r="I325" s="235">
        <f t="array" ref="I325">IFS(AND($B325&lt;&gt;"",$E325&lt;&gt;""),IF(INDEX(HistoricSummary!D:D,MATCH($C325,HistoricSummary!$A:$A,0),1)&lt;&gt;"",$E325*INDEX(HistoricSummary!D:D,MATCH($C325,HistoricSummary!$A:$A,0),1)+$G325,""),AND($B325&lt;&gt;"",$D325="COST",$G325&lt;0),$G325,TRUE,)</f>
        <v>-38.1672</v>
      </c>
      <c r="J325" s="235">
        <f t="array" ref="J325">IFS(AND($B325&lt;&gt;"",$E325&lt;&gt;""),IF(INDEX(HistoricSummary!E:E,MATCH($C325,HistoricSummary!$A:$A,0),1)&lt;&gt;"",$E325*INDEX(HistoricSummary!E:E,MATCH($C325,HistoricSummary!$A:$A,0),1)+$G325,""),AND($B325&lt;&gt;"",$D325="COST",$G325&lt;0),$G325,TRUE,)</f>
        <v>-188.7425388</v>
      </c>
    </row>
    <row r="326">
      <c r="A326" s="184">
        <v>43691.0</v>
      </c>
      <c r="B326" s="229" t="s">
        <v>298</v>
      </c>
      <c r="C326" s="230" t="s">
        <v>299</v>
      </c>
      <c r="D326" s="231" t="s">
        <v>432</v>
      </c>
      <c r="E326" s="231"/>
      <c r="F326" s="232"/>
      <c r="G326" s="233">
        <v>-2.57</v>
      </c>
      <c r="H326" s="230" t="s">
        <v>726</v>
      </c>
      <c r="I326" s="235">
        <f t="array" ref="I326">IFS(AND($B326&lt;&gt;"",$E326&lt;&gt;""),IF(INDEX(HistoricSummary!D:D,MATCH($C326,HistoricSummary!$A:$A,0),1)&lt;&gt;"",$E326*INDEX(HistoricSummary!D:D,MATCH($C326,HistoricSummary!$A:$A,0),1)+$G326,""),AND($B326&lt;&gt;"",$D326="COST",$G326&lt;0),$G326,TRUE,)</f>
        <v>-2.57</v>
      </c>
      <c r="J326" s="235">
        <f t="array" ref="J326">IFS(AND($B326&lt;&gt;"",$E326&lt;&gt;""),IF(INDEX(HistoricSummary!E:E,MATCH($C326,HistoricSummary!$A:$A,0),1)&lt;&gt;"",$E326*INDEX(HistoricSummary!E:E,MATCH($C326,HistoricSummary!$A:$A,0),1)+$G326,""),AND($B326&lt;&gt;"",$D326="COST",$G326&lt;0),$G326,TRUE,)</f>
        <v>-2.57</v>
      </c>
    </row>
    <row r="327">
      <c r="A327" s="184">
        <v>43684.0</v>
      </c>
      <c r="B327" s="229" t="s">
        <v>298</v>
      </c>
      <c r="C327" s="230" t="s">
        <v>299</v>
      </c>
      <c r="D327" s="231" t="s">
        <v>415</v>
      </c>
      <c r="E327" s="231">
        <v>-211.0</v>
      </c>
      <c r="F327" s="232">
        <v>4.746</v>
      </c>
      <c r="G327" s="233">
        <v>1001.41</v>
      </c>
      <c r="H327" s="230" t="s">
        <v>727</v>
      </c>
      <c r="I327" s="235">
        <f t="array" ref="I327">IFS(AND($B327&lt;&gt;"",$E327&lt;&gt;""),IF(INDEX(HistoricSummary!D:D,MATCH($C327,HistoricSummary!$A:$A,0),1)&lt;&gt;"",$E327*INDEX(HistoricSummary!D:D,MATCH($C327,HistoricSummary!$A:$A,0),1)+$G327,""),AND($B327&lt;&gt;"",$D327="COST",$G327&lt;0),$G327,TRUE,)</f>
        <v>-41.9428</v>
      </c>
      <c r="J327" s="235">
        <f t="array" ref="J327">IFS(AND($B327&lt;&gt;"",$E327&lt;&gt;""),IF(INDEX(HistoricSummary!E:E,MATCH($C327,HistoricSummary!$A:$A,0),1)&lt;&gt;"",$E327*INDEX(HistoricSummary!E:E,MATCH($C327,HistoricSummary!$A:$A,0),1)+$G327,""),AND($B327&lt;&gt;"",$D327="COST",$G327&lt;0),$G327,TRUE,)</f>
        <v>-95.88405039</v>
      </c>
    </row>
    <row r="328">
      <c r="A328" s="184">
        <v>43684.0</v>
      </c>
      <c r="B328" s="229" t="s">
        <v>298</v>
      </c>
      <c r="C328" s="230" t="s">
        <v>299</v>
      </c>
      <c r="D328" s="231" t="s">
        <v>432</v>
      </c>
      <c r="E328" s="231"/>
      <c r="F328" s="232"/>
      <c r="G328" s="233">
        <v>-2.2</v>
      </c>
      <c r="H328" s="230" t="s">
        <v>704</v>
      </c>
      <c r="I328" s="235">
        <f t="array" ref="I328">IFS(AND($B328&lt;&gt;"",$E328&lt;&gt;""),IF(INDEX(HistoricSummary!D:D,MATCH($C328,HistoricSummary!$A:$A,0),1)&lt;&gt;"",$E328*INDEX(HistoricSummary!D:D,MATCH($C328,HistoricSummary!$A:$A,0),1)+$G328,""),AND($B328&lt;&gt;"",$D328="COST",$G328&lt;0),$G328,TRUE,)</f>
        <v>-2.2</v>
      </c>
      <c r="J328" s="235">
        <f t="array" ref="J328">IFS(AND($B328&lt;&gt;"",$E328&lt;&gt;""),IF(INDEX(HistoricSummary!E:E,MATCH($C328,HistoricSummary!$A:$A,0),1)&lt;&gt;"",$E328*INDEX(HistoricSummary!E:E,MATCH($C328,HistoricSummary!$A:$A,0),1)+$G328,""),AND($B328&lt;&gt;"",$D328="COST",$G328&lt;0),$G328,TRUE,)</f>
        <v>-2.2</v>
      </c>
    </row>
    <row r="329">
      <c r="A329" s="184">
        <v>43684.0</v>
      </c>
      <c r="B329" s="229" t="s">
        <v>298</v>
      </c>
      <c r="C329" s="230" t="s">
        <v>299</v>
      </c>
      <c r="D329" s="231" t="s">
        <v>415</v>
      </c>
      <c r="E329" s="231">
        <v>-212.0</v>
      </c>
      <c r="F329" s="232">
        <v>4.7519</v>
      </c>
      <c r="G329" s="233">
        <v>1007.42</v>
      </c>
      <c r="H329" s="230" t="s">
        <v>728</v>
      </c>
      <c r="I329" s="235">
        <f t="array" ref="I329">IFS(AND($B329&lt;&gt;"",$E329&lt;&gt;""),IF(INDEX(HistoricSummary!D:D,MATCH($C329,HistoricSummary!$A:$A,0),1)&lt;&gt;"",$E329*INDEX(HistoricSummary!D:D,MATCH($C329,HistoricSummary!$A:$A,0),1)+$G329,""),AND($B329&lt;&gt;"",$D329="COST",$G329&lt;0),$G329,TRUE,)</f>
        <v>-40.8776</v>
      </c>
      <c r="J329" s="235">
        <f t="array" ref="J329">IFS(AND($B329&lt;&gt;"",$E329&lt;&gt;""),IF(INDEX(HistoricSummary!E:E,MATCH($C329,HistoricSummary!$A:$A,0),1)&lt;&gt;"",$E329*INDEX(HistoricSummary!E:E,MATCH($C329,HistoricSummary!$A:$A,0),1)+$G329,""),AND($B329&lt;&gt;"",$D329="COST",$G329&lt;0),$G329,TRUE,)</f>
        <v>-95.07449612</v>
      </c>
    </row>
    <row r="330">
      <c r="A330" s="184">
        <v>43684.0</v>
      </c>
      <c r="B330" s="229" t="s">
        <v>298</v>
      </c>
      <c r="C330" s="230" t="s">
        <v>299</v>
      </c>
      <c r="D330" s="231" t="s">
        <v>432</v>
      </c>
      <c r="E330" s="231"/>
      <c r="F330" s="232"/>
      <c r="G330" s="233">
        <v>-2.2</v>
      </c>
      <c r="H330" s="230" t="s">
        <v>704</v>
      </c>
      <c r="I330" s="235">
        <f t="array" ref="I330">IFS(AND($B330&lt;&gt;"",$E330&lt;&gt;""),IF(INDEX(HistoricSummary!D:D,MATCH($C330,HistoricSummary!$A:$A,0),1)&lt;&gt;"",$E330*INDEX(HistoricSummary!D:D,MATCH($C330,HistoricSummary!$A:$A,0),1)+$G330,""),AND($B330&lt;&gt;"",$D330="COST",$G330&lt;0),$G330,TRUE,)</f>
        <v>-2.2</v>
      </c>
      <c r="J330" s="235">
        <f t="array" ref="J330">IFS(AND($B330&lt;&gt;"",$E330&lt;&gt;""),IF(INDEX(HistoricSummary!E:E,MATCH($C330,HistoricSummary!$A:$A,0),1)&lt;&gt;"",$E330*INDEX(HistoricSummary!E:E,MATCH($C330,HistoricSummary!$A:$A,0),1)+$G330,""),AND($B330&lt;&gt;"",$D330="COST",$G330&lt;0),$G330,TRUE,)</f>
        <v>-2.2</v>
      </c>
    </row>
    <row r="331">
      <c r="A331" s="184">
        <v>43684.0</v>
      </c>
      <c r="B331" s="229" t="s">
        <v>298</v>
      </c>
      <c r="C331" s="230" t="s">
        <v>299</v>
      </c>
      <c r="D331" s="231" t="s">
        <v>415</v>
      </c>
      <c r="E331" s="231">
        <v>-212.0</v>
      </c>
      <c r="F331" s="232">
        <v>4.7574</v>
      </c>
      <c r="G331" s="233">
        <v>1008.57</v>
      </c>
      <c r="H331" s="230" t="s">
        <v>729</v>
      </c>
      <c r="I331" s="235">
        <f t="array" ref="I331">IFS(AND($B331&lt;&gt;"",$E331&lt;&gt;""),IF(INDEX(HistoricSummary!D:D,MATCH($C331,HistoricSummary!$A:$A,0),1)&lt;&gt;"",$E331*INDEX(HistoricSummary!D:D,MATCH($C331,HistoricSummary!$A:$A,0),1)+$G331,""),AND($B331&lt;&gt;"",$D331="COST",$G331&lt;0),$G331,TRUE,)</f>
        <v>-39.7276</v>
      </c>
      <c r="J331" s="235">
        <f t="array" ref="J331">IFS(AND($B331&lt;&gt;"",$E331&lt;&gt;""),IF(INDEX(HistoricSummary!E:E,MATCH($C331,HistoricSummary!$A:$A,0),1)&lt;&gt;"",$E331*INDEX(HistoricSummary!E:E,MATCH($C331,HistoricSummary!$A:$A,0),1)+$G331,""),AND($B331&lt;&gt;"",$D331="COST",$G331&lt;0),$G331,TRUE,)</f>
        <v>-93.92449612</v>
      </c>
    </row>
    <row r="332">
      <c r="A332" s="184">
        <v>43684.0</v>
      </c>
      <c r="B332" s="229" t="s">
        <v>298</v>
      </c>
      <c r="C332" s="230" t="s">
        <v>299</v>
      </c>
      <c r="D332" s="231" t="s">
        <v>432</v>
      </c>
      <c r="E332" s="231"/>
      <c r="F332" s="232"/>
      <c r="G332" s="233">
        <v>-2.2</v>
      </c>
      <c r="H332" s="230" t="s">
        <v>704</v>
      </c>
      <c r="I332" s="235">
        <f t="array" ref="I332">IFS(AND($B332&lt;&gt;"",$E332&lt;&gt;""),IF(INDEX(HistoricSummary!D:D,MATCH($C332,HistoricSummary!$A:$A,0),1)&lt;&gt;"",$E332*INDEX(HistoricSummary!D:D,MATCH($C332,HistoricSummary!$A:$A,0),1)+$G332,""),AND($B332&lt;&gt;"",$D332="COST",$G332&lt;0),$G332,TRUE,)</f>
        <v>-2.2</v>
      </c>
      <c r="J332" s="235">
        <f t="array" ref="J332">IFS(AND($B332&lt;&gt;"",$E332&lt;&gt;""),IF(INDEX(HistoricSummary!E:E,MATCH($C332,HistoricSummary!$A:$A,0),1)&lt;&gt;"",$E332*INDEX(HistoricSummary!E:E,MATCH($C332,HistoricSummary!$A:$A,0),1)+$G332,""),AND($B332&lt;&gt;"",$D332="COST",$G332&lt;0),$G332,TRUE,)</f>
        <v>-2.2</v>
      </c>
    </row>
    <row r="333">
      <c r="A333" s="184">
        <v>43684.0</v>
      </c>
      <c r="B333" s="229" t="s">
        <v>288</v>
      </c>
      <c r="C333" s="230" t="s">
        <v>289</v>
      </c>
      <c r="D333" s="231" t="s">
        <v>415</v>
      </c>
      <c r="E333" s="231">
        <v>-8.0</v>
      </c>
      <c r="F333" s="232">
        <v>127.47</v>
      </c>
      <c r="G333" s="233">
        <v>1019.76</v>
      </c>
      <c r="H333" s="230" t="s">
        <v>730</v>
      </c>
      <c r="I333" s="235">
        <f t="array" ref="I333">IFS(AND($B333&lt;&gt;"",$E333&lt;&gt;""),IF(INDEX(HistoricSummary!D:D,MATCH($C333,HistoricSummary!$A:$A,0),1)&lt;&gt;"",$E333*INDEX(HistoricSummary!D:D,MATCH($C333,HistoricSummary!$A:$A,0),1)+$G333,""),AND($B333&lt;&gt;"",$D333="COST",$G333&lt;0),$G333,TRUE,)</f>
        <v>-182.48</v>
      </c>
      <c r="J333" s="235">
        <f t="array" ref="J333">IFS(AND($B333&lt;&gt;"",$E333&lt;&gt;""),IF(INDEX(HistoricSummary!E:E,MATCH($C333,HistoricSummary!$A:$A,0),1)&lt;&gt;"",$E333*INDEX(HistoricSummary!E:E,MATCH($C333,HistoricSummary!$A:$A,0),1)+$G333,""),AND($B333&lt;&gt;"",$D333="COST",$G333&lt;0),$G333,TRUE,)</f>
        <v>-137.311938</v>
      </c>
    </row>
    <row r="334">
      <c r="A334" s="184">
        <v>43684.0</v>
      </c>
      <c r="B334" s="229" t="s">
        <v>298</v>
      </c>
      <c r="C334" s="230" t="s">
        <v>299</v>
      </c>
      <c r="D334" s="231" t="s">
        <v>415</v>
      </c>
      <c r="E334" s="231">
        <v>-402.0</v>
      </c>
      <c r="F334" s="232">
        <v>4.7519</v>
      </c>
      <c r="G334" s="233">
        <v>1910.3</v>
      </c>
      <c r="H334" s="230" t="s">
        <v>731</v>
      </c>
      <c r="I334" s="235">
        <f t="array" ref="I334">IFS(AND($B334&lt;&gt;"",$E334&lt;&gt;""),IF(INDEX(HistoricSummary!D:D,MATCH($C334,HistoricSummary!$A:$A,0),1)&lt;&gt;"",$E334*INDEX(HistoricSummary!D:D,MATCH($C334,HistoricSummary!$A:$A,0),1)+$G334,""),AND($B334&lt;&gt;"",$D334="COST",$G334&lt;0),$G334,TRUE,)</f>
        <v>-77.5096</v>
      </c>
      <c r="J334" s="235">
        <f t="array" ref="J334">IFS(AND($B334&lt;&gt;"",$E334&lt;&gt;""),IF(INDEX(HistoricSummary!E:E,MATCH($C334,HistoricSummary!$A:$A,0),1)&lt;&gt;"",$E334*INDEX(HistoricSummary!E:E,MATCH($C334,HistoricSummary!$A:$A,0),1)+$G334,""),AND($B334&lt;&gt;"",$D334="COST",$G334&lt;0),$G334,TRUE,)</f>
        <v>-180.279186</v>
      </c>
    </row>
    <row r="335">
      <c r="A335" s="184">
        <v>43684.0</v>
      </c>
      <c r="B335" s="229" t="s">
        <v>298</v>
      </c>
      <c r="C335" s="230" t="s">
        <v>299</v>
      </c>
      <c r="D335" s="231" t="s">
        <v>432</v>
      </c>
      <c r="E335" s="231"/>
      <c r="F335" s="232"/>
      <c r="G335" s="233">
        <v>-2.38</v>
      </c>
      <c r="H335" s="230" t="s">
        <v>732</v>
      </c>
      <c r="I335" s="235">
        <f t="array" ref="I335">IFS(AND($B335&lt;&gt;"",$E335&lt;&gt;""),IF(INDEX(HistoricSummary!D:D,MATCH($C335,HistoricSummary!$A:$A,0),1)&lt;&gt;"",$E335*INDEX(HistoricSummary!D:D,MATCH($C335,HistoricSummary!$A:$A,0),1)+$G335,""),AND($B335&lt;&gt;"",$D335="COST",$G335&lt;0),$G335,TRUE,)</f>
        <v>-2.38</v>
      </c>
      <c r="J335" s="235">
        <f t="array" ref="J335">IFS(AND($B335&lt;&gt;"",$E335&lt;&gt;""),IF(INDEX(HistoricSummary!E:E,MATCH($C335,HistoricSummary!$A:$A,0),1)&lt;&gt;"",$E335*INDEX(HistoricSummary!E:E,MATCH($C335,HistoricSummary!$A:$A,0),1)+$G335,""),AND($B335&lt;&gt;"",$D335="COST",$G335&lt;0),$G335,TRUE,)</f>
        <v>-2.38</v>
      </c>
    </row>
    <row r="336">
      <c r="A336" s="184">
        <v>43684.0</v>
      </c>
      <c r="B336" s="229" t="s">
        <v>298</v>
      </c>
      <c r="C336" s="230" t="s">
        <v>299</v>
      </c>
      <c r="D336" s="231" t="s">
        <v>415</v>
      </c>
      <c r="E336" s="231">
        <v>-215.0</v>
      </c>
      <c r="F336" s="232">
        <v>4.74</v>
      </c>
      <c r="G336" s="233">
        <v>1019.1</v>
      </c>
      <c r="H336" s="230" t="s">
        <v>733</v>
      </c>
      <c r="I336" s="235">
        <f t="array" ref="I336">IFS(AND($B336&lt;&gt;"",$E336&lt;&gt;""),IF(INDEX(HistoricSummary!D:D,MATCH($C336,HistoricSummary!$A:$A,0),1)&lt;&gt;"",$E336*INDEX(HistoricSummary!D:D,MATCH($C336,HistoricSummary!$A:$A,0),1)+$G336,""),AND($B336&lt;&gt;"",$D336="COST",$G336&lt;0),$G336,TRUE,)</f>
        <v>-44.032</v>
      </c>
      <c r="J336" s="235">
        <f t="array" ref="J336">IFS(AND($B336&lt;&gt;"",$E336&lt;&gt;""),IF(INDEX(HistoricSummary!E:E,MATCH($C336,HistoricSummary!$A:$A,0),1)&lt;&gt;"",$E336*INDEX(HistoricSummary!E:E,MATCH($C336,HistoricSummary!$A:$A,0),1)+$G336,""),AND($B336&lt;&gt;"",$D336="COST",$G336&lt;0),$G336,TRUE,)</f>
        <v>-98.99583333</v>
      </c>
    </row>
    <row r="337">
      <c r="A337" s="184">
        <v>43684.0</v>
      </c>
      <c r="B337" s="229" t="s">
        <v>298</v>
      </c>
      <c r="C337" s="230" t="s">
        <v>299</v>
      </c>
      <c r="D337" s="231" t="s">
        <v>432</v>
      </c>
      <c r="E337" s="231"/>
      <c r="F337" s="232"/>
      <c r="G337" s="233">
        <v>-2.2</v>
      </c>
      <c r="H337" s="230" t="s">
        <v>704</v>
      </c>
      <c r="I337" s="235">
        <f t="array" ref="I337">IFS(AND($B337&lt;&gt;"",$E337&lt;&gt;""),IF(INDEX(HistoricSummary!D:D,MATCH($C337,HistoricSummary!$A:$A,0),1)&lt;&gt;"",$E337*INDEX(HistoricSummary!D:D,MATCH($C337,HistoricSummary!$A:$A,0),1)+$G337,""),AND($B337&lt;&gt;"",$D337="COST",$G337&lt;0),$G337,TRUE,)</f>
        <v>-2.2</v>
      </c>
      <c r="J337" s="235">
        <f t="array" ref="J337">IFS(AND($B337&lt;&gt;"",$E337&lt;&gt;""),IF(INDEX(HistoricSummary!E:E,MATCH($C337,HistoricSummary!$A:$A,0),1)&lt;&gt;"",$E337*INDEX(HistoricSummary!E:E,MATCH($C337,HistoricSummary!$A:$A,0),1)+$G337,""),AND($B337&lt;&gt;"",$D337="COST",$G337&lt;0),$G337,TRUE,)</f>
        <v>-2.2</v>
      </c>
    </row>
    <row r="338">
      <c r="A338" s="184">
        <v>43684.0</v>
      </c>
      <c r="B338" s="229" t="s">
        <v>288</v>
      </c>
      <c r="C338" s="230" t="s">
        <v>289</v>
      </c>
      <c r="D338" s="231" t="s">
        <v>415</v>
      </c>
      <c r="E338" s="231">
        <v>-8.0</v>
      </c>
      <c r="F338" s="232">
        <v>126.96</v>
      </c>
      <c r="G338" s="233">
        <v>1015.68</v>
      </c>
      <c r="H338" s="230" t="s">
        <v>734</v>
      </c>
      <c r="I338" s="235">
        <f t="array" ref="I338">IFS(AND($B338&lt;&gt;"",$E338&lt;&gt;""),IF(INDEX(HistoricSummary!D:D,MATCH($C338,HistoricSummary!$A:$A,0),1)&lt;&gt;"",$E338*INDEX(HistoricSummary!D:D,MATCH($C338,HistoricSummary!$A:$A,0),1)+$G338,""),AND($B338&lt;&gt;"",$D338="COST",$G338&lt;0),$G338,TRUE,)</f>
        <v>-186.56</v>
      </c>
      <c r="J338" s="235">
        <f t="array" ref="J338">IFS(AND($B338&lt;&gt;"",$E338&lt;&gt;""),IF(INDEX(HistoricSummary!E:E,MATCH($C338,HistoricSummary!$A:$A,0),1)&lt;&gt;"",$E338*INDEX(HistoricSummary!E:E,MATCH($C338,HistoricSummary!$A:$A,0),1)+$G338,""),AND($B338&lt;&gt;"",$D338="COST",$G338&lt;0),$G338,TRUE,)</f>
        <v>-141.391938</v>
      </c>
    </row>
    <row r="339">
      <c r="A339" s="184">
        <v>43684.0</v>
      </c>
      <c r="B339" s="229" t="s">
        <v>298</v>
      </c>
      <c r="C339" s="230" t="s">
        <v>299</v>
      </c>
      <c r="D339" s="231" t="s">
        <v>415</v>
      </c>
      <c r="E339" s="231">
        <v>-332.0</v>
      </c>
      <c r="F339" s="232">
        <v>4.7412</v>
      </c>
      <c r="G339" s="233">
        <v>1574.11</v>
      </c>
      <c r="H339" s="230" t="s">
        <v>735</v>
      </c>
      <c r="I339" s="235">
        <f t="array" ref="I339">IFS(AND($B339&lt;&gt;"",$E339&lt;&gt;""),IF(INDEX(HistoricSummary!D:D,MATCH($C339,HistoricSummary!$A:$A,0),1)&lt;&gt;"",$E339*INDEX(HistoricSummary!D:D,MATCH($C339,HistoricSummary!$A:$A,0),1)+$G339,""),AND($B339&lt;&gt;"",$D339="COST",$G339&lt;0),$G339,TRUE,)</f>
        <v>-67.5636</v>
      </c>
      <c r="J339" s="235">
        <f t="array" ref="J339">IFS(AND($B339&lt;&gt;"",$E339&lt;&gt;""),IF(INDEX(HistoricSummary!E:E,MATCH($C339,HistoricSummary!$A:$A,0),1)&lt;&gt;"",$E339*INDEX(HistoricSummary!E:E,MATCH($C339,HistoricSummary!$A:$A,0),1)+$G339,""),AND($B339&lt;&gt;"",$D339="COST",$G339&lt;0),$G339,TRUE,)</f>
        <v>-152.4379845</v>
      </c>
    </row>
    <row r="340">
      <c r="A340" s="184">
        <v>43684.0</v>
      </c>
      <c r="B340" s="229" t="s">
        <v>298</v>
      </c>
      <c r="C340" s="230" t="s">
        <v>299</v>
      </c>
      <c r="D340" s="231" t="s">
        <v>432</v>
      </c>
      <c r="E340" s="231"/>
      <c r="F340" s="232"/>
      <c r="G340" s="233">
        <v>-2.31</v>
      </c>
      <c r="H340" s="230" t="s">
        <v>736</v>
      </c>
      <c r="I340" s="235">
        <f t="array" ref="I340">IFS(AND($B340&lt;&gt;"",$E340&lt;&gt;""),IF(INDEX(HistoricSummary!D:D,MATCH($C340,HistoricSummary!$A:$A,0),1)&lt;&gt;"",$E340*INDEX(HistoricSummary!D:D,MATCH($C340,HistoricSummary!$A:$A,0),1)+$G340,""),AND($B340&lt;&gt;"",$D340="COST",$G340&lt;0),$G340,TRUE,)</f>
        <v>-2.31</v>
      </c>
      <c r="J340" s="235">
        <f t="array" ref="J340">IFS(AND($B340&lt;&gt;"",$E340&lt;&gt;""),IF(INDEX(HistoricSummary!E:E,MATCH($C340,HistoricSummary!$A:$A,0),1)&lt;&gt;"",$E340*INDEX(HistoricSummary!E:E,MATCH($C340,HistoricSummary!$A:$A,0),1)+$G340,""),AND($B340&lt;&gt;"",$D340="COST",$G340&lt;0),$G340,TRUE,)</f>
        <v>-2.31</v>
      </c>
    </row>
    <row r="341">
      <c r="A341" s="184">
        <v>43684.0</v>
      </c>
      <c r="B341" s="229" t="s">
        <v>298</v>
      </c>
      <c r="C341" s="230" t="s">
        <v>299</v>
      </c>
      <c r="D341" s="231" t="s">
        <v>415</v>
      </c>
      <c r="E341" s="231">
        <v>-213.0</v>
      </c>
      <c r="F341" s="232">
        <v>4.712</v>
      </c>
      <c r="G341" s="233">
        <v>1003.66</v>
      </c>
      <c r="H341" s="230" t="s">
        <v>737</v>
      </c>
      <c r="I341" s="235">
        <f t="array" ref="I341">IFS(AND($B341&lt;&gt;"",$E341&lt;&gt;""),IF(INDEX(HistoricSummary!D:D,MATCH($C341,HistoricSummary!$A:$A,0),1)&lt;&gt;"",$E341*INDEX(HistoricSummary!D:D,MATCH($C341,HistoricSummary!$A:$A,0),1)+$G341,""),AND($B341&lt;&gt;"",$D341="COST",$G341&lt;0),$G341,TRUE,)</f>
        <v>-49.5824</v>
      </c>
      <c r="J341" s="235">
        <f t="array" ref="J341">IFS(AND($B341&lt;&gt;"",$E341&lt;&gt;""),IF(INDEX(HistoricSummary!E:E,MATCH($C341,HistoricSummary!$A:$A,0),1)&lt;&gt;"",$E341*INDEX(HistoricSummary!E:E,MATCH($C341,HistoricSummary!$A:$A,0),1)+$G341,""),AND($B341&lt;&gt;"",$D341="COST",$G341&lt;0),$G341,TRUE,)</f>
        <v>-104.0349419</v>
      </c>
    </row>
    <row r="342">
      <c r="A342" s="184">
        <v>43684.0</v>
      </c>
      <c r="B342" s="229" t="s">
        <v>298</v>
      </c>
      <c r="C342" s="230" t="s">
        <v>299</v>
      </c>
      <c r="D342" s="231" t="s">
        <v>432</v>
      </c>
      <c r="E342" s="231"/>
      <c r="F342" s="232"/>
      <c r="G342" s="233">
        <v>-2.2</v>
      </c>
      <c r="H342" s="230" t="s">
        <v>704</v>
      </c>
      <c r="I342" s="235">
        <f t="array" ref="I342">IFS(AND($B342&lt;&gt;"",$E342&lt;&gt;""),IF(INDEX(HistoricSummary!D:D,MATCH($C342,HistoricSummary!$A:$A,0),1)&lt;&gt;"",$E342*INDEX(HistoricSummary!D:D,MATCH($C342,HistoricSummary!$A:$A,0),1)+$G342,""),AND($B342&lt;&gt;"",$D342="COST",$G342&lt;0),$G342,TRUE,)</f>
        <v>-2.2</v>
      </c>
      <c r="J342" s="235">
        <f t="array" ref="J342">IFS(AND($B342&lt;&gt;"",$E342&lt;&gt;""),IF(INDEX(HistoricSummary!E:E,MATCH($C342,HistoricSummary!$A:$A,0),1)&lt;&gt;"",$E342*INDEX(HistoricSummary!E:E,MATCH($C342,HistoricSummary!$A:$A,0),1)+$G342,""),AND($B342&lt;&gt;"",$D342="COST",$G342&lt;0),$G342,TRUE,)</f>
        <v>-2.2</v>
      </c>
    </row>
    <row r="343">
      <c r="A343" s="184">
        <v>43684.0</v>
      </c>
      <c r="B343" s="229" t="s">
        <v>298</v>
      </c>
      <c r="C343" s="230" t="s">
        <v>299</v>
      </c>
      <c r="D343" s="231" t="s">
        <v>415</v>
      </c>
      <c r="E343" s="231">
        <v>-213.0</v>
      </c>
      <c r="F343" s="232">
        <v>4.7072</v>
      </c>
      <c r="G343" s="233">
        <v>1002.65</v>
      </c>
      <c r="H343" s="230" t="s">
        <v>738</v>
      </c>
      <c r="I343" s="235">
        <f t="array" ref="I343">IFS(AND($B343&lt;&gt;"",$E343&lt;&gt;""),IF(INDEX(HistoricSummary!D:D,MATCH($C343,HistoricSummary!$A:$A,0),1)&lt;&gt;"",$E343*INDEX(HistoricSummary!D:D,MATCH($C343,HistoricSummary!$A:$A,0),1)+$G343,""),AND($B343&lt;&gt;"",$D343="COST",$G343&lt;0),$G343,TRUE,)</f>
        <v>-50.5924</v>
      </c>
      <c r="J343" s="235">
        <f t="array" ref="J343">IFS(AND($B343&lt;&gt;"",$E343&lt;&gt;""),IF(INDEX(HistoricSummary!E:E,MATCH($C343,HistoricSummary!$A:$A,0),1)&lt;&gt;"",$E343*INDEX(HistoricSummary!E:E,MATCH($C343,HistoricSummary!$A:$A,0),1)+$G343,""),AND($B343&lt;&gt;"",$D343="COST",$G343&lt;0),$G343,TRUE,)</f>
        <v>-105.0449419</v>
      </c>
    </row>
    <row r="344">
      <c r="A344" s="184">
        <v>43684.0</v>
      </c>
      <c r="B344" s="229" t="s">
        <v>298</v>
      </c>
      <c r="C344" s="230" t="s">
        <v>299</v>
      </c>
      <c r="D344" s="231" t="s">
        <v>432</v>
      </c>
      <c r="E344" s="231"/>
      <c r="F344" s="232"/>
      <c r="G344" s="233">
        <v>-2.2</v>
      </c>
      <c r="H344" s="230" t="s">
        <v>704</v>
      </c>
      <c r="I344" s="235">
        <f t="array" ref="I344">IFS(AND($B344&lt;&gt;"",$E344&lt;&gt;""),IF(INDEX(HistoricSummary!D:D,MATCH($C344,HistoricSummary!$A:$A,0),1)&lt;&gt;"",$E344*INDEX(HistoricSummary!D:D,MATCH($C344,HistoricSummary!$A:$A,0),1)+$G344,""),AND($B344&lt;&gt;"",$D344="COST",$G344&lt;0),$G344,TRUE,)</f>
        <v>-2.2</v>
      </c>
      <c r="J344" s="235">
        <f t="array" ref="J344">IFS(AND($B344&lt;&gt;"",$E344&lt;&gt;""),IF(INDEX(HistoricSummary!E:E,MATCH($C344,HistoricSummary!$A:$A,0),1)&lt;&gt;"",$E344*INDEX(HistoricSummary!E:E,MATCH($C344,HistoricSummary!$A:$A,0),1)+$G344,""),AND($B344&lt;&gt;"",$D344="COST",$G344&lt;0),$G344,TRUE,)</f>
        <v>-2.2</v>
      </c>
    </row>
    <row r="345">
      <c r="A345" s="184">
        <v>43684.0</v>
      </c>
      <c r="B345" s="229" t="s">
        <v>298</v>
      </c>
      <c r="C345" s="230" t="s">
        <v>299</v>
      </c>
      <c r="D345" s="231" t="s">
        <v>415</v>
      </c>
      <c r="E345" s="231">
        <v>-213.0</v>
      </c>
      <c r="F345" s="232">
        <v>4.7082</v>
      </c>
      <c r="G345" s="233">
        <v>1002.85</v>
      </c>
      <c r="H345" s="230" t="s">
        <v>739</v>
      </c>
      <c r="I345" s="235">
        <f t="array" ref="I345">IFS(AND($B345&lt;&gt;"",$E345&lt;&gt;""),IF(INDEX(HistoricSummary!D:D,MATCH($C345,HistoricSummary!$A:$A,0),1)&lt;&gt;"",$E345*INDEX(HistoricSummary!D:D,MATCH($C345,HistoricSummary!$A:$A,0),1)+$G345,""),AND($B345&lt;&gt;"",$D345="COST",$G345&lt;0),$G345,TRUE,)</f>
        <v>-50.3924</v>
      </c>
      <c r="J345" s="235">
        <f t="array" ref="J345">IFS(AND($B345&lt;&gt;"",$E345&lt;&gt;""),IF(INDEX(HistoricSummary!E:E,MATCH($C345,HistoricSummary!$A:$A,0),1)&lt;&gt;"",$E345*INDEX(HistoricSummary!E:E,MATCH($C345,HistoricSummary!$A:$A,0),1)+$G345,""),AND($B345&lt;&gt;"",$D345="COST",$G345&lt;0),$G345,TRUE,)</f>
        <v>-104.8449419</v>
      </c>
    </row>
    <row r="346">
      <c r="A346" s="184">
        <v>43684.0</v>
      </c>
      <c r="B346" s="229" t="s">
        <v>298</v>
      </c>
      <c r="C346" s="230" t="s">
        <v>299</v>
      </c>
      <c r="D346" s="231" t="s">
        <v>432</v>
      </c>
      <c r="E346" s="231"/>
      <c r="F346" s="232"/>
      <c r="G346" s="233">
        <v>-2.2</v>
      </c>
      <c r="H346" s="230" t="s">
        <v>704</v>
      </c>
      <c r="I346" s="235">
        <f t="array" ref="I346">IFS(AND($B346&lt;&gt;"",$E346&lt;&gt;""),IF(INDEX(HistoricSummary!D:D,MATCH($C346,HistoricSummary!$A:$A,0),1)&lt;&gt;"",$E346*INDEX(HistoricSummary!D:D,MATCH($C346,HistoricSummary!$A:$A,0),1)+$G346,""),AND($B346&lt;&gt;"",$D346="COST",$G346&lt;0),$G346,TRUE,)</f>
        <v>-2.2</v>
      </c>
      <c r="J346" s="235">
        <f t="array" ref="J346">IFS(AND($B346&lt;&gt;"",$E346&lt;&gt;""),IF(INDEX(HistoricSummary!E:E,MATCH($C346,HistoricSummary!$A:$A,0),1)&lt;&gt;"",$E346*INDEX(HistoricSummary!E:E,MATCH($C346,HistoricSummary!$A:$A,0),1)+$G346,""),AND($B346&lt;&gt;"",$D346="COST",$G346&lt;0),$G346,TRUE,)</f>
        <v>-2.2</v>
      </c>
    </row>
    <row r="347">
      <c r="A347" s="184">
        <v>43684.0</v>
      </c>
      <c r="B347" s="229" t="s">
        <v>298</v>
      </c>
      <c r="C347" s="230" t="s">
        <v>299</v>
      </c>
      <c r="D347" s="231" t="s">
        <v>415</v>
      </c>
      <c r="E347" s="231">
        <v>-213.0</v>
      </c>
      <c r="F347" s="232">
        <v>4.704</v>
      </c>
      <c r="G347" s="233">
        <v>1001.97</v>
      </c>
      <c r="H347" s="230" t="s">
        <v>740</v>
      </c>
      <c r="I347" s="235">
        <f t="array" ref="I347">IFS(AND($B347&lt;&gt;"",$E347&lt;&gt;""),IF(INDEX(HistoricSummary!D:D,MATCH($C347,HistoricSummary!$A:$A,0),1)&lt;&gt;"",$E347*INDEX(HistoricSummary!D:D,MATCH($C347,HistoricSummary!$A:$A,0),1)+$G347,""),AND($B347&lt;&gt;"",$D347="COST",$G347&lt;0),$G347,TRUE,)</f>
        <v>-51.2724</v>
      </c>
      <c r="J347" s="235">
        <f t="array" ref="J347">IFS(AND($B347&lt;&gt;"",$E347&lt;&gt;""),IF(INDEX(HistoricSummary!E:E,MATCH($C347,HistoricSummary!$A:$A,0),1)&lt;&gt;"",$E347*INDEX(HistoricSummary!E:E,MATCH($C347,HistoricSummary!$A:$A,0),1)+$G347,""),AND($B347&lt;&gt;"",$D347="COST",$G347&lt;0),$G347,TRUE,)</f>
        <v>-105.7249419</v>
      </c>
    </row>
    <row r="348">
      <c r="A348" s="184">
        <v>43684.0</v>
      </c>
      <c r="B348" s="229" t="s">
        <v>298</v>
      </c>
      <c r="C348" s="230" t="s">
        <v>299</v>
      </c>
      <c r="D348" s="231" t="s">
        <v>432</v>
      </c>
      <c r="E348" s="231"/>
      <c r="F348" s="232"/>
      <c r="G348" s="233">
        <v>-2.2</v>
      </c>
      <c r="H348" s="230" t="s">
        <v>704</v>
      </c>
      <c r="I348" s="235">
        <f t="array" ref="I348">IFS(AND($B348&lt;&gt;"",$E348&lt;&gt;""),IF(INDEX(HistoricSummary!D:D,MATCH($C348,HistoricSummary!$A:$A,0),1)&lt;&gt;"",$E348*INDEX(HistoricSummary!D:D,MATCH($C348,HistoricSummary!$A:$A,0),1)+$G348,""),AND($B348&lt;&gt;"",$D348="COST",$G348&lt;0),$G348,TRUE,)</f>
        <v>-2.2</v>
      </c>
      <c r="J348" s="235">
        <f t="array" ref="J348">IFS(AND($B348&lt;&gt;"",$E348&lt;&gt;""),IF(INDEX(HistoricSummary!E:E,MATCH($C348,HistoricSummary!$A:$A,0),1)&lt;&gt;"",$E348*INDEX(HistoricSummary!E:E,MATCH($C348,HistoricSummary!$A:$A,0),1)+$G348,""),AND($B348&lt;&gt;"",$D348="COST",$G348&lt;0),$G348,TRUE,)</f>
        <v>-2.2</v>
      </c>
    </row>
    <row r="349">
      <c r="A349" s="184">
        <v>43682.0</v>
      </c>
      <c r="B349" s="229" t="s">
        <v>298</v>
      </c>
      <c r="C349" s="230" t="s">
        <v>299</v>
      </c>
      <c r="D349" s="231" t="s">
        <v>415</v>
      </c>
      <c r="E349" s="231">
        <v>-435.0</v>
      </c>
      <c r="F349" s="232">
        <v>4.653</v>
      </c>
      <c r="G349" s="233">
        <v>2023.97</v>
      </c>
      <c r="H349" s="230" t="s">
        <v>741</v>
      </c>
      <c r="I349" s="235">
        <f t="array" ref="I349">IFS(AND($B349&lt;&gt;"",$E349&lt;&gt;""),IF(INDEX(HistoricSummary!D:D,MATCH($C349,HistoricSummary!$A:$A,0),1)&lt;&gt;"",$E349*INDEX(HistoricSummary!D:D,MATCH($C349,HistoricSummary!$A:$A,0),1)+$G349,""),AND($B349&lt;&gt;"",$D349="COST",$G349&lt;0),$G349,TRUE,)</f>
        <v>-127.018</v>
      </c>
      <c r="J349" s="235">
        <f t="array" ref="J349">IFS(AND($B349&lt;&gt;"",$E349&lt;&gt;""),IF(INDEX(HistoricSummary!E:E,MATCH($C349,HistoricSummary!$A:$A,0),1)&lt;&gt;"",$E349*INDEX(HistoricSummary!E:E,MATCH($C349,HistoricSummary!$A:$A,0),1)+$G349,""),AND($B349&lt;&gt;"",$D349="COST",$G349&lt;0),$G349,TRUE,)</f>
        <v>-238.2238953</v>
      </c>
    </row>
    <row r="350">
      <c r="A350" s="184">
        <v>43682.0</v>
      </c>
      <c r="B350" s="229" t="s">
        <v>298</v>
      </c>
      <c r="C350" s="230" t="s">
        <v>299</v>
      </c>
      <c r="D350" s="231" t="s">
        <v>432</v>
      </c>
      <c r="E350" s="231"/>
      <c r="F350" s="232"/>
      <c r="G350" s="233">
        <v>-2.41</v>
      </c>
      <c r="H350" s="230" t="s">
        <v>742</v>
      </c>
      <c r="I350" s="235">
        <f t="array" ref="I350">IFS(AND($B350&lt;&gt;"",$E350&lt;&gt;""),IF(INDEX(HistoricSummary!D:D,MATCH($C350,HistoricSummary!$A:$A,0),1)&lt;&gt;"",$E350*INDEX(HistoricSummary!D:D,MATCH($C350,HistoricSummary!$A:$A,0),1)+$G350,""),AND($B350&lt;&gt;"",$D350="COST",$G350&lt;0),$G350,TRUE,)</f>
        <v>-2.41</v>
      </c>
      <c r="J350" s="235">
        <f t="array" ref="J350">IFS(AND($B350&lt;&gt;"",$E350&lt;&gt;""),IF(INDEX(HistoricSummary!E:E,MATCH($C350,HistoricSummary!$A:$A,0),1)&lt;&gt;"",$E350*INDEX(HistoricSummary!E:E,MATCH($C350,HistoricSummary!$A:$A,0),1)+$G350,""),AND($B350&lt;&gt;"",$D350="COST",$G350&lt;0),$G350,TRUE,)</f>
        <v>-2.41</v>
      </c>
    </row>
    <row r="351">
      <c r="A351" s="184">
        <v>43682.0</v>
      </c>
      <c r="B351" s="229" t="s">
        <v>288</v>
      </c>
      <c r="C351" s="230" t="s">
        <v>289</v>
      </c>
      <c r="D351" s="231" t="s">
        <v>415</v>
      </c>
      <c r="E351" s="231">
        <v>-9.0</v>
      </c>
      <c r="F351" s="232">
        <v>124.85</v>
      </c>
      <c r="G351" s="233">
        <v>1123.65</v>
      </c>
      <c r="H351" s="230" t="s">
        <v>743</v>
      </c>
      <c r="I351" s="235">
        <f t="array" ref="I351">IFS(AND($B351&lt;&gt;"",$E351&lt;&gt;""),IF(INDEX(HistoricSummary!D:D,MATCH($C351,HistoricSummary!$A:$A,0),1)&lt;&gt;"",$E351*INDEX(HistoricSummary!D:D,MATCH($C351,HistoricSummary!$A:$A,0),1)+$G351,""),AND($B351&lt;&gt;"",$D351="COST",$G351&lt;0),$G351,TRUE,)</f>
        <v>-228.87</v>
      </c>
      <c r="J351" s="235">
        <f t="array" ref="J351">IFS(AND($B351&lt;&gt;"",$E351&lt;&gt;""),IF(INDEX(HistoricSummary!E:E,MATCH($C351,HistoricSummary!$A:$A,0),1)&lt;&gt;"",$E351*INDEX(HistoricSummary!E:E,MATCH($C351,HistoricSummary!$A:$A,0),1)+$G351,""),AND($B351&lt;&gt;"",$D351="COST",$G351&lt;0),$G351,TRUE,)</f>
        <v>-178.0559302</v>
      </c>
    </row>
    <row r="352">
      <c r="A352" s="184">
        <v>43682.0</v>
      </c>
      <c r="B352" s="229" t="s">
        <v>288</v>
      </c>
      <c r="C352" s="230" t="s">
        <v>289</v>
      </c>
      <c r="D352" s="231" t="s">
        <v>415</v>
      </c>
      <c r="E352" s="231">
        <v>-9.0</v>
      </c>
      <c r="F352" s="232">
        <v>124.71</v>
      </c>
      <c r="G352" s="233">
        <v>1122.39</v>
      </c>
      <c r="H352" s="230" t="s">
        <v>744</v>
      </c>
      <c r="I352" s="235">
        <f t="array" ref="I352">IFS(AND($B352&lt;&gt;"",$E352&lt;&gt;""),IF(INDEX(HistoricSummary!D:D,MATCH($C352,HistoricSummary!$A:$A,0),1)&lt;&gt;"",$E352*INDEX(HistoricSummary!D:D,MATCH($C352,HistoricSummary!$A:$A,0),1)+$G352,""),AND($B352&lt;&gt;"",$D352="COST",$G352&lt;0),$G352,TRUE,)</f>
        <v>-230.13</v>
      </c>
      <c r="J352" s="235">
        <f t="array" ref="J352">IFS(AND($B352&lt;&gt;"",$E352&lt;&gt;""),IF(INDEX(HistoricSummary!E:E,MATCH($C352,HistoricSummary!$A:$A,0),1)&lt;&gt;"",$E352*INDEX(HistoricSummary!E:E,MATCH($C352,HistoricSummary!$A:$A,0),1)+$G352,""),AND($B352&lt;&gt;"",$D352="COST",$G352&lt;0),$G352,TRUE,)</f>
        <v>-179.3159302</v>
      </c>
    </row>
    <row r="353">
      <c r="A353" s="184">
        <v>43682.0</v>
      </c>
      <c r="B353" s="229" t="s">
        <v>288</v>
      </c>
      <c r="C353" s="230" t="s">
        <v>289</v>
      </c>
      <c r="D353" s="231" t="s">
        <v>415</v>
      </c>
      <c r="E353" s="231">
        <v>-9.0</v>
      </c>
      <c r="F353" s="232">
        <v>124.71</v>
      </c>
      <c r="G353" s="233">
        <v>1122.39</v>
      </c>
      <c r="H353" s="230" t="s">
        <v>744</v>
      </c>
      <c r="I353" s="235">
        <f t="array" ref="I353">IFS(AND($B353&lt;&gt;"",$E353&lt;&gt;""),IF(INDEX(HistoricSummary!D:D,MATCH($C353,HistoricSummary!$A:$A,0),1)&lt;&gt;"",$E353*INDEX(HistoricSummary!D:D,MATCH($C353,HistoricSummary!$A:$A,0),1)+$G353,""),AND($B353&lt;&gt;"",$D353="COST",$G353&lt;0),$G353,TRUE,)</f>
        <v>-230.13</v>
      </c>
      <c r="J353" s="235">
        <f t="array" ref="J353">IFS(AND($B353&lt;&gt;"",$E353&lt;&gt;""),IF(INDEX(HistoricSummary!E:E,MATCH($C353,HistoricSummary!$A:$A,0),1)&lt;&gt;"",$E353*INDEX(HistoricSummary!E:E,MATCH($C353,HistoricSummary!$A:$A,0),1)+$G353,""),AND($B353&lt;&gt;"",$D353="COST",$G353&lt;0),$G353,TRUE,)</f>
        <v>-179.3159302</v>
      </c>
    </row>
    <row r="354">
      <c r="A354" s="184">
        <v>43682.0</v>
      </c>
      <c r="B354" s="229" t="s">
        <v>298</v>
      </c>
      <c r="C354" s="230" t="s">
        <v>299</v>
      </c>
      <c r="D354" s="231" t="s">
        <v>415</v>
      </c>
      <c r="E354" s="231">
        <v>-223.0</v>
      </c>
      <c r="F354" s="232">
        <v>4.656</v>
      </c>
      <c r="G354" s="233">
        <v>1038.29</v>
      </c>
      <c r="H354" s="230" t="s">
        <v>745</v>
      </c>
      <c r="I354" s="235">
        <f t="array" ref="I354">IFS(AND($B354&lt;&gt;"",$E354&lt;&gt;""),IF(INDEX(HistoricSummary!D:D,MATCH($C354,HistoricSummary!$A:$A,0),1)&lt;&gt;"",$E354*INDEX(HistoricSummary!D:D,MATCH($C354,HistoricSummary!$A:$A,0),1)+$G354,""),AND($B354&lt;&gt;"",$D354="COST",$G354&lt;0),$G354,TRUE,)</f>
        <v>-64.4004</v>
      </c>
      <c r="J354" s="235">
        <f t="array" ref="J354">IFS(AND($B354&lt;&gt;"",$E354&lt;&gt;""),IF(INDEX(HistoricSummary!E:E,MATCH($C354,HistoricSummary!$A:$A,0),1)&lt;&gt;"",$E354*INDEX(HistoricSummary!E:E,MATCH($C354,HistoricSummary!$A:$A,0),1)+$G354,""),AND($B354&lt;&gt;"",$D354="COST",$G354&lt;0),$G354,TRUE,)</f>
        <v>-121.4093992</v>
      </c>
    </row>
    <row r="355">
      <c r="A355" s="184">
        <v>43682.0</v>
      </c>
      <c r="B355" s="229" t="s">
        <v>298</v>
      </c>
      <c r="C355" s="230" t="s">
        <v>299</v>
      </c>
      <c r="D355" s="231" t="s">
        <v>432</v>
      </c>
      <c r="E355" s="231"/>
      <c r="F355" s="232"/>
      <c r="G355" s="233">
        <v>-2.21</v>
      </c>
      <c r="H355" s="230" t="s">
        <v>746</v>
      </c>
      <c r="I355" s="235">
        <f t="array" ref="I355">IFS(AND($B355&lt;&gt;"",$E355&lt;&gt;""),IF(INDEX(HistoricSummary!D:D,MATCH($C355,HistoricSummary!$A:$A,0),1)&lt;&gt;"",$E355*INDEX(HistoricSummary!D:D,MATCH($C355,HistoricSummary!$A:$A,0),1)+$G355,""),AND($B355&lt;&gt;"",$D355="COST",$G355&lt;0),$G355,TRUE,)</f>
        <v>-2.21</v>
      </c>
      <c r="J355" s="235">
        <f t="array" ref="J355">IFS(AND($B355&lt;&gt;"",$E355&lt;&gt;""),IF(INDEX(HistoricSummary!E:E,MATCH($C355,HistoricSummary!$A:$A,0),1)&lt;&gt;"",$E355*INDEX(HistoricSummary!E:E,MATCH($C355,HistoricSummary!$A:$A,0),1)+$G355,""),AND($B355&lt;&gt;"",$D355="COST",$G355&lt;0),$G355,TRUE,)</f>
        <v>-2.21</v>
      </c>
    </row>
    <row r="356">
      <c r="A356" s="184">
        <v>43682.0</v>
      </c>
      <c r="B356" s="229" t="s">
        <v>298</v>
      </c>
      <c r="C356" s="230" t="s">
        <v>299</v>
      </c>
      <c r="D356" s="231" t="s">
        <v>415</v>
      </c>
      <c r="E356" s="231">
        <v>-219.0</v>
      </c>
      <c r="F356" s="232">
        <v>4.651</v>
      </c>
      <c r="G356" s="233">
        <v>1018.57</v>
      </c>
      <c r="H356" s="230" t="s">
        <v>747</v>
      </c>
      <c r="I356" s="235">
        <f t="array" ref="I356">IFS(AND($B356&lt;&gt;"",$E356&lt;&gt;""),IF(INDEX(HistoricSummary!D:D,MATCH($C356,HistoricSummary!$A:$A,0),1)&lt;&gt;"",$E356*INDEX(HistoricSummary!D:D,MATCH($C356,HistoricSummary!$A:$A,0),1)+$G356,""),AND($B356&lt;&gt;"",$D356="COST",$G356&lt;0),$G356,TRUE,)</f>
        <v>-64.3412</v>
      </c>
      <c r="J356" s="235">
        <f t="array" ref="J356">IFS(AND($B356&lt;&gt;"",$E356&lt;&gt;""),IF(INDEX(HistoricSummary!E:E,MATCH($C356,HistoricSummary!$A:$A,0),1)&lt;&gt;"",$E356*INDEX(HistoricSummary!E:E,MATCH($C356,HistoricSummary!$A:$A,0),1)+$G356,""),AND($B356&lt;&gt;"",$D356="COST",$G356&lt;0),$G356,TRUE,)</f>
        <v>-120.3276163</v>
      </c>
    </row>
    <row r="357">
      <c r="A357" s="184">
        <v>43682.0</v>
      </c>
      <c r="B357" s="229" t="s">
        <v>298</v>
      </c>
      <c r="C357" s="230" t="s">
        <v>299</v>
      </c>
      <c r="D357" s="231" t="s">
        <v>432</v>
      </c>
      <c r="E357" s="231"/>
      <c r="F357" s="232"/>
      <c r="G357" s="233">
        <v>-2.2</v>
      </c>
      <c r="H357" s="230" t="s">
        <v>704</v>
      </c>
      <c r="I357" s="235">
        <f t="array" ref="I357">IFS(AND($B357&lt;&gt;"",$E357&lt;&gt;""),IF(INDEX(HistoricSummary!D:D,MATCH($C357,HistoricSummary!$A:$A,0),1)&lt;&gt;"",$E357*INDEX(HistoricSummary!D:D,MATCH($C357,HistoricSummary!$A:$A,0),1)+$G357,""),AND($B357&lt;&gt;"",$D357="COST",$G357&lt;0),$G357,TRUE,)</f>
        <v>-2.2</v>
      </c>
      <c r="J357" s="235">
        <f t="array" ref="J357">IFS(AND($B357&lt;&gt;"",$E357&lt;&gt;""),IF(INDEX(HistoricSummary!E:E,MATCH($C357,HistoricSummary!$A:$A,0),1)&lt;&gt;"",$E357*INDEX(HistoricSummary!E:E,MATCH($C357,HistoricSummary!$A:$A,0),1)+$G357,""),AND($B357&lt;&gt;"",$D357="COST",$G357&lt;0),$G357,TRUE,)</f>
        <v>-2.2</v>
      </c>
    </row>
    <row r="358">
      <c r="A358" s="184">
        <v>43682.0</v>
      </c>
      <c r="B358" s="229" t="s">
        <v>298</v>
      </c>
      <c r="C358" s="230" t="s">
        <v>299</v>
      </c>
      <c r="D358" s="231" t="s">
        <v>415</v>
      </c>
      <c r="E358" s="231">
        <v>-794.0</v>
      </c>
      <c r="F358" s="232">
        <v>4.6528</v>
      </c>
      <c r="G358" s="233">
        <v>3694.4</v>
      </c>
      <c r="H358" s="230" t="s">
        <v>748</v>
      </c>
      <c r="I358" s="235">
        <f t="array" ref="I358">IFS(AND($B358&lt;&gt;"",$E358&lt;&gt;""),IF(INDEX(HistoricSummary!D:D,MATCH($C358,HistoricSummary!$A:$A,0),1)&lt;&gt;"",$E358*INDEX(HistoricSummary!D:D,MATCH($C358,HistoricSummary!$A:$A,0),1)+$G358,""),AND($B358&lt;&gt;"",$D358="COST",$G358&lt;0),$G358,TRUE,)</f>
        <v>-231.7712</v>
      </c>
      <c r="J358" s="235">
        <f t="array" ref="J358">IFS(AND($B358&lt;&gt;"",$E358&lt;&gt;""),IF(INDEX(HistoricSummary!E:E,MATCH($C358,HistoricSummary!$A:$A,0),1)&lt;&gt;"",$E358*INDEX(HistoricSummary!E:E,MATCH($C358,HistoricSummary!$A:$A,0),1)+$G358,""),AND($B358&lt;&gt;"",$D358="COST",$G358&lt;0),$G358,TRUE,)</f>
        <v>-434.7539147</v>
      </c>
    </row>
    <row r="359">
      <c r="A359" s="184">
        <v>43682.0</v>
      </c>
      <c r="B359" s="229" t="s">
        <v>298</v>
      </c>
      <c r="C359" s="230" t="s">
        <v>299</v>
      </c>
      <c r="D359" s="231" t="s">
        <v>432</v>
      </c>
      <c r="E359" s="231"/>
      <c r="F359" s="232"/>
      <c r="G359" s="233">
        <v>-2.74</v>
      </c>
      <c r="H359" s="230" t="s">
        <v>749</v>
      </c>
      <c r="I359" s="235">
        <f t="array" ref="I359">IFS(AND($B359&lt;&gt;"",$E359&lt;&gt;""),IF(INDEX(HistoricSummary!D:D,MATCH($C359,HistoricSummary!$A:$A,0),1)&lt;&gt;"",$E359*INDEX(HistoricSummary!D:D,MATCH($C359,HistoricSummary!$A:$A,0),1)+$G359,""),AND($B359&lt;&gt;"",$D359="COST",$G359&lt;0),$G359,TRUE,)</f>
        <v>-2.74</v>
      </c>
      <c r="J359" s="235">
        <f t="array" ref="J359">IFS(AND($B359&lt;&gt;"",$E359&lt;&gt;""),IF(INDEX(HistoricSummary!E:E,MATCH($C359,HistoricSummary!$A:$A,0),1)&lt;&gt;"",$E359*INDEX(HistoricSummary!E:E,MATCH($C359,HistoricSummary!$A:$A,0),1)+$G359,""),AND($B359&lt;&gt;"",$D359="COST",$G359&lt;0),$G359,TRUE,)</f>
        <v>-2.74</v>
      </c>
    </row>
    <row r="360">
      <c r="A360" s="184">
        <v>43679.0</v>
      </c>
      <c r="B360" s="229" t="s">
        <v>292</v>
      </c>
      <c r="C360" s="230" t="s">
        <v>293</v>
      </c>
      <c r="D360" s="231" t="s">
        <v>415</v>
      </c>
      <c r="E360" s="231">
        <v>-7.0</v>
      </c>
      <c r="F360" s="232">
        <v>184.8</v>
      </c>
      <c r="G360" s="233">
        <v>1293.6</v>
      </c>
      <c r="H360" s="230" t="s">
        <v>750</v>
      </c>
      <c r="I360" s="235">
        <f t="array" ref="I360">IFS(AND($B360&lt;&gt;"",$E360&lt;&gt;""),IF(INDEX(HistoricSummary!D:D,MATCH($C360,HistoricSummary!$A:$A,0),1)&lt;&gt;"",$E360*INDEX(HistoricSummary!D:D,MATCH($C360,HistoricSummary!$A:$A,0),1)+$G360,""),AND($B360&lt;&gt;"",$D360="COST",$G360&lt;0),$G360,TRUE,)</f>
        <v>-11.62</v>
      </c>
      <c r="J360" s="235">
        <f t="array" ref="J360">IFS(AND($B360&lt;&gt;"",$E360&lt;&gt;""),IF(INDEX(HistoricSummary!E:E,MATCH($C360,HistoricSummary!$A:$A,0),1)&lt;&gt;"",$E360*INDEX(HistoricSummary!E:E,MATCH($C360,HistoricSummary!$A:$A,0),1)+$G360,""),AND($B360&lt;&gt;"",$D360="COST",$G360&lt;0),$G360,TRUE,)</f>
        <v>-56.62782946</v>
      </c>
    </row>
    <row r="361">
      <c r="A361" s="184">
        <v>43679.0</v>
      </c>
      <c r="B361" s="229" t="s">
        <v>298</v>
      </c>
      <c r="C361" s="230" t="s">
        <v>299</v>
      </c>
      <c r="D361" s="231" t="s">
        <v>415</v>
      </c>
      <c r="E361" s="231">
        <v>-493.0</v>
      </c>
      <c r="F361" s="232">
        <v>4.611</v>
      </c>
      <c r="G361" s="233">
        <v>2273.22</v>
      </c>
      <c r="H361" s="230" t="s">
        <v>751</v>
      </c>
      <c r="I361" s="235">
        <f t="array" ref="I361">IFS(AND($B361&lt;&gt;"",$E361&lt;&gt;""),IF(INDEX(HistoricSummary!D:D,MATCH($C361,HistoricSummary!$A:$A,0),1)&lt;&gt;"",$E361*INDEX(HistoricSummary!D:D,MATCH($C361,HistoricSummary!$A:$A,0),1)+$G361,""),AND($B361&lt;&gt;"",$D361="COST",$G361&lt;0),$G361,TRUE,)</f>
        <v>-164.5664</v>
      </c>
      <c r="J361" s="235">
        <f t="array" ref="J361">IFS(AND($B361&lt;&gt;"",$E361&lt;&gt;""),IF(INDEX(HistoricSummary!E:E,MATCH($C361,HistoricSummary!$A:$A,0),1)&lt;&gt;"",$E361*INDEX(HistoricSummary!E:E,MATCH($C361,HistoricSummary!$A:$A,0),1)+$G361,""),AND($B361&lt;&gt;"",$D361="COST",$G361&lt;0),$G361,TRUE,)</f>
        <v>-290.5997481</v>
      </c>
    </row>
    <row r="362">
      <c r="A362" s="184">
        <v>43679.0</v>
      </c>
      <c r="B362" s="229" t="s">
        <v>298</v>
      </c>
      <c r="C362" s="230" t="s">
        <v>299</v>
      </c>
      <c r="D362" s="231" t="s">
        <v>432</v>
      </c>
      <c r="E362" s="231"/>
      <c r="F362" s="232"/>
      <c r="G362" s="233">
        <v>-2.45</v>
      </c>
      <c r="H362" s="230" t="s">
        <v>752</v>
      </c>
      <c r="I362" s="235">
        <f t="array" ref="I362">IFS(AND($B362&lt;&gt;"",$E362&lt;&gt;""),IF(INDEX(HistoricSummary!D:D,MATCH($C362,HistoricSummary!$A:$A,0),1)&lt;&gt;"",$E362*INDEX(HistoricSummary!D:D,MATCH($C362,HistoricSummary!$A:$A,0),1)+$G362,""),AND($B362&lt;&gt;"",$D362="COST",$G362&lt;0),$G362,TRUE,)</f>
        <v>-2.45</v>
      </c>
      <c r="J362" s="235">
        <f t="array" ref="J362">IFS(AND($B362&lt;&gt;"",$E362&lt;&gt;""),IF(INDEX(HistoricSummary!E:E,MATCH($C362,HistoricSummary!$A:$A,0),1)&lt;&gt;"",$E362*INDEX(HistoricSummary!E:E,MATCH($C362,HistoricSummary!$A:$A,0),1)+$G362,""),AND($B362&lt;&gt;"",$D362="COST",$G362&lt;0),$G362,TRUE,)</f>
        <v>-2.45</v>
      </c>
    </row>
    <row r="363">
      <c r="A363" s="184">
        <v>43679.0</v>
      </c>
      <c r="B363" s="229" t="s">
        <v>288</v>
      </c>
      <c r="C363" s="230" t="s">
        <v>289</v>
      </c>
      <c r="D363" s="231" t="s">
        <v>415</v>
      </c>
      <c r="E363" s="231">
        <v>-9.0</v>
      </c>
      <c r="F363" s="232">
        <v>123.9</v>
      </c>
      <c r="G363" s="233">
        <v>1115.1</v>
      </c>
      <c r="H363" s="230" t="s">
        <v>753</v>
      </c>
      <c r="I363" s="235">
        <f t="array" ref="I363">IFS(AND($B363&lt;&gt;"",$E363&lt;&gt;""),IF(INDEX(HistoricSummary!D:D,MATCH($C363,HistoricSummary!$A:$A,0),1)&lt;&gt;"",$E363*INDEX(HistoricSummary!D:D,MATCH($C363,HistoricSummary!$A:$A,0),1)+$G363,""),AND($B363&lt;&gt;"",$D363="COST",$G363&lt;0),$G363,TRUE,)</f>
        <v>-237.42</v>
      </c>
      <c r="J363" s="235">
        <f t="array" ref="J363">IFS(AND($B363&lt;&gt;"",$E363&lt;&gt;""),IF(INDEX(HistoricSummary!E:E,MATCH($C363,HistoricSummary!$A:$A,0),1)&lt;&gt;"",$E363*INDEX(HistoricSummary!E:E,MATCH($C363,HistoricSummary!$A:$A,0),1)+$G363,""),AND($B363&lt;&gt;"",$D363="COST",$G363&lt;0),$G363,TRUE,)</f>
        <v>-186.6059302</v>
      </c>
    </row>
    <row r="364">
      <c r="A364" s="184">
        <v>43679.0</v>
      </c>
      <c r="B364" s="229" t="s">
        <v>292</v>
      </c>
      <c r="C364" s="230" t="s">
        <v>293</v>
      </c>
      <c r="D364" s="231" t="s">
        <v>415</v>
      </c>
      <c r="E364" s="231">
        <v>-6.0</v>
      </c>
      <c r="F364" s="232">
        <v>184.2</v>
      </c>
      <c r="G364" s="233">
        <v>1105.2</v>
      </c>
      <c r="H364" s="230" t="s">
        <v>754</v>
      </c>
      <c r="I364" s="235">
        <f t="array" ref="I364">IFS(AND($B364&lt;&gt;"",$E364&lt;&gt;""),IF(INDEX(HistoricSummary!D:D,MATCH($C364,HistoricSummary!$A:$A,0),1)&lt;&gt;"",$E364*INDEX(HistoricSummary!D:D,MATCH($C364,HistoricSummary!$A:$A,0),1)+$G364,""),AND($B364&lt;&gt;"",$D364="COST",$G364&lt;0),$G364,TRUE,)</f>
        <v>-13.56</v>
      </c>
      <c r="J364" s="235">
        <f t="array" ref="J364">IFS(AND($B364&lt;&gt;"",$E364&lt;&gt;""),IF(INDEX(HistoricSummary!E:E,MATCH($C364,HistoricSummary!$A:$A,0),1)&lt;&gt;"",$E364*INDEX(HistoricSummary!E:E,MATCH($C364,HistoricSummary!$A:$A,0),1)+$G364,""),AND($B364&lt;&gt;"",$D364="COST",$G364&lt;0),$G364,TRUE,)</f>
        <v>-52.13813953</v>
      </c>
    </row>
    <row r="365">
      <c r="A365" s="184">
        <v>43679.0</v>
      </c>
      <c r="B365" s="229" t="s">
        <v>288</v>
      </c>
      <c r="C365" s="230" t="s">
        <v>289</v>
      </c>
      <c r="D365" s="231" t="s">
        <v>415</v>
      </c>
      <c r="E365" s="231">
        <v>-9.0</v>
      </c>
      <c r="F365" s="232">
        <v>124.13</v>
      </c>
      <c r="G365" s="233">
        <v>1117.17</v>
      </c>
      <c r="H365" s="230" t="s">
        <v>755</v>
      </c>
      <c r="I365" s="235">
        <f t="array" ref="I365">IFS(AND($B365&lt;&gt;"",$E365&lt;&gt;""),IF(INDEX(HistoricSummary!D:D,MATCH($C365,HistoricSummary!$A:$A,0),1)&lt;&gt;"",$E365*INDEX(HistoricSummary!D:D,MATCH($C365,HistoricSummary!$A:$A,0),1)+$G365,""),AND($B365&lt;&gt;"",$D365="COST",$G365&lt;0),$G365,TRUE,)</f>
        <v>-235.35</v>
      </c>
      <c r="J365" s="235">
        <f t="array" ref="J365">IFS(AND($B365&lt;&gt;"",$E365&lt;&gt;""),IF(INDEX(HistoricSummary!E:E,MATCH($C365,HistoricSummary!$A:$A,0),1)&lt;&gt;"",$E365*INDEX(HistoricSummary!E:E,MATCH($C365,HistoricSummary!$A:$A,0),1)+$G365,""),AND($B365&lt;&gt;"",$D365="COST",$G365&lt;0),$G365,TRUE,)</f>
        <v>-184.5359302</v>
      </c>
    </row>
    <row r="366">
      <c r="A366" s="184">
        <v>43679.0</v>
      </c>
      <c r="B366" s="229" t="s">
        <v>292</v>
      </c>
      <c r="C366" s="230" t="s">
        <v>293</v>
      </c>
      <c r="D366" s="231" t="s">
        <v>415</v>
      </c>
      <c r="E366" s="231">
        <v>-6.0</v>
      </c>
      <c r="F366" s="232">
        <v>184.45</v>
      </c>
      <c r="G366" s="233">
        <v>1106.7</v>
      </c>
      <c r="H366" s="230" t="s">
        <v>756</v>
      </c>
      <c r="I366" s="235">
        <f t="array" ref="I366">IFS(AND($B366&lt;&gt;"",$E366&lt;&gt;""),IF(INDEX(HistoricSummary!D:D,MATCH($C366,HistoricSummary!$A:$A,0),1)&lt;&gt;"",$E366*INDEX(HistoricSummary!D:D,MATCH($C366,HistoricSummary!$A:$A,0),1)+$G366,""),AND($B366&lt;&gt;"",$D366="COST",$G366&lt;0),$G366,TRUE,)</f>
        <v>-12.06</v>
      </c>
      <c r="J366" s="235">
        <f t="array" ref="J366">IFS(AND($B366&lt;&gt;"",$E366&lt;&gt;""),IF(INDEX(HistoricSummary!E:E,MATCH($C366,HistoricSummary!$A:$A,0),1)&lt;&gt;"",$E366*INDEX(HistoricSummary!E:E,MATCH($C366,HistoricSummary!$A:$A,0),1)+$G366,""),AND($B366&lt;&gt;"",$D366="COST",$G366&lt;0),$G366,TRUE,)</f>
        <v>-50.63813953</v>
      </c>
    </row>
    <row r="367">
      <c r="A367" s="184">
        <v>43679.0</v>
      </c>
      <c r="B367" s="229" t="s">
        <v>292</v>
      </c>
      <c r="C367" s="230" t="s">
        <v>293</v>
      </c>
      <c r="D367" s="231" t="s">
        <v>415</v>
      </c>
      <c r="E367" s="231">
        <v>-6.0</v>
      </c>
      <c r="F367" s="232">
        <v>184.4</v>
      </c>
      <c r="G367" s="233">
        <v>1106.4</v>
      </c>
      <c r="H367" s="230" t="s">
        <v>757</v>
      </c>
      <c r="I367" s="235">
        <f t="array" ref="I367">IFS(AND($B367&lt;&gt;"",$E367&lt;&gt;""),IF(INDEX(HistoricSummary!D:D,MATCH($C367,HistoricSummary!$A:$A,0),1)&lt;&gt;"",$E367*INDEX(HistoricSummary!D:D,MATCH($C367,HistoricSummary!$A:$A,0),1)+$G367,""),AND($B367&lt;&gt;"",$D367="COST",$G367&lt;0),$G367,TRUE,)</f>
        <v>-12.36</v>
      </c>
      <c r="J367" s="235">
        <f t="array" ref="J367">IFS(AND($B367&lt;&gt;"",$E367&lt;&gt;""),IF(INDEX(HistoricSummary!E:E,MATCH($C367,HistoricSummary!$A:$A,0),1)&lt;&gt;"",$E367*INDEX(HistoricSummary!E:E,MATCH($C367,HistoricSummary!$A:$A,0),1)+$G367,""),AND($B367&lt;&gt;"",$D367="COST",$G367&lt;0),$G367,TRUE,)</f>
        <v>-50.93813953</v>
      </c>
    </row>
    <row r="368">
      <c r="A368" s="184">
        <v>43679.0</v>
      </c>
      <c r="B368" s="229" t="s">
        <v>288</v>
      </c>
      <c r="C368" s="230" t="s">
        <v>289</v>
      </c>
      <c r="D368" s="231" t="s">
        <v>415</v>
      </c>
      <c r="E368" s="231">
        <v>-2.0</v>
      </c>
      <c r="F368" s="232">
        <v>124.02</v>
      </c>
      <c r="G368" s="233">
        <v>248.04</v>
      </c>
      <c r="H368" s="230" t="s">
        <v>758</v>
      </c>
      <c r="I368" s="235">
        <f t="array" ref="I368">IFS(AND($B368&lt;&gt;"",$E368&lt;&gt;""),IF(INDEX(HistoricSummary!D:D,MATCH($C368,HistoricSummary!$A:$A,0),1)&lt;&gt;"",$E368*INDEX(HistoricSummary!D:D,MATCH($C368,HistoricSummary!$A:$A,0),1)+$G368,""),AND($B368&lt;&gt;"",$D368="COST",$G368&lt;0),$G368,TRUE,)</f>
        <v>-52.52</v>
      </c>
      <c r="J368" s="235">
        <f t="array" ref="J368">IFS(AND($B368&lt;&gt;"",$E368&lt;&gt;""),IF(INDEX(HistoricSummary!E:E,MATCH($C368,HistoricSummary!$A:$A,0),1)&lt;&gt;"",$E368*INDEX(HistoricSummary!E:E,MATCH($C368,HistoricSummary!$A:$A,0),1)+$G368,""),AND($B368&lt;&gt;"",$D368="COST",$G368&lt;0),$G368,TRUE,)</f>
        <v>-41.2279845</v>
      </c>
    </row>
    <row r="369">
      <c r="A369" s="184">
        <v>43679.0</v>
      </c>
      <c r="B369" s="229" t="s">
        <v>288</v>
      </c>
      <c r="C369" s="230" t="s">
        <v>289</v>
      </c>
      <c r="D369" s="231" t="s">
        <v>432</v>
      </c>
      <c r="E369" s="231"/>
      <c r="F369" s="232"/>
      <c r="G369" s="233">
        <v>-2.05</v>
      </c>
      <c r="H369" s="230" t="s">
        <v>759</v>
      </c>
      <c r="I369" s="235">
        <f t="array" ref="I369">IFS(AND($B369&lt;&gt;"",$E369&lt;&gt;""),IF(INDEX(HistoricSummary!D:D,MATCH($C369,HistoricSummary!$A:$A,0),1)&lt;&gt;"",$E369*INDEX(HistoricSummary!D:D,MATCH($C369,HistoricSummary!$A:$A,0),1)+$G369,""),AND($B369&lt;&gt;"",$D369="COST",$G369&lt;0),$G369,TRUE,)</f>
        <v>-2.05</v>
      </c>
      <c r="J369" s="235">
        <f t="array" ref="J369">IFS(AND($B369&lt;&gt;"",$E369&lt;&gt;""),IF(INDEX(HistoricSummary!E:E,MATCH($C369,HistoricSummary!$A:$A,0),1)&lt;&gt;"",$E369*INDEX(HistoricSummary!E:E,MATCH($C369,HistoricSummary!$A:$A,0),1)+$G369,""),AND($B369&lt;&gt;"",$D369="COST",$G369&lt;0),$G369,TRUE,)</f>
        <v>-2.05</v>
      </c>
    </row>
    <row r="370">
      <c r="A370" s="184">
        <v>43679.0</v>
      </c>
      <c r="B370" s="229" t="s">
        <v>288</v>
      </c>
      <c r="C370" s="230" t="s">
        <v>289</v>
      </c>
      <c r="D370" s="231" t="s">
        <v>415</v>
      </c>
      <c r="E370" s="231">
        <v>-1.0</v>
      </c>
      <c r="F370" s="232">
        <v>123.4</v>
      </c>
      <c r="G370" s="233">
        <v>123.4</v>
      </c>
      <c r="H370" s="230" t="s">
        <v>760</v>
      </c>
      <c r="I370" s="235">
        <f t="array" ref="I370">IFS(AND($B370&lt;&gt;"",$E370&lt;&gt;""),IF(INDEX(HistoricSummary!D:D,MATCH($C370,HistoricSummary!$A:$A,0),1)&lt;&gt;"",$E370*INDEX(HistoricSummary!D:D,MATCH($C370,HistoricSummary!$A:$A,0),1)+$G370,""),AND($B370&lt;&gt;"",$D370="COST",$G370&lt;0),$G370,TRUE,)</f>
        <v>-26.88</v>
      </c>
      <c r="J370" s="235">
        <f t="array" ref="J370">IFS(AND($B370&lt;&gt;"",$E370&lt;&gt;""),IF(INDEX(HistoricSummary!E:E,MATCH($C370,HistoricSummary!$A:$A,0),1)&lt;&gt;"",$E370*INDEX(HistoricSummary!E:E,MATCH($C370,HistoricSummary!$A:$A,0),1)+$G370,""),AND($B370&lt;&gt;"",$D370="COST",$G370&lt;0),$G370,TRUE,)</f>
        <v>-21.23399225</v>
      </c>
    </row>
    <row r="371">
      <c r="A371" s="184">
        <v>43679.0</v>
      </c>
      <c r="B371" s="229"/>
      <c r="C371" s="230"/>
      <c r="D371" s="231" t="s">
        <v>454</v>
      </c>
      <c r="E371" s="231"/>
      <c r="F371" s="232"/>
      <c r="G371" s="233">
        <v>-400.0</v>
      </c>
      <c r="H371" s="230" t="s">
        <v>499</v>
      </c>
      <c r="I371" s="235" t="str">
        <f t="array" ref="I371">IFS(AND($B371&lt;&gt;"",$E371&lt;&gt;""),IF(INDEX(HistoricSummary!D:D,MATCH($C371,HistoricSummary!$A:$A,0),1)&lt;&gt;"",$E371*INDEX(HistoricSummary!D:D,MATCH($C371,HistoricSummary!$A:$A,0),1)+$G371,""),AND($B371&lt;&gt;"",$D371="COST",$G371&lt;0),$G371,TRUE,)</f>
        <v/>
      </c>
      <c r="J371" s="235" t="str">
        <f t="array" ref="J371">IFS(AND($B371&lt;&gt;"",$E371&lt;&gt;""),IF(INDEX(HistoricSummary!E:E,MATCH($C371,HistoricSummary!$A:$A,0),1)&lt;&gt;"",$E371*INDEX(HistoricSummary!E:E,MATCH($C371,HistoricSummary!$A:$A,0),1)+$G371,""),AND($B371&lt;&gt;"",$D371="COST",$G371&lt;0),$G371,TRUE,)</f>
        <v/>
      </c>
    </row>
    <row r="372">
      <c r="A372" s="184">
        <v>43679.0</v>
      </c>
      <c r="B372" s="229" t="s">
        <v>283</v>
      </c>
      <c r="C372" s="230" t="s">
        <v>286</v>
      </c>
      <c r="D372" s="231" t="s">
        <v>414</v>
      </c>
      <c r="E372" s="231">
        <v>1771.0</v>
      </c>
      <c r="F372" s="232">
        <v>7.13</v>
      </c>
      <c r="G372" s="233">
        <v>-12627.23</v>
      </c>
      <c r="H372" s="230" t="s">
        <v>761</v>
      </c>
      <c r="I372" s="235">
        <f t="array" ref="I372">IFS(AND($B372&lt;&gt;"",$E372&lt;&gt;""),IF(INDEX(HistoricSummary!D:D,MATCH($C372,HistoricSummary!$A:$A,0),1)&lt;&gt;"",$E372*INDEX(HistoricSummary!D:D,MATCH($C372,HistoricSummary!$A:$A,0),1)+$G372,""),AND($B372&lt;&gt;"",$D372="COST",$G372&lt;0),$G372,TRUE,)</f>
        <v>-1128.127</v>
      </c>
      <c r="J372" s="235">
        <f t="array" ref="J372">IFS(AND($B372&lt;&gt;"",$E372&lt;&gt;""),IF(INDEX(HistoricSummary!E:E,MATCH($C372,HistoricSummary!$A:$A,0),1)&lt;&gt;"",$E372*INDEX(HistoricSummary!E:E,MATCH($C372,HistoricSummary!$A:$A,0),1)+$G372,""),AND($B372&lt;&gt;"",$D372="COST",$G372&lt;0),$G372,TRUE,)</f>
        <v>-1201.767651</v>
      </c>
    </row>
    <row r="373">
      <c r="A373" s="184">
        <v>43679.0</v>
      </c>
      <c r="B373" s="229" t="s">
        <v>298</v>
      </c>
      <c r="C373" s="230" t="s">
        <v>299</v>
      </c>
      <c r="D373" s="231" t="s">
        <v>415</v>
      </c>
      <c r="E373" s="231">
        <v>-1546.0</v>
      </c>
      <c r="F373" s="232">
        <v>4.611</v>
      </c>
      <c r="G373" s="233">
        <v>7128.61</v>
      </c>
      <c r="H373" s="230" t="s">
        <v>762</v>
      </c>
      <c r="I373" s="235">
        <f t="array" ref="I373">IFS(AND($B373&lt;&gt;"",$E373&lt;&gt;""),IF(INDEX(HistoricSummary!D:D,MATCH($C373,HistoricSummary!$A:$A,0),1)&lt;&gt;"",$E373*INDEX(HistoricSummary!D:D,MATCH($C373,HistoricSummary!$A:$A,0),1)+$G373,""),AND($B373&lt;&gt;"",$D373="COST",$G373&lt;0),$G373,TRUE,)</f>
        <v>-516.0508</v>
      </c>
      <c r="J373" s="235">
        <f t="array" ref="J373">IFS(AND($B373&lt;&gt;"",$E373&lt;&gt;""),IF(INDEX(HistoricSummary!E:E,MATCH($C373,HistoricSummary!$A:$A,0),1)&lt;&gt;"",$E373*INDEX(HistoricSummary!E:E,MATCH($C373,HistoricSummary!$A:$A,0),1)+$G373,""),AND($B373&lt;&gt;"",$D373="COST",$G373&lt;0),$G373,TRUE,)</f>
        <v>-911.2791085</v>
      </c>
    </row>
    <row r="374">
      <c r="A374" s="184">
        <v>43679.0</v>
      </c>
      <c r="B374" s="229" t="s">
        <v>298</v>
      </c>
      <c r="C374" s="230" t="s">
        <v>299</v>
      </c>
      <c r="D374" s="231" t="s">
        <v>432</v>
      </c>
      <c r="E374" s="231"/>
      <c r="F374" s="232"/>
      <c r="G374" s="233">
        <v>-1.43</v>
      </c>
      <c r="H374" s="230" t="s">
        <v>763</v>
      </c>
      <c r="I374" s="235">
        <f t="array" ref="I374">IFS(AND($B374&lt;&gt;"",$E374&lt;&gt;""),IF(INDEX(HistoricSummary!D:D,MATCH($C374,HistoricSummary!$A:$A,0),1)&lt;&gt;"",$E374*INDEX(HistoricSummary!D:D,MATCH($C374,HistoricSummary!$A:$A,0),1)+$G374,""),AND($B374&lt;&gt;"",$D374="COST",$G374&lt;0),$G374,TRUE,)</f>
        <v>-1.43</v>
      </c>
      <c r="J374" s="235">
        <f t="array" ref="J374">IFS(AND($B374&lt;&gt;"",$E374&lt;&gt;""),IF(INDEX(HistoricSummary!E:E,MATCH($C374,HistoricSummary!$A:$A,0),1)&lt;&gt;"",$E374*INDEX(HistoricSummary!E:E,MATCH($C374,HistoricSummary!$A:$A,0),1)+$G374,""),AND($B374&lt;&gt;"",$D374="COST",$G374&lt;0),$G374,TRUE,)</f>
        <v>-1.43</v>
      </c>
    </row>
    <row r="375">
      <c r="A375" s="184">
        <v>43678.0</v>
      </c>
      <c r="B375" s="229" t="s">
        <v>283</v>
      </c>
      <c r="C375" s="230" t="s">
        <v>286</v>
      </c>
      <c r="D375" s="231" t="s">
        <v>414</v>
      </c>
      <c r="E375" s="231">
        <v>353.0</v>
      </c>
      <c r="F375" s="232">
        <v>7.26</v>
      </c>
      <c r="G375" s="233">
        <v>-2562.78</v>
      </c>
      <c r="H375" s="230" t="s">
        <v>764</v>
      </c>
      <c r="I375" s="235">
        <f t="array" ref="I375">IFS(AND($B375&lt;&gt;"",$E375&lt;&gt;""),IF(INDEX(HistoricSummary!D:D,MATCH($C375,HistoricSummary!$A:$A,0),1)&lt;&gt;"",$E375*INDEX(HistoricSummary!D:D,MATCH($C375,HistoricSummary!$A:$A,0),1)+$G375,""),AND($B375&lt;&gt;"",$D375="COST",$G375&lt;0),$G375,TRUE,)</f>
        <v>-270.751</v>
      </c>
      <c r="J375" s="235">
        <f t="array" ref="J375">IFS(AND($B375&lt;&gt;"",$E375&lt;&gt;""),IF(INDEX(HistoricSummary!E:E,MATCH($C375,HistoricSummary!$A:$A,0),1)&lt;&gt;"",$E375*INDEX(HistoricSummary!E:E,MATCH($C375,HistoricSummary!$A:$A,0),1)+$G375,""),AND($B375&lt;&gt;"",$D375="COST",$G375&lt;0),$G375,TRUE,)</f>
        <v>-285.4292326</v>
      </c>
    </row>
    <row r="376">
      <c r="A376" s="184">
        <v>43677.0</v>
      </c>
      <c r="B376" s="229"/>
      <c r="C376" s="230"/>
      <c r="D376" s="231" t="s">
        <v>432</v>
      </c>
      <c r="E376" s="231"/>
      <c r="F376" s="232"/>
      <c r="G376" s="233">
        <v>-450.16</v>
      </c>
      <c r="H376" s="230" t="s">
        <v>765</v>
      </c>
      <c r="I376" s="235" t="str">
        <f t="array" ref="I376">IFS(AND($B376&lt;&gt;"",$E376&lt;&gt;""),IF(INDEX(HistoricSummary!D:D,MATCH($C376,HistoricSummary!$A:$A,0),1)&lt;&gt;"",$E376*INDEX(HistoricSummary!D:D,MATCH($C376,HistoricSummary!$A:$A,0),1)+$G376,""),AND($B376&lt;&gt;"",$D376="COST",$G376&lt;0),$G376,TRUE,)</f>
        <v/>
      </c>
      <c r="J376" s="235" t="str">
        <f t="array" ref="J376">IFS(AND($B376&lt;&gt;"",$E376&lt;&gt;""),IF(INDEX(HistoricSummary!E:E,MATCH($C376,HistoricSummary!$A:$A,0),1)&lt;&gt;"",$E376*INDEX(HistoricSummary!E:E,MATCH($C376,HistoricSummary!$A:$A,0),1)+$G376,""),AND($B376&lt;&gt;"",$D376="COST",$G376&lt;0),$G376,TRUE,)</f>
        <v/>
      </c>
    </row>
    <row r="377">
      <c r="A377" s="184">
        <v>43669.0</v>
      </c>
      <c r="B377" s="229" t="s">
        <v>283</v>
      </c>
      <c r="C377" s="230" t="s">
        <v>286</v>
      </c>
      <c r="D377" s="231" t="s">
        <v>414</v>
      </c>
      <c r="E377" s="231">
        <v>139.0</v>
      </c>
      <c r="F377" s="232">
        <v>7.24</v>
      </c>
      <c r="G377" s="233">
        <v>-1006.36</v>
      </c>
      <c r="H377" s="230" t="s">
        <v>766</v>
      </c>
      <c r="I377" s="235">
        <f t="array" ref="I377">IFS(AND($B377&lt;&gt;"",$E377&lt;&gt;""),IF(INDEX(HistoricSummary!D:D,MATCH($C377,HistoricSummary!$A:$A,0),1)&lt;&gt;"",$E377*INDEX(HistoricSummary!D:D,MATCH($C377,HistoricSummary!$A:$A,0),1)+$G377,""),AND($B377&lt;&gt;"",$D377="COST",$G377&lt;0),$G377,TRUE,)</f>
        <v>-103.833</v>
      </c>
      <c r="J377" s="235">
        <f t="array" ref="J377">IFS(AND($B377&lt;&gt;"",$E377&lt;&gt;""),IF(INDEX(HistoricSummary!E:E,MATCH($C377,HistoricSummary!$A:$A,0),1)&lt;&gt;"",$E377*INDEX(HistoricSummary!E:E,MATCH($C377,HistoricSummary!$A:$A,0),1)+$G377,""),AND($B377&lt;&gt;"",$D377="COST",$G377&lt;0),$G377,TRUE,)</f>
        <v>-109.612814</v>
      </c>
    </row>
    <row r="378">
      <c r="A378" s="184">
        <v>43669.0</v>
      </c>
      <c r="B378" s="229" t="s">
        <v>283</v>
      </c>
      <c r="C378" s="230" t="s">
        <v>286</v>
      </c>
      <c r="D378" s="231" t="s">
        <v>432</v>
      </c>
      <c r="E378" s="231"/>
      <c r="F378" s="232"/>
      <c r="G378" s="233">
        <v>-2.2</v>
      </c>
      <c r="H378" s="230" t="s">
        <v>767</v>
      </c>
      <c r="I378" s="235">
        <f t="array" ref="I378">IFS(AND($B378&lt;&gt;"",$E378&lt;&gt;""),IF(INDEX(HistoricSummary!D:D,MATCH($C378,HistoricSummary!$A:$A,0),1)&lt;&gt;"",$E378*INDEX(HistoricSummary!D:D,MATCH($C378,HistoricSummary!$A:$A,0),1)+$G378,""),AND($B378&lt;&gt;"",$D378="COST",$G378&lt;0),$G378,TRUE,)</f>
        <v>-2.2</v>
      </c>
      <c r="J378" s="235">
        <f t="array" ref="J378">IFS(AND($B378&lt;&gt;"",$E378&lt;&gt;""),IF(INDEX(HistoricSummary!E:E,MATCH($C378,HistoricSummary!$A:$A,0),1)&lt;&gt;"",$E378*INDEX(HistoricSummary!E:E,MATCH($C378,HistoricSummary!$A:$A,0),1)+$G378,""),AND($B378&lt;&gt;"",$D378="COST",$G378&lt;0),$G378,TRUE,)</f>
        <v>-2.2</v>
      </c>
    </row>
    <row r="379">
      <c r="A379" s="184">
        <v>43665.0</v>
      </c>
      <c r="B379" s="229" t="s">
        <v>288</v>
      </c>
      <c r="C379" s="230" t="s">
        <v>289</v>
      </c>
      <c r="D379" s="231" t="s">
        <v>415</v>
      </c>
      <c r="E379" s="231">
        <v>-10.0</v>
      </c>
      <c r="F379" s="232">
        <v>121.84</v>
      </c>
      <c r="G379" s="233">
        <v>1218.4</v>
      </c>
      <c r="H379" s="230" t="s">
        <v>768</v>
      </c>
      <c r="I379" s="235">
        <f t="array" ref="I379">IFS(AND($B379&lt;&gt;"",$E379&lt;&gt;""),IF(INDEX(HistoricSummary!D:D,MATCH($C379,HistoricSummary!$A:$A,0),1)&lt;&gt;"",$E379*INDEX(HistoricSummary!D:D,MATCH($C379,HistoricSummary!$A:$A,0),1)+$G379,""),AND($B379&lt;&gt;"",$D379="COST",$G379&lt;0),$G379,TRUE,)</f>
        <v>-284.4</v>
      </c>
      <c r="J379" s="235">
        <f t="array" ref="J379">IFS(AND($B379&lt;&gt;"",$E379&lt;&gt;""),IF(INDEX(HistoricSummary!E:E,MATCH($C379,HistoricSummary!$A:$A,0),1)&lt;&gt;"",$E379*INDEX(HistoricSummary!E:E,MATCH($C379,HistoricSummary!$A:$A,0),1)+$G379,""),AND($B379&lt;&gt;"",$D379="COST",$G379&lt;0),$G379,TRUE,)</f>
        <v>-227.9399225</v>
      </c>
    </row>
    <row r="380">
      <c r="A380" s="184">
        <v>43664.0</v>
      </c>
      <c r="B380" s="229" t="s">
        <v>283</v>
      </c>
      <c r="C380" s="230" t="s">
        <v>286</v>
      </c>
      <c r="D380" s="231" t="s">
        <v>414</v>
      </c>
      <c r="E380" s="231">
        <v>164.0</v>
      </c>
      <c r="F380" s="232">
        <v>7.2379</v>
      </c>
      <c r="G380" s="233">
        <v>-1187.03</v>
      </c>
      <c r="H380" s="230" t="s">
        <v>769</v>
      </c>
      <c r="I380" s="235">
        <f t="array" ref="I380">IFS(AND($B380&lt;&gt;"",$E380&lt;&gt;""),IF(INDEX(HistoricSummary!D:D,MATCH($C380,HistoricSummary!$A:$A,0),1)&lt;&gt;"",$E380*INDEX(HistoricSummary!D:D,MATCH($C380,HistoricSummary!$A:$A,0),1)+$G380,""),AND($B380&lt;&gt;"",$D380="COST",$G380&lt;0),$G380,TRUE,)</f>
        <v>-122.178</v>
      </c>
      <c r="J380" s="235">
        <f t="array" ref="J380">IFS(AND($B380&lt;&gt;"",$E380&lt;&gt;""),IF(INDEX(HistoricSummary!E:E,MATCH($C380,HistoricSummary!$A:$A,0),1)&lt;&gt;"",$E380*INDEX(HistoricSummary!E:E,MATCH($C380,HistoricSummary!$A:$A,0),1)+$G380,""),AND($B380&lt;&gt;"",$D380="COST",$G380&lt;0),$G380,TRUE,)</f>
        <v>-128.9973488</v>
      </c>
    </row>
    <row r="381">
      <c r="A381" s="184">
        <v>43664.0</v>
      </c>
      <c r="B381" s="229" t="s">
        <v>283</v>
      </c>
      <c r="C381" s="230" t="s">
        <v>286</v>
      </c>
      <c r="D381" s="231" t="s">
        <v>432</v>
      </c>
      <c r="E381" s="231"/>
      <c r="F381" s="232"/>
      <c r="G381" s="233">
        <v>-2.24</v>
      </c>
      <c r="H381" s="230" t="s">
        <v>770</v>
      </c>
      <c r="I381" s="235">
        <f t="array" ref="I381">IFS(AND($B381&lt;&gt;"",$E381&lt;&gt;""),IF(INDEX(HistoricSummary!D:D,MATCH($C381,HistoricSummary!$A:$A,0),1)&lt;&gt;"",$E381*INDEX(HistoricSummary!D:D,MATCH($C381,HistoricSummary!$A:$A,0),1)+$G381,""),AND($B381&lt;&gt;"",$D381="COST",$G381&lt;0),$G381,TRUE,)</f>
        <v>-2.24</v>
      </c>
      <c r="J381" s="235">
        <f t="array" ref="J381">IFS(AND($B381&lt;&gt;"",$E381&lt;&gt;""),IF(INDEX(HistoricSummary!E:E,MATCH($C381,HistoricSummary!$A:$A,0),1)&lt;&gt;"",$E381*INDEX(HistoricSummary!E:E,MATCH($C381,HistoricSummary!$A:$A,0),1)+$G381,""),AND($B381&lt;&gt;"",$D381="COST",$G381&lt;0),$G381,TRUE,)</f>
        <v>-2.24</v>
      </c>
    </row>
    <row r="382">
      <c r="A382" s="184">
        <v>43663.0</v>
      </c>
      <c r="B382" s="229" t="s">
        <v>283</v>
      </c>
      <c r="C382" s="230" t="s">
        <v>286</v>
      </c>
      <c r="D382" s="231" t="s">
        <v>414</v>
      </c>
      <c r="E382" s="231">
        <v>189.0</v>
      </c>
      <c r="F382" s="232">
        <v>7.2579</v>
      </c>
      <c r="G382" s="233">
        <v>-1371.76</v>
      </c>
      <c r="H382" s="230" t="s">
        <v>771</v>
      </c>
      <c r="I382" s="235">
        <f t="array" ref="I382">IFS(AND($B382&lt;&gt;"",$E382&lt;&gt;""),IF(INDEX(HistoricSummary!D:D,MATCH($C382,HistoricSummary!$A:$A,0),1)&lt;&gt;"",$E382*INDEX(HistoricSummary!D:D,MATCH($C382,HistoricSummary!$A:$A,0),1)+$G382,""),AND($B382&lt;&gt;"",$D382="COST",$G382&lt;0),$G382,TRUE,)</f>
        <v>-144.583</v>
      </c>
      <c r="J382" s="235">
        <f t="array" ref="J382">IFS(AND($B382&lt;&gt;"",$E382&lt;&gt;""),IF(INDEX(HistoricSummary!E:E,MATCH($C382,HistoricSummary!$A:$A,0),1)&lt;&gt;"",$E382*INDEX(HistoricSummary!E:E,MATCH($C382,HistoricSummary!$A:$A,0),1)+$G382,""),AND($B382&lt;&gt;"",$D382="COST",$G382&lt;0),$G382,TRUE,)</f>
        <v>-152.4418837</v>
      </c>
    </row>
    <row r="383">
      <c r="A383" s="184">
        <v>43663.0</v>
      </c>
      <c r="B383" s="229" t="s">
        <v>283</v>
      </c>
      <c r="C383" s="230" t="s">
        <v>286</v>
      </c>
      <c r="D383" s="231" t="s">
        <v>432</v>
      </c>
      <c r="E383" s="231"/>
      <c r="F383" s="232"/>
      <c r="G383" s="233">
        <v>-0.27</v>
      </c>
      <c r="H383" s="230" t="s">
        <v>772</v>
      </c>
      <c r="I383" s="235">
        <f t="array" ref="I383">IFS(AND($B383&lt;&gt;"",$E383&lt;&gt;""),IF(INDEX(HistoricSummary!D:D,MATCH($C383,HistoricSummary!$A:$A,0),1)&lt;&gt;"",$E383*INDEX(HistoricSummary!D:D,MATCH($C383,HistoricSummary!$A:$A,0),1)+$G383,""),AND($B383&lt;&gt;"",$D383="COST",$G383&lt;0),$G383,TRUE,)</f>
        <v>-0.27</v>
      </c>
      <c r="J383" s="235">
        <f t="array" ref="J383">IFS(AND($B383&lt;&gt;"",$E383&lt;&gt;""),IF(INDEX(HistoricSummary!E:E,MATCH($C383,HistoricSummary!$A:$A,0),1)&lt;&gt;"",$E383*INDEX(HistoricSummary!E:E,MATCH($C383,HistoricSummary!$A:$A,0),1)+$G383,""),AND($B383&lt;&gt;"",$D383="COST",$G383&lt;0),$G383,TRUE,)</f>
        <v>-0.27</v>
      </c>
    </row>
    <row r="384">
      <c r="A384" s="184">
        <v>43663.0</v>
      </c>
      <c r="B384" s="229" t="s">
        <v>283</v>
      </c>
      <c r="C384" s="230" t="s">
        <v>286</v>
      </c>
      <c r="D384" s="231" t="s">
        <v>414</v>
      </c>
      <c r="E384" s="231">
        <v>263.0</v>
      </c>
      <c r="F384" s="232">
        <v>7.2579</v>
      </c>
      <c r="G384" s="233">
        <v>-1908.85</v>
      </c>
      <c r="H384" s="230" t="s">
        <v>773</v>
      </c>
      <c r="I384" s="235">
        <f t="array" ref="I384">IFS(AND($B384&lt;&gt;"",$E384&lt;&gt;""),IF(INDEX(HistoricSummary!D:D,MATCH($C384,HistoricSummary!$A:$A,0),1)&lt;&gt;"",$E384*INDEX(HistoricSummary!D:D,MATCH($C384,HistoricSummary!$A:$A,0),1)+$G384,""),AND($B384&lt;&gt;"",$D384="COST",$G384&lt;0),$G384,TRUE,)</f>
        <v>-201.191</v>
      </c>
      <c r="J384" s="235">
        <f t="array" ref="J384">IFS(AND($B384&lt;&gt;"",$E384&lt;&gt;""),IF(INDEX(HistoricSummary!E:E,MATCH($C384,HistoricSummary!$A:$A,0),1)&lt;&gt;"",$E384*INDEX(HistoricSummary!E:E,MATCH($C384,HistoricSummary!$A:$A,0),1)+$G384,""),AND($B384&lt;&gt;"",$D384="COST",$G384&lt;0),$G384,TRUE,)</f>
        <v>-212.126907</v>
      </c>
    </row>
    <row r="385">
      <c r="A385" s="184">
        <v>43663.0</v>
      </c>
      <c r="B385" s="229" t="s">
        <v>283</v>
      </c>
      <c r="C385" s="230" t="s">
        <v>286</v>
      </c>
      <c r="D385" s="231" t="s">
        <v>432</v>
      </c>
      <c r="E385" s="231"/>
      <c r="F385" s="232"/>
      <c r="G385" s="233">
        <v>-2.38</v>
      </c>
      <c r="H385" s="230" t="s">
        <v>774</v>
      </c>
      <c r="I385" s="235">
        <f t="array" ref="I385">IFS(AND($B385&lt;&gt;"",$E385&lt;&gt;""),IF(INDEX(HistoricSummary!D:D,MATCH($C385,HistoricSummary!$A:$A,0),1)&lt;&gt;"",$E385*INDEX(HistoricSummary!D:D,MATCH($C385,HistoricSummary!$A:$A,0),1)+$G385,""),AND($B385&lt;&gt;"",$D385="COST",$G385&lt;0),$G385,TRUE,)</f>
        <v>-2.38</v>
      </c>
      <c r="J385" s="235">
        <f t="array" ref="J385">IFS(AND($B385&lt;&gt;"",$E385&lt;&gt;""),IF(INDEX(HistoricSummary!E:E,MATCH($C385,HistoricSummary!$A:$A,0),1)&lt;&gt;"",$E385*INDEX(HistoricSummary!E:E,MATCH($C385,HistoricSummary!$A:$A,0),1)+$G385,""),AND($B385&lt;&gt;"",$D385="COST",$G385&lt;0),$G385,TRUE,)</f>
        <v>-2.38</v>
      </c>
    </row>
    <row r="386">
      <c r="A386" s="184">
        <v>43661.0</v>
      </c>
      <c r="B386" s="229" t="s">
        <v>283</v>
      </c>
      <c r="C386" s="230" t="s">
        <v>286</v>
      </c>
      <c r="D386" s="231" t="s">
        <v>415</v>
      </c>
      <c r="E386" s="231">
        <v>-339.0</v>
      </c>
      <c r="F386" s="232">
        <v>7.35</v>
      </c>
      <c r="G386" s="233">
        <v>2491.65</v>
      </c>
      <c r="H386" s="230" t="s">
        <v>775</v>
      </c>
      <c r="I386" s="235">
        <f t="array" ref="I386">IFS(AND($B386&lt;&gt;"",$E386&lt;&gt;""),IF(INDEX(HistoricSummary!D:D,MATCH($C386,HistoricSummary!$A:$A,0),1)&lt;&gt;"",$E386*INDEX(HistoricSummary!D:D,MATCH($C386,HistoricSummary!$A:$A,0),1)+$G386,""),AND($B386&lt;&gt;"",$D386="COST",$G386&lt;0),$G386,TRUE,)</f>
        <v>290.523</v>
      </c>
      <c r="J386" s="235">
        <f t="array" ref="J386">IFS(AND($B386&lt;&gt;"",$E386&lt;&gt;""),IF(INDEX(HistoricSummary!E:E,MATCH($C386,HistoricSummary!$A:$A,0),1)&lt;&gt;"",$E386*INDEX(HistoricSummary!E:E,MATCH($C386,HistoricSummary!$A:$A,0),1)+$G386,""),AND($B386&lt;&gt;"",$D386="COST",$G386&lt;0),$G386,TRUE,)</f>
        <v>304.619093</v>
      </c>
    </row>
    <row r="387">
      <c r="A387" s="184">
        <v>43658.0</v>
      </c>
      <c r="B387" s="229" t="s">
        <v>302</v>
      </c>
      <c r="C387" s="230" t="s">
        <v>303</v>
      </c>
      <c r="D387" s="231" t="s">
        <v>415</v>
      </c>
      <c r="E387" s="231">
        <v>-77.0</v>
      </c>
      <c r="F387" s="232">
        <v>50.7</v>
      </c>
      <c r="G387" s="233">
        <v>3903.9</v>
      </c>
      <c r="H387" s="230" t="s">
        <v>776</v>
      </c>
      <c r="I387" s="235">
        <f t="array" ref="I387">IFS(AND($B387&lt;&gt;"",$E387&lt;&gt;""),IF(INDEX(HistoricSummary!D:D,MATCH($C387,HistoricSummary!$A:$A,0),1)&lt;&gt;"",$E387*INDEX(HistoricSummary!D:D,MATCH($C387,HistoricSummary!$A:$A,0),1)+$G387,""),AND($B387&lt;&gt;"",$D387="COST",$G387&lt;0),$G387,TRUE,)</f>
        <v>-534.226</v>
      </c>
      <c r="J387" s="235">
        <f t="array" ref="J387">IFS(AND($B387&lt;&gt;"",$E387&lt;&gt;""),IF(INDEX(HistoricSummary!E:E,MATCH($C387,HistoricSummary!$A:$A,0),1)&lt;&gt;"",$E387*INDEX(HistoricSummary!E:E,MATCH($C387,HistoricSummary!$A:$A,0),1)+$G387,""),AND($B387&lt;&gt;"",$D387="COST",$G387&lt;0),$G387,TRUE,)</f>
        <v>-179.5777287</v>
      </c>
    </row>
    <row r="388">
      <c r="A388" s="184">
        <v>43657.0</v>
      </c>
      <c r="B388" s="229" t="s">
        <v>302</v>
      </c>
      <c r="C388" s="230" t="s">
        <v>303</v>
      </c>
      <c r="D388" s="231" t="s">
        <v>475</v>
      </c>
      <c r="E388" s="231"/>
      <c r="F388" s="232"/>
      <c r="G388" s="233">
        <v>-107.73</v>
      </c>
      <c r="H388" s="230" t="s">
        <v>777</v>
      </c>
      <c r="I388" s="235" t="str">
        <f t="array" ref="I388">IFS(AND($B388&lt;&gt;"",$E388&lt;&gt;""),IF(INDEX(HistoricSummary!D:D,MATCH($C388,HistoricSummary!$A:$A,0),1)&lt;&gt;"",$E388*INDEX(HistoricSummary!D:D,MATCH($C388,HistoricSummary!$A:$A,0),1)+$G388,""),AND($B388&lt;&gt;"",$D388="COST",$G388&lt;0),$G388,TRUE,)</f>
        <v/>
      </c>
      <c r="J388" s="235" t="str">
        <f t="array" ref="J388">IFS(AND($B388&lt;&gt;"",$E388&lt;&gt;""),IF(INDEX(HistoricSummary!E:E,MATCH($C388,HistoricSummary!$A:$A,0),1)&lt;&gt;"",$E388*INDEX(HistoricSummary!E:E,MATCH($C388,HistoricSummary!$A:$A,0),1)+$G388,""),AND($B388&lt;&gt;"",$D388="COST",$G388&lt;0),$G388,TRUE,)</f>
        <v/>
      </c>
    </row>
    <row r="389">
      <c r="A389" s="184">
        <v>43656.0</v>
      </c>
      <c r="B389" s="229" t="s">
        <v>302</v>
      </c>
      <c r="C389" s="230" t="s">
        <v>303</v>
      </c>
      <c r="D389" s="231" t="s">
        <v>475</v>
      </c>
      <c r="E389" s="231"/>
      <c r="F389" s="232"/>
      <c r="G389" s="233">
        <v>959.36</v>
      </c>
      <c r="H389" s="230" t="s">
        <v>778</v>
      </c>
      <c r="I389" s="235" t="str">
        <f t="array" ref="I389">IFS(AND($B389&lt;&gt;"",$E389&lt;&gt;""),IF(INDEX(HistoricSummary!D:D,MATCH($C389,HistoricSummary!$A:$A,0),1)&lt;&gt;"",$E389*INDEX(HistoricSummary!D:D,MATCH($C389,HistoricSummary!$A:$A,0),1)+$G389,""),AND($B389&lt;&gt;"",$D389="COST",$G389&lt;0),$G389,TRUE,)</f>
        <v/>
      </c>
      <c r="J389" s="235" t="str">
        <f t="array" ref="J389">IFS(AND($B389&lt;&gt;"",$E389&lt;&gt;""),IF(INDEX(HistoricSummary!E:E,MATCH($C389,HistoricSummary!$A:$A,0),1)&lt;&gt;"",$E389*INDEX(HistoricSummary!E:E,MATCH($C389,HistoricSummary!$A:$A,0),1)+$G389,""),AND($B389&lt;&gt;"",$D389="COST",$G389&lt;0),$G389,TRUE,)</f>
        <v/>
      </c>
    </row>
    <row r="390">
      <c r="A390" s="184">
        <v>43651.0</v>
      </c>
      <c r="B390" s="229" t="s">
        <v>302</v>
      </c>
      <c r="C390" s="230" t="s">
        <v>303</v>
      </c>
      <c r="D390" s="231" t="s">
        <v>415</v>
      </c>
      <c r="E390" s="231">
        <v>-38.0</v>
      </c>
      <c r="F390" s="232">
        <v>50.37</v>
      </c>
      <c r="G390" s="233">
        <v>1914.06</v>
      </c>
      <c r="H390" s="230" t="s">
        <v>779</v>
      </c>
      <c r="I390" s="235">
        <f t="array" ref="I390">IFS(AND($B390&lt;&gt;"",$E390&lt;&gt;""),IF(INDEX(HistoricSummary!D:D,MATCH($C390,HistoricSummary!$A:$A,0),1)&lt;&gt;"",$E390*INDEX(HistoricSummary!D:D,MATCH($C390,HistoricSummary!$A:$A,0),1)+$G390,""),AND($B390&lt;&gt;"",$D390="COST",$G390&lt;0),$G390,TRUE,)</f>
        <v>-276.184</v>
      </c>
      <c r="J390" s="235">
        <f t="array" ref="J390">IFS(AND($B390&lt;&gt;"",$E390&lt;&gt;""),IF(INDEX(HistoricSummary!E:E,MATCH($C390,HistoricSummary!$A:$A,0),1)&lt;&gt;"",$E390*INDEX(HistoricSummary!E:E,MATCH($C390,HistoricSummary!$A:$A,0),1)+$G390,""),AND($B390&lt;&gt;"",$D390="COST",$G390&lt;0),$G390,TRUE,)</f>
        <v>-101.1627752</v>
      </c>
    </row>
    <row r="391">
      <c r="A391" s="184">
        <v>43648.0</v>
      </c>
      <c r="B391" s="229"/>
      <c r="C391" s="230"/>
      <c r="D391" s="231" t="s">
        <v>454</v>
      </c>
      <c r="E391" s="231"/>
      <c r="F391" s="232"/>
      <c r="G391" s="233">
        <v>-500.0</v>
      </c>
      <c r="H391" s="230" t="s">
        <v>780</v>
      </c>
      <c r="I391" s="235" t="str">
        <f t="array" ref="I391">IFS(AND($B391&lt;&gt;"",$E391&lt;&gt;""),IF(INDEX(HistoricSummary!D:D,MATCH($C391,HistoricSummary!$A:$A,0),1)&lt;&gt;"",$E391*INDEX(HistoricSummary!D:D,MATCH($C391,HistoricSummary!$A:$A,0),1)+$G391,""),AND($B391&lt;&gt;"",$D391="COST",$G391&lt;0),$G391,TRUE,)</f>
        <v/>
      </c>
      <c r="J391" s="235" t="str">
        <f t="array" ref="J391">IFS(AND($B391&lt;&gt;"",$E391&lt;&gt;""),IF(INDEX(HistoricSummary!E:E,MATCH($C391,HistoricSummary!$A:$A,0),1)&lt;&gt;"",$E391*INDEX(HistoricSummary!E:E,MATCH($C391,HistoricSummary!$A:$A,0),1)+$G391,""),AND($B391&lt;&gt;"",$D391="COST",$G391&lt;0),$G391,TRUE,)</f>
        <v/>
      </c>
    </row>
    <row r="392">
      <c r="A392" s="184">
        <v>43646.0</v>
      </c>
      <c r="B392" s="229"/>
      <c r="C392" s="230"/>
      <c r="D392" s="231" t="s">
        <v>432</v>
      </c>
      <c r="E392" s="231"/>
      <c r="F392" s="232"/>
      <c r="G392" s="233">
        <v>-495.83</v>
      </c>
      <c r="H392" s="230" t="s">
        <v>781</v>
      </c>
      <c r="I392" s="235" t="str">
        <f t="array" ref="I392">IFS(AND($B392&lt;&gt;"",$E392&lt;&gt;""),IF(INDEX(HistoricSummary!D:D,MATCH($C392,HistoricSummary!$A:$A,0),1)&lt;&gt;"",$E392*INDEX(HistoricSummary!D:D,MATCH($C392,HistoricSummary!$A:$A,0),1)+$G392,""),AND($B392&lt;&gt;"",$D392="COST",$G392&lt;0),$G392,TRUE,)</f>
        <v/>
      </c>
      <c r="J392" s="235" t="str">
        <f t="array" ref="J392">IFS(AND($B392&lt;&gt;"",$E392&lt;&gt;""),IF(INDEX(HistoricSummary!E:E,MATCH($C392,HistoricSummary!$A:$A,0),1)&lt;&gt;"",$E392*INDEX(HistoricSummary!E:E,MATCH($C392,HistoricSummary!$A:$A,0),1)+$G392,""),AND($B392&lt;&gt;"",$D392="COST",$G392&lt;0),$G392,TRUE,)</f>
        <v/>
      </c>
    </row>
    <row r="393">
      <c r="A393" s="184">
        <v>43642.0</v>
      </c>
      <c r="B393" s="229" t="s">
        <v>298</v>
      </c>
      <c r="C393" s="229" t="s">
        <v>299</v>
      </c>
      <c r="D393" s="229" t="s">
        <v>475</v>
      </c>
      <c r="E393" s="238"/>
      <c r="F393" s="239"/>
      <c r="G393" s="233">
        <v>-487.06</v>
      </c>
      <c r="H393" s="230" t="s">
        <v>782</v>
      </c>
      <c r="I393" s="235" t="str">
        <f t="array" ref="I393">IFS(AND($B393&lt;&gt;"",$E393&lt;&gt;""),IF(INDEX(HistoricSummary!D:D,MATCH($C393,HistoricSummary!$A:$A,0),1)&lt;&gt;"",$E393*INDEX(HistoricSummary!D:D,MATCH($C393,HistoricSummary!$A:$A,0),1)+$G393,""),AND($B393&lt;&gt;"",$D393="COST",$G393&lt;0),$G393,TRUE,)</f>
        <v/>
      </c>
      <c r="J393" s="235" t="str">
        <f t="array" ref="J393">IFS(AND($B393&lt;&gt;"",$E393&lt;&gt;""),IF(INDEX(HistoricSummary!E:E,MATCH($C393,HistoricSummary!$A:$A,0),1)&lt;&gt;"",$E393*INDEX(HistoricSummary!E:E,MATCH($C393,HistoricSummary!$A:$A,0),1)+$G393,""),AND($B393&lt;&gt;"",$D393="COST",$G393&lt;0),$G393,TRUE,)</f>
        <v/>
      </c>
    </row>
    <row r="394">
      <c r="A394" s="184">
        <v>43642.0</v>
      </c>
      <c r="B394" s="229" t="s">
        <v>298</v>
      </c>
      <c r="C394" s="229" t="s">
        <v>299</v>
      </c>
      <c r="D394" s="229" t="s">
        <v>475</v>
      </c>
      <c r="E394" s="238"/>
      <c r="F394" s="239"/>
      <c r="G394" s="233">
        <v>4012.65</v>
      </c>
      <c r="H394" s="230" t="s">
        <v>783</v>
      </c>
      <c r="I394" s="235" t="str">
        <f t="array" ref="I394">IFS(AND($B394&lt;&gt;"",$E394&lt;&gt;""),IF(INDEX(HistoricSummary!D:D,MATCH($C394,HistoricSummary!$A:$A,0),1)&lt;&gt;"",$E394*INDEX(HistoricSummary!D:D,MATCH($C394,HistoricSummary!$A:$A,0),1)+$G394,""),AND($B394&lt;&gt;"",$D394="COST",$G394&lt;0),$G394,TRUE,)</f>
        <v/>
      </c>
      <c r="J394" s="235" t="str">
        <f t="array" ref="J394">IFS(AND($B394&lt;&gt;"",$E394&lt;&gt;""),IF(INDEX(HistoricSummary!E:E,MATCH($C394,HistoricSummary!$A:$A,0),1)&lt;&gt;"",$E394*INDEX(HistoricSummary!E:E,MATCH($C394,HistoricSummary!$A:$A,0),1)+$G394,""),AND($B394&lt;&gt;"",$D394="COST",$G394&lt;0),$G394,TRUE,)</f>
        <v/>
      </c>
    </row>
    <row r="395">
      <c r="A395" s="184">
        <v>43642.0</v>
      </c>
      <c r="B395" s="229"/>
      <c r="C395" s="229"/>
      <c r="D395" s="229" t="s">
        <v>454</v>
      </c>
      <c r="E395" s="238"/>
      <c r="F395" s="239"/>
      <c r="G395" s="233">
        <v>2000.0</v>
      </c>
      <c r="H395" s="230" t="s">
        <v>784</v>
      </c>
      <c r="I395" s="235" t="str">
        <f t="array" ref="I395">IFS(AND($B395&lt;&gt;"",$E395&lt;&gt;""),IF(INDEX(HistoricSummary!D:D,MATCH($C395,HistoricSummary!$A:$A,0),1)&lt;&gt;"",$E395*INDEX(HistoricSummary!D:D,MATCH($C395,HistoricSummary!$A:$A,0),1)+$G395,""),AND($B395&lt;&gt;"",$D395="COST",$G395&lt;0),$G395,TRUE,)</f>
        <v/>
      </c>
      <c r="J395" s="235" t="str">
        <f t="array" ref="J395">IFS(AND($B395&lt;&gt;"",$E395&lt;&gt;""),IF(INDEX(HistoricSummary!E:E,MATCH($C395,HistoricSummary!$A:$A,0),1)&lt;&gt;"",$E395*INDEX(HistoricSummary!E:E,MATCH($C395,HistoricSummary!$A:$A,0),1)+$G395,""),AND($B395&lt;&gt;"",$D395="COST",$G395&lt;0),$G395,TRUE,)</f>
        <v/>
      </c>
    </row>
    <row r="396">
      <c r="A396" s="184">
        <v>43641.0</v>
      </c>
      <c r="B396" s="229" t="s">
        <v>288</v>
      </c>
      <c r="C396" s="229" t="s">
        <v>289</v>
      </c>
      <c r="D396" s="229" t="s">
        <v>415</v>
      </c>
      <c r="E396" s="238">
        <v>-9.0</v>
      </c>
      <c r="F396" s="239">
        <v>119.82</v>
      </c>
      <c r="G396" s="233">
        <v>1078.38</v>
      </c>
      <c r="H396" s="230" t="s">
        <v>785</v>
      </c>
      <c r="I396" s="235">
        <f t="array" ref="I396">IFS(AND($B396&lt;&gt;"",$E396&lt;&gt;""),IF(INDEX(HistoricSummary!D:D,MATCH($C396,HistoricSummary!$A:$A,0),1)&lt;&gt;"",$E396*INDEX(HistoricSummary!D:D,MATCH($C396,HistoricSummary!$A:$A,0),1)+$G396,""),AND($B396&lt;&gt;"",$D396="COST",$G396&lt;0),$G396,TRUE,)</f>
        <v>-274.14</v>
      </c>
      <c r="J396" s="235">
        <f t="array" ref="J396">IFS(AND($B396&lt;&gt;"",$E396&lt;&gt;""),IF(INDEX(HistoricSummary!E:E,MATCH($C396,HistoricSummary!$A:$A,0),1)&lt;&gt;"",$E396*INDEX(HistoricSummary!E:E,MATCH($C396,HistoricSummary!$A:$A,0),1)+$G396,""),AND($B396&lt;&gt;"",$D396="COST",$G396&lt;0),$G396,TRUE,)</f>
        <v>-223.3259302</v>
      </c>
    </row>
    <row r="397">
      <c r="A397" s="184">
        <v>43640.0</v>
      </c>
      <c r="B397" s="229" t="s">
        <v>288</v>
      </c>
      <c r="C397" s="229" t="s">
        <v>289</v>
      </c>
      <c r="D397" s="229" t="s">
        <v>415</v>
      </c>
      <c r="E397" s="238">
        <v>-9.0</v>
      </c>
      <c r="F397" s="239">
        <v>117.66</v>
      </c>
      <c r="G397" s="233">
        <v>1058.94</v>
      </c>
      <c r="H397" s="230" t="s">
        <v>786</v>
      </c>
      <c r="I397" s="235">
        <f t="array" ref="I397">IFS(AND($B397&lt;&gt;"",$E397&lt;&gt;""),IF(INDEX(HistoricSummary!D:D,MATCH($C397,HistoricSummary!$A:$A,0),1)&lt;&gt;"",$E397*INDEX(HistoricSummary!D:D,MATCH($C397,HistoricSummary!$A:$A,0),1)+$G397,""),AND($B397&lt;&gt;"",$D397="COST",$G397&lt;0),$G397,TRUE,)</f>
        <v>-293.58</v>
      </c>
      <c r="J397" s="235">
        <f t="array" ref="J397">IFS(AND($B397&lt;&gt;"",$E397&lt;&gt;""),IF(INDEX(HistoricSummary!E:E,MATCH($C397,HistoricSummary!$A:$A,0),1)&lt;&gt;"",$E397*INDEX(HistoricSummary!E:E,MATCH($C397,HistoricSummary!$A:$A,0),1)+$G397,""),AND($B397&lt;&gt;"",$D397="COST",$G397&lt;0),$G397,TRUE,)</f>
        <v>-242.7659302</v>
      </c>
    </row>
    <row r="398">
      <c r="A398" s="184">
        <v>43640.0</v>
      </c>
      <c r="B398" s="229" t="s">
        <v>288</v>
      </c>
      <c r="C398" s="229" t="s">
        <v>289</v>
      </c>
      <c r="D398" s="229" t="s">
        <v>415</v>
      </c>
      <c r="E398" s="238">
        <v>-16.0</v>
      </c>
      <c r="F398" s="239">
        <v>117.66</v>
      </c>
      <c r="G398" s="233">
        <v>1882.56</v>
      </c>
      <c r="H398" s="230" t="s">
        <v>787</v>
      </c>
      <c r="I398" s="235">
        <f t="array" ref="I398">IFS(AND($B398&lt;&gt;"",$E398&lt;&gt;""),IF(INDEX(HistoricSummary!D:D,MATCH($C398,HistoricSummary!$A:$A,0),1)&lt;&gt;"",$E398*INDEX(HistoricSummary!D:D,MATCH($C398,HistoricSummary!$A:$A,0),1)+$G398,""),AND($B398&lt;&gt;"",$D398="COST",$G398&lt;0),$G398,TRUE,)</f>
        <v>-521.92</v>
      </c>
      <c r="J398" s="235">
        <f t="array" ref="J398">IFS(AND($B398&lt;&gt;"",$E398&lt;&gt;""),IF(INDEX(HistoricSummary!E:E,MATCH($C398,HistoricSummary!$A:$A,0),1)&lt;&gt;"",$E398*INDEX(HistoricSummary!E:E,MATCH($C398,HistoricSummary!$A:$A,0),1)+$G398,""),AND($B398&lt;&gt;"",$D398="COST",$G398&lt;0),$G398,TRUE,)</f>
        <v>-431.583876</v>
      </c>
    </row>
    <row r="399">
      <c r="A399" s="184">
        <v>43640.0</v>
      </c>
      <c r="B399" s="229" t="s">
        <v>283</v>
      </c>
      <c r="C399" s="229" t="s">
        <v>286</v>
      </c>
      <c r="D399" s="229" t="s">
        <v>414</v>
      </c>
      <c r="E399" s="238">
        <v>1013.0</v>
      </c>
      <c r="F399" s="239">
        <v>7.103</v>
      </c>
      <c r="G399" s="233">
        <v>-7195.34</v>
      </c>
      <c r="H399" s="230" t="s">
        <v>788</v>
      </c>
      <c r="I399" s="235">
        <f t="array" ref="I399">IFS(AND($B399&lt;&gt;"",$E399&lt;&gt;""),IF(INDEX(HistoricSummary!D:D,MATCH($C399,HistoricSummary!$A:$A,0),1)&lt;&gt;"",$E399*INDEX(HistoricSummary!D:D,MATCH($C399,HistoricSummary!$A:$A,0),1)+$G399,""),AND($B399&lt;&gt;"",$D399="COST",$G399&lt;0),$G399,TRUE,)</f>
        <v>-617.931</v>
      </c>
      <c r="J399" s="235">
        <f t="array" ref="J399">IFS(AND($B399&lt;&gt;"",$E399&lt;&gt;""),IF(INDEX(HistoricSummary!E:E,MATCH($C399,HistoricSummary!$A:$A,0),1)&lt;&gt;"",$E399*INDEX(HistoricSummary!E:E,MATCH($C399,HistoricSummary!$A:$A,0),1)+$G399,""),AND($B399&lt;&gt;"",$D399="COST",$G399&lt;0),$G399,TRUE,)</f>
        <v>-660.0529535</v>
      </c>
    </row>
    <row r="400">
      <c r="A400" s="184">
        <v>43627.0</v>
      </c>
      <c r="B400" s="229" t="s">
        <v>283</v>
      </c>
      <c r="C400" s="229" t="s">
        <v>286</v>
      </c>
      <c r="D400" s="229" t="s">
        <v>414</v>
      </c>
      <c r="E400" s="238">
        <v>518.0</v>
      </c>
      <c r="F400" s="239">
        <v>6.962</v>
      </c>
      <c r="G400" s="233">
        <v>-3606.32</v>
      </c>
      <c r="H400" s="230" t="s">
        <v>789</v>
      </c>
      <c r="I400" s="235">
        <f t="array" ref="I400">IFS(AND($B400&lt;&gt;"",$E400&lt;&gt;""),IF(INDEX(HistoricSummary!D:D,MATCH($C400,HistoricSummary!$A:$A,0),1)&lt;&gt;"",$E400*INDEX(HistoricSummary!D:D,MATCH($C400,HistoricSummary!$A:$A,0),1)+$G400,""),AND($B400&lt;&gt;"",$D400="COST",$G400&lt;0),$G400,TRUE,)</f>
        <v>-242.946</v>
      </c>
      <c r="J400" s="235">
        <f t="array" ref="J400">IFS(AND($B400&lt;&gt;"",$E400&lt;&gt;""),IF(INDEX(HistoricSummary!E:E,MATCH($C400,HistoricSummary!$A:$A,0),1)&lt;&gt;"",$E400*INDEX(HistoricSummary!E:E,MATCH($C400,HistoricSummary!$A:$A,0),1)+$G400,""),AND($B400&lt;&gt;"",$D400="COST",$G400&lt;0),$G400,TRUE,)</f>
        <v>-264.4851628</v>
      </c>
    </row>
    <row r="401">
      <c r="A401" s="184">
        <v>43627.0</v>
      </c>
      <c r="B401" s="229" t="s">
        <v>283</v>
      </c>
      <c r="C401" s="229" t="s">
        <v>286</v>
      </c>
      <c r="D401" s="229" t="s">
        <v>414</v>
      </c>
      <c r="E401" s="238">
        <v>1762.0</v>
      </c>
      <c r="F401" s="239">
        <v>6.9619</v>
      </c>
      <c r="G401" s="233">
        <v>-12267.04</v>
      </c>
      <c r="H401" s="230" t="s">
        <v>790</v>
      </c>
      <c r="I401" s="235">
        <f t="array" ref="I401">IFS(AND($B401&lt;&gt;"",$E401&lt;&gt;""),IF(INDEX(HistoricSummary!D:D,MATCH($C401,HistoricSummary!$A:$A,0),1)&lt;&gt;"",$E401*INDEX(HistoricSummary!D:D,MATCH($C401,HistoricSummary!$A:$A,0),1)+$G401,""),AND($B401&lt;&gt;"",$D401="COST",$G401&lt;0),$G401,TRUE,)</f>
        <v>-826.374</v>
      </c>
      <c r="J401" s="235">
        <f t="array" ref="J401">IFS(AND($B401&lt;&gt;"",$E401&lt;&gt;""),IF(INDEX(HistoricSummary!E:E,MATCH($C401,HistoricSummary!$A:$A,0),1)&lt;&gt;"",$E401*INDEX(HistoricSummary!E:E,MATCH($C401,HistoricSummary!$A:$A,0),1)+$G401,""),AND($B401&lt;&gt;"",$D401="COST",$G401&lt;0),$G401,TRUE,)</f>
        <v>-899.6404186</v>
      </c>
    </row>
    <row r="402">
      <c r="A402" s="184">
        <v>43627.0</v>
      </c>
      <c r="B402" s="229" t="s">
        <v>302</v>
      </c>
      <c r="C402" s="229" t="s">
        <v>303</v>
      </c>
      <c r="D402" s="229" t="s">
        <v>415</v>
      </c>
      <c r="E402" s="238">
        <v>-26.0</v>
      </c>
      <c r="F402" s="239">
        <v>48.6538</v>
      </c>
      <c r="G402" s="233">
        <v>1265.0</v>
      </c>
      <c r="H402" s="230" t="s">
        <v>791</v>
      </c>
      <c r="I402" s="235">
        <f t="array" ref="I402">IFS(AND($B402&lt;&gt;"",$E402&lt;&gt;""),IF(INDEX(HistoricSummary!D:D,MATCH($C402,HistoricSummary!$A:$A,0),1)&lt;&gt;"",$E402*INDEX(HistoricSummary!D:D,MATCH($C402,HistoricSummary!$A:$A,0),1)+$G402,""),AND($B402&lt;&gt;"",$D402="COST",$G402&lt;0),$G402,TRUE,)</f>
        <v>-233.588</v>
      </c>
      <c r="J402" s="235">
        <f t="array" ref="J402">IFS(AND($B402&lt;&gt;"",$E402&lt;&gt;""),IF(INDEX(HistoricSummary!E:E,MATCH($C402,HistoricSummary!$A:$A,0),1)&lt;&gt;"",$E402*INDEX(HistoricSummary!E:E,MATCH($C402,HistoricSummary!$A:$A,0),1)+$G402,""),AND($B402&lt;&gt;"",$D402="COST",$G402&lt;0),$G402,TRUE,)</f>
        <v>-113.8366357</v>
      </c>
    </row>
    <row r="403">
      <c r="A403" s="184">
        <v>43626.0</v>
      </c>
      <c r="B403" s="229" t="s">
        <v>302</v>
      </c>
      <c r="C403" s="229" t="s">
        <v>303</v>
      </c>
      <c r="D403" s="229" t="s">
        <v>415</v>
      </c>
      <c r="E403" s="238">
        <v>-29.0</v>
      </c>
      <c r="F403" s="239">
        <v>48.562</v>
      </c>
      <c r="G403" s="233">
        <v>1408.3</v>
      </c>
      <c r="H403" s="230" t="s">
        <v>792</v>
      </c>
      <c r="I403" s="235">
        <f t="array" ref="I403">IFS(AND($B403&lt;&gt;"",$E403&lt;&gt;""),IF(INDEX(HistoricSummary!D:D,MATCH($C403,HistoricSummary!$A:$A,0),1)&lt;&gt;"",$E403*INDEX(HistoricSummary!D:D,MATCH($C403,HistoricSummary!$A:$A,0),1)+$G403,""),AND($B403&lt;&gt;"",$D403="COST",$G403&lt;0),$G403,TRUE,)</f>
        <v>-263.202</v>
      </c>
      <c r="J403" s="235">
        <f t="array" ref="J403">IFS(AND($B403&lt;&gt;"",$E403&lt;&gt;""),IF(INDEX(HistoricSummary!E:E,MATCH($C403,HistoricSummary!$A:$A,0),1)&lt;&gt;"",$E403*INDEX(HistoricSummary!E:E,MATCH($C403,HistoricSummary!$A:$A,0),1)+$G403,""),AND($B403&lt;&gt;"",$D403="COST",$G403&lt;0),$G403,TRUE,)</f>
        <v>-129.6331705</v>
      </c>
    </row>
    <row r="404">
      <c r="A404" s="184">
        <v>43623.0</v>
      </c>
      <c r="B404" s="229" t="s">
        <v>302</v>
      </c>
      <c r="C404" s="229" t="s">
        <v>303</v>
      </c>
      <c r="D404" s="229" t="s">
        <v>415</v>
      </c>
      <c r="E404" s="238">
        <v>-23.0</v>
      </c>
      <c r="F404" s="239">
        <v>48.3591</v>
      </c>
      <c r="G404" s="233">
        <v>1112.26</v>
      </c>
      <c r="H404" s="230" t="s">
        <v>793</v>
      </c>
      <c r="I404" s="235">
        <f t="array" ref="I404">IFS(AND($B404&lt;&gt;"",$E404&lt;&gt;""),IF(INDEX(HistoricSummary!D:D,MATCH($C404,HistoricSummary!$A:$A,0),1)&lt;&gt;"",$E404*INDEX(HistoricSummary!D:D,MATCH($C404,HistoricSummary!$A:$A,0),1)+$G404,""),AND($B404&lt;&gt;"",$D404="COST",$G404&lt;0),$G404,TRUE,)</f>
        <v>-213.414</v>
      </c>
      <c r="J404" s="235">
        <f t="array" ref="J404">IFS(AND($B404&lt;&gt;"",$E404&lt;&gt;""),IF(INDEX(HistoricSummary!E:E,MATCH($C404,HistoricSummary!$A:$A,0),1)&lt;&gt;"",$E404*INDEX(HistoricSummary!E:E,MATCH($C404,HistoricSummary!$A:$A,0),1)+$G404,""),AND($B404&lt;&gt;"",$D404="COST",$G404&lt;0),$G404,TRUE,)</f>
        <v>-107.4801008</v>
      </c>
    </row>
    <row r="405">
      <c r="A405" s="184">
        <v>43622.0</v>
      </c>
      <c r="B405" s="229" t="s">
        <v>302</v>
      </c>
      <c r="C405" s="229" t="s">
        <v>303</v>
      </c>
      <c r="D405" s="229" t="s">
        <v>415</v>
      </c>
      <c r="E405" s="238">
        <v>-58.0</v>
      </c>
      <c r="F405" s="239">
        <v>48.0199</v>
      </c>
      <c r="G405" s="233">
        <v>2785.16</v>
      </c>
      <c r="H405" s="230" t="s">
        <v>794</v>
      </c>
      <c r="I405" s="235">
        <f t="array" ref="I405">IFS(AND($B405&lt;&gt;"",$E405&lt;&gt;""),IF(INDEX(HistoricSummary!D:D,MATCH($C405,HistoricSummary!$A:$A,0),1)&lt;&gt;"",$E405*INDEX(HistoricSummary!D:D,MATCH($C405,HistoricSummary!$A:$A,0),1)+$G405,""),AND($B405&lt;&gt;"",$D405="COST",$G405&lt;0),$G405,TRUE,)</f>
        <v>-557.844</v>
      </c>
      <c r="J405" s="235">
        <f t="array" ref="J405">IFS(AND($B405&lt;&gt;"",$E405&lt;&gt;""),IF(INDEX(HistoricSummary!E:E,MATCH($C405,HistoricSummary!$A:$A,0),1)&lt;&gt;"",$E405*INDEX(HistoricSummary!E:E,MATCH($C405,HistoricSummary!$A:$A,0),1)+$G405,""),AND($B405&lt;&gt;"",$D405="COST",$G405&lt;0),$G405,TRUE,)</f>
        <v>-290.7063411</v>
      </c>
    </row>
    <row r="406">
      <c r="A406" s="184">
        <v>43620.0</v>
      </c>
      <c r="B406" s="229"/>
      <c r="C406" s="229"/>
      <c r="D406" s="229" t="s">
        <v>454</v>
      </c>
      <c r="E406" s="238"/>
      <c r="F406" s="239"/>
      <c r="G406" s="233">
        <v>-100.0</v>
      </c>
      <c r="H406" s="230" t="s">
        <v>513</v>
      </c>
      <c r="I406" s="235" t="str">
        <f t="array" ref="I406">IFS(AND($B406&lt;&gt;"",$E406&lt;&gt;""),IF(INDEX(HistoricSummary!D:D,MATCH($C406,HistoricSummary!$A:$A,0),1)&lt;&gt;"",$E406*INDEX(HistoricSummary!D:D,MATCH($C406,HistoricSummary!$A:$A,0),1)+$G406,""),AND($B406&lt;&gt;"",$D406="COST",$G406&lt;0),$G406,TRUE,)</f>
        <v/>
      </c>
      <c r="J406" s="235" t="str">
        <f t="array" ref="J406">IFS(AND($B406&lt;&gt;"",$E406&lt;&gt;""),IF(INDEX(HistoricSummary!E:E,MATCH($C406,HistoricSummary!$A:$A,0),1)&lt;&gt;"",$E406*INDEX(HistoricSummary!E:E,MATCH($C406,HistoricSummary!$A:$A,0),1)+$G406,""),AND($B406&lt;&gt;"",$D406="COST",$G406&lt;0),$G406,TRUE,)</f>
        <v/>
      </c>
    </row>
    <row r="407">
      <c r="A407" s="184">
        <v>43620.0</v>
      </c>
      <c r="B407" s="229" t="s">
        <v>288</v>
      </c>
      <c r="C407" s="229" t="s">
        <v>289</v>
      </c>
      <c r="D407" s="229" t="s">
        <v>415</v>
      </c>
      <c r="E407" s="238">
        <v>-9.0</v>
      </c>
      <c r="F407" s="239">
        <v>112.4</v>
      </c>
      <c r="G407" s="233">
        <v>1011.6</v>
      </c>
      <c r="H407" s="230" t="s">
        <v>795</v>
      </c>
      <c r="I407" s="235">
        <f t="array" ref="I407">IFS(AND($B407&lt;&gt;"",$E407&lt;&gt;""),IF(INDEX(HistoricSummary!D:D,MATCH($C407,HistoricSummary!$A:$A,0),1)&lt;&gt;"",$E407*INDEX(HistoricSummary!D:D,MATCH($C407,HistoricSummary!$A:$A,0),1)+$G407,""),AND($B407&lt;&gt;"",$D407="COST",$G407&lt;0),$G407,TRUE,)</f>
        <v>-340.92</v>
      </c>
      <c r="J407" s="235">
        <f t="array" ref="J407">IFS(AND($B407&lt;&gt;"",$E407&lt;&gt;""),IF(INDEX(HistoricSummary!E:E,MATCH($C407,HistoricSummary!$A:$A,0),1)&lt;&gt;"",$E407*INDEX(HistoricSummary!E:E,MATCH($C407,HistoricSummary!$A:$A,0),1)+$G407,""),AND($B407&lt;&gt;"",$D407="COST",$G407&lt;0),$G407,TRUE,)</f>
        <v>-290.1059302</v>
      </c>
    </row>
    <row r="408">
      <c r="A408" s="184">
        <v>43619.0</v>
      </c>
      <c r="B408" s="229" t="s">
        <v>292</v>
      </c>
      <c r="C408" s="229" t="s">
        <v>293</v>
      </c>
      <c r="D408" s="229" t="s">
        <v>475</v>
      </c>
      <c r="E408" s="238"/>
      <c r="F408" s="239"/>
      <c r="G408" s="233">
        <v>-173.19</v>
      </c>
      <c r="H408" s="230" t="s">
        <v>796</v>
      </c>
      <c r="I408" s="235" t="str">
        <f t="array" ref="I408">IFS(AND($B408&lt;&gt;"",$E408&lt;&gt;""),IF(INDEX(HistoricSummary!D:D,MATCH($C408,HistoricSummary!$A:$A,0),1)&lt;&gt;"",$E408*INDEX(HistoricSummary!D:D,MATCH($C408,HistoricSummary!$A:$A,0),1)+$G408,""),AND($B408&lt;&gt;"",$D408="COST",$G408&lt;0),$G408,TRUE,)</f>
        <v/>
      </c>
      <c r="J408" s="235" t="str">
        <f t="array" ref="J408">IFS(AND($B408&lt;&gt;"",$E408&lt;&gt;""),IF(INDEX(HistoricSummary!E:E,MATCH($C408,HistoricSummary!$A:$A,0),1)&lt;&gt;"",$E408*INDEX(HistoricSummary!E:E,MATCH($C408,HistoricSummary!$A:$A,0),1)+$G408,""),AND($B408&lt;&gt;"",$D408="COST",$G408&lt;0),$G408,TRUE,)</f>
        <v/>
      </c>
    </row>
    <row r="409">
      <c r="A409" s="184">
        <v>43619.0</v>
      </c>
      <c r="B409" s="229" t="s">
        <v>298</v>
      </c>
      <c r="C409" s="229" t="s">
        <v>299</v>
      </c>
      <c r="D409" s="229" t="s">
        <v>415</v>
      </c>
      <c r="E409" s="238">
        <v>-512.0</v>
      </c>
      <c r="F409" s="239">
        <v>4.4825</v>
      </c>
      <c r="G409" s="233">
        <v>2295.04</v>
      </c>
      <c r="H409" s="230" t="s">
        <v>797</v>
      </c>
      <c r="I409" s="235">
        <f t="array" ref="I409">IFS(AND($B409&lt;&gt;"",$E409&lt;&gt;""),IF(INDEX(HistoricSummary!D:D,MATCH($C409,HistoricSummary!$A:$A,0),1)&lt;&gt;"",$E409*INDEX(HistoricSummary!D:D,MATCH($C409,HistoricSummary!$A:$A,0),1)+$G409,""),AND($B409&lt;&gt;"",$D409="COST",$G409&lt;0),$G409,TRUE,)</f>
        <v>-236.6976</v>
      </c>
      <c r="J409" s="235">
        <f t="array" ref="J409">IFS(AND($B409&lt;&gt;"",$E409&lt;&gt;""),IF(INDEX(HistoricSummary!E:E,MATCH($C409,HistoricSummary!$A:$A,0),1)&lt;&gt;"",$E409*INDEX(HistoricSummary!E:E,MATCH($C409,HistoricSummary!$A:$A,0),1)+$G409,""),AND($B409&lt;&gt;"",$D409="COST",$G409&lt;0),$G409,TRUE,)</f>
        <v>-367.5882171</v>
      </c>
    </row>
    <row r="410">
      <c r="A410" s="184">
        <v>43619.0</v>
      </c>
      <c r="B410" s="229" t="s">
        <v>298</v>
      </c>
      <c r="C410" s="229" t="s">
        <v>299</v>
      </c>
      <c r="D410" s="229" t="s">
        <v>432</v>
      </c>
      <c r="E410" s="238"/>
      <c r="F410" s="239"/>
      <c r="G410" s="233">
        <v>-2.46</v>
      </c>
      <c r="H410" s="230" t="s">
        <v>798</v>
      </c>
      <c r="I410" s="235">
        <f t="array" ref="I410">IFS(AND($B410&lt;&gt;"",$E410&lt;&gt;""),IF(INDEX(HistoricSummary!D:D,MATCH($C410,HistoricSummary!$A:$A,0),1)&lt;&gt;"",$E410*INDEX(HistoricSummary!D:D,MATCH($C410,HistoricSummary!$A:$A,0),1)+$G410,""),AND($B410&lt;&gt;"",$D410="COST",$G410&lt;0),$G410,TRUE,)</f>
        <v>-2.46</v>
      </c>
      <c r="J410" s="235">
        <f t="array" ref="J410">IFS(AND($B410&lt;&gt;"",$E410&lt;&gt;""),IF(INDEX(HistoricSummary!E:E,MATCH($C410,HistoricSummary!$A:$A,0),1)&lt;&gt;"",$E410*INDEX(HistoricSummary!E:E,MATCH($C410,HistoricSummary!$A:$A,0),1)+$G410,""),AND($B410&lt;&gt;"",$D410="COST",$G410&lt;0),$G410,TRUE,)</f>
        <v>-2.46</v>
      </c>
    </row>
    <row r="411">
      <c r="A411" s="184">
        <v>43619.0</v>
      </c>
      <c r="B411" s="229" t="s">
        <v>292</v>
      </c>
      <c r="C411" s="229" t="s">
        <v>293</v>
      </c>
      <c r="D411" s="229" t="s">
        <v>415</v>
      </c>
      <c r="E411" s="238">
        <v>-7.0</v>
      </c>
      <c r="F411" s="239">
        <v>179.42</v>
      </c>
      <c r="G411" s="233">
        <v>1255.94</v>
      </c>
      <c r="H411" s="230" t="s">
        <v>799</v>
      </c>
      <c r="I411" s="235">
        <f t="array" ref="I411">IFS(AND($B411&lt;&gt;"",$E411&lt;&gt;""),IF(INDEX(HistoricSummary!D:D,MATCH($C411,HistoricSummary!$A:$A,0),1)&lt;&gt;"",$E411*INDEX(HistoricSummary!D:D,MATCH($C411,HistoricSummary!$A:$A,0),1)+$G411,""),AND($B411&lt;&gt;"",$D411="COST",$G411&lt;0),$G411,TRUE,)</f>
        <v>-49.28</v>
      </c>
      <c r="J411" s="235">
        <f t="array" ref="J411">IFS(AND($B411&lt;&gt;"",$E411&lt;&gt;""),IF(INDEX(HistoricSummary!E:E,MATCH($C411,HistoricSummary!$A:$A,0),1)&lt;&gt;"",$E411*INDEX(HistoricSummary!E:E,MATCH($C411,HistoricSummary!$A:$A,0),1)+$G411,""),AND($B411&lt;&gt;"",$D411="COST",$G411&lt;0),$G411,TRUE,)</f>
        <v>-94.28782946</v>
      </c>
    </row>
    <row r="412">
      <c r="A412" s="184">
        <v>43619.0</v>
      </c>
      <c r="B412" s="229" t="s">
        <v>288</v>
      </c>
      <c r="C412" s="229" t="s">
        <v>289</v>
      </c>
      <c r="D412" s="229" t="s">
        <v>415</v>
      </c>
      <c r="E412" s="238">
        <v>-10.0</v>
      </c>
      <c r="F412" s="239">
        <v>112.29</v>
      </c>
      <c r="G412" s="233">
        <v>1122.9</v>
      </c>
      <c r="H412" s="230" t="s">
        <v>800</v>
      </c>
      <c r="I412" s="235">
        <f t="array" ref="I412">IFS(AND($B412&lt;&gt;"",$E412&lt;&gt;""),IF(INDEX(HistoricSummary!D:D,MATCH($C412,HistoricSummary!$A:$A,0),1)&lt;&gt;"",$E412*INDEX(HistoricSummary!D:D,MATCH($C412,HistoricSummary!$A:$A,0),1)+$G412,""),AND($B412&lt;&gt;"",$D412="COST",$G412&lt;0),$G412,TRUE,)</f>
        <v>-379.9</v>
      </c>
      <c r="J412" s="235">
        <f t="array" ref="J412">IFS(AND($B412&lt;&gt;"",$E412&lt;&gt;""),IF(INDEX(HistoricSummary!E:E,MATCH($C412,HistoricSummary!$A:$A,0),1)&lt;&gt;"",$E412*INDEX(HistoricSummary!E:E,MATCH($C412,HistoricSummary!$A:$A,0),1)+$G412,""),AND($B412&lt;&gt;"",$D412="COST",$G412&lt;0),$G412,TRUE,)</f>
        <v>-323.4399225</v>
      </c>
    </row>
    <row r="413">
      <c r="A413" s="184">
        <v>43619.0</v>
      </c>
      <c r="B413" s="229" t="s">
        <v>298</v>
      </c>
      <c r="C413" s="229" t="s">
        <v>299</v>
      </c>
      <c r="D413" s="229" t="s">
        <v>415</v>
      </c>
      <c r="E413" s="238">
        <v>-871.0</v>
      </c>
      <c r="F413" s="239">
        <v>4.4625</v>
      </c>
      <c r="G413" s="233">
        <v>3886.84</v>
      </c>
      <c r="H413" s="230" t="s">
        <v>801</v>
      </c>
      <c r="I413" s="235">
        <f t="array" ref="I413">IFS(AND($B413&lt;&gt;"",$E413&lt;&gt;""),IF(INDEX(HistoricSummary!D:D,MATCH($C413,HistoricSummary!$A:$A,0),1)&lt;&gt;"",$E413*INDEX(HistoricSummary!D:D,MATCH($C413,HistoricSummary!$A:$A,0),1)+$G413,""),AND($B413&lt;&gt;"",$D413="COST",$G413&lt;0),$G413,TRUE,)</f>
        <v>-420.0808</v>
      </c>
      <c r="J413" s="235">
        <f t="array" ref="J413">IFS(AND($B413&lt;&gt;"",$E413&lt;&gt;""),IF(INDEX(HistoricSummary!E:E,MATCH($C413,HistoricSummary!$A:$A,0),1)&lt;&gt;"",$E413*INDEX(HistoricSummary!E:E,MATCH($C413,HistoricSummary!$A:$A,0),1)+$G413,""),AND($B413&lt;&gt;"",$D413="COST",$G413&lt;0),$G413,TRUE,)</f>
        <v>-642.7482364</v>
      </c>
    </row>
    <row r="414">
      <c r="A414" s="184">
        <v>43619.0</v>
      </c>
      <c r="B414" s="229" t="s">
        <v>298</v>
      </c>
      <c r="C414" s="229" t="s">
        <v>299</v>
      </c>
      <c r="D414" s="229" t="s">
        <v>432</v>
      </c>
      <c r="E414" s="238"/>
      <c r="F414" s="239"/>
      <c r="G414" s="233">
        <v>-2.78</v>
      </c>
      <c r="H414" s="230" t="s">
        <v>802</v>
      </c>
      <c r="I414" s="235">
        <f t="array" ref="I414">IFS(AND($B414&lt;&gt;"",$E414&lt;&gt;""),IF(INDEX(HistoricSummary!D:D,MATCH($C414,HistoricSummary!$A:$A,0),1)&lt;&gt;"",$E414*INDEX(HistoricSummary!D:D,MATCH($C414,HistoricSummary!$A:$A,0),1)+$G414,""),AND($B414&lt;&gt;"",$D414="COST",$G414&lt;0),$G414,TRUE,)</f>
        <v>-2.78</v>
      </c>
      <c r="J414" s="235">
        <f t="array" ref="J414">IFS(AND($B414&lt;&gt;"",$E414&lt;&gt;""),IF(INDEX(HistoricSummary!E:E,MATCH($C414,HistoricSummary!$A:$A,0),1)&lt;&gt;"",$E414*INDEX(HistoricSummary!E:E,MATCH($C414,HistoricSummary!$A:$A,0),1)+$G414,""),AND($B414&lt;&gt;"",$D414="COST",$G414&lt;0),$G414,TRUE,)</f>
        <v>-2.78</v>
      </c>
    </row>
    <row r="415">
      <c r="A415" s="184">
        <v>43616.0</v>
      </c>
      <c r="B415" s="229" t="s">
        <v>292</v>
      </c>
      <c r="C415" s="229" t="s">
        <v>293</v>
      </c>
      <c r="D415" s="229" t="s">
        <v>475</v>
      </c>
      <c r="E415" s="238"/>
      <c r="F415" s="239"/>
      <c r="G415" s="233">
        <v>1556.2</v>
      </c>
      <c r="H415" s="230" t="s">
        <v>803</v>
      </c>
      <c r="I415" s="235" t="str">
        <f t="array" ref="I415">IFS(AND($B415&lt;&gt;"",$E415&lt;&gt;""),IF(INDEX(HistoricSummary!D:D,MATCH($C415,HistoricSummary!$A:$A,0),1)&lt;&gt;"",$E415*INDEX(HistoricSummary!D:D,MATCH($C415,HistoricSummary!$A:$A,0),1)+$G415,""),AND($B415&lt;&gt;"",$D415="COST",$G415&lt;0),$G415,TRUE,)</f>
        <v/>
      </c>
      <c r="J415" s="235" t="str">
        <f t="array" ref="J415">IFS(AND($B415&lt;&gt;"",$E415&lt;&gt;""),IF(INDEX(HistoricSummary!E:E,MATCH($C415,HistoricSummary!$A:$A,0),1)&lt;&gt;"",$E415*INDEX(HistoricSummary!E:E,MATCH($C415,HistoricSummary!$A:$A,0),1)+$G415,""),AND($B415&lt;&gt;"",$D415="COST",$G415&lt;0),$G415,TRUE,)</f>
        <v/>
      </c>
    </row>
    <row r="416">
      <c r="A416" s="184">
        <v>43616.0</v>
      </c>
      <c r="B416" s="229"/>
      <c r="C416" s="229"/>
      <c r="D416" s="229" t="s">
        <v>432</v>
      </c>
      <c r="E416" s="238"/>
      <c r="F416" s="239"/>
      <c r="G416" s="233">
        <v>-569.48</v>
      </c>
      <c r="H416" s="230" t="s">
        <v>804</v>
      </c>
      <c r="I416" s="235" t="str">
        <f t="array" ref="I416">IFS(AND($B416&lt;&gt;"",$E416&lt;&gt;""),IF(INDEX(HistoricSummary!D:D,MATCH($C416,HistoricSummary!$A:$A,0),1)&lt;&gt;"",$E416*INDEX(HistoricSummary!D:D,MATCH($C416,HistoricSummary!$A:$A,0),1)+$G416,""),AND($B416&lt;&gt;"",$D416="COST",$G416&lt;0),$G416,TRUE,)</f>
        <v/>
      </c>
      <c r="J416" s="235" t="str">
        <f t="array" ref="J416">IFS(AND($B416&lt;&gt;"",$E416&lt;&gt;""),IF(INDEX(HistoricSummary!E:E,MATCH($C416,HistoricSummary!$A:$A,0),1)&lt;&gt;"",$E416*INDEX(HistoricSummary!E:E,MATCH($C416,HistoricSummary!$A:$A,0),1)+$G416,""),AND($B416&lt;&gt;"",$D416="COST",$G416&lt;0),$G416,TRUE,)</f>
        <v/>
      </c>
    </row>
    <row r="417">
      <c r="A417" s="184">
        <v>43616.0</v>
      </c>
      <c r="B417" s="229" t="s">
        <v>298</v>
      </c>
      <c r="C417" s="229" t="s">
        <v>299</v>
      </c>
      <c r="D417" s="229" t="s">
        <v>415</v>
      </c>
      <c r="E417" s="238">
        <v>-298.0</v>
      </c>
      <c r="F417" s="239">
        <v>4.4304</v>
      </c>
      <c r="G417" s="233">
        <v>1320.26</v>
      </c>
      <c r="H417" s="230" t="s">
        <v>805</v>
      </c>
      <c r="I417" s="235">
        <f t="array" ref="I417">IFS(AND($B417&lt;&gt;"",$E417&lt;&gt;""),IF(INDEX(HistoricSummary!D:D,MATCH($C417,HistoricSummary!$A:$A,0),1)&lt;&gt;"",$E417*INDEX(HistoricSummary!D:D,MATCH($C417,HistoricSummary!$A:$A,0),1)+$G417,""),AND($B417&lt;&gt;"",$D417="COST",$G417&lt;0),$G417,TRUE,)</f>
        <v>-153.2904</v>
      </c>
      <c r="J417" s="235">
        <f t="array" ref="J417">IFS(AND($B417&lt;&gt;"",$E417&lt;&gt;""),IF(INDEX(HistoricSummary!E:E,MATCH($C417,HistoricSummary!$A:$A,0),1)&lt;&gt;"",$E417*INDEX(HistoricSummary!E:E,MATCH($C417,HistoricSummary!$A:$A,0),1)+$G417,""),AND($B417&lt;&gt;"",$D417="COST",$G417&lt;0),$G417,TRUE,)</f>
        <v>-229.4728295</v>
      </c>
    </row>
    <row r="418">
      <c r="A418" s="184">
        <v>43616.0</v>
      </c>
      <c r="B418" s="229" t="s">
        <v>298</v>
      </c>
      <c r="C418" s="229" t="s">
        <v>299</v>
      </c>
      <c r="D418" s="229" t="s">
        <v>432</v>
      </c>
      <c r="E418" s="238"/>
      <c r="F418" s="239"/>
      <c r="G418" s="233">
        <v>-2.26</v>
      </c>
      <c r="H418" s="230" t="s">
        <v>806</v>
      </c>
      <c r="I418" s="235">
        <f t="array" ref="I418">IFS(AND($B418&lt;&gt;"",$E418&lt;&gt;""),IF(INDEX(HistoricSummary!D:D,MATCH($C418,HistoricSummary!$A:$A,0),1)&lt;&gt;"",$E418*INDEX(HistoricSummary!D:D,MATCH($C418,HistoricSummary!$A:$A,0),1)+$G418,""),AND($B418&lt;&gt;"",$D418="COST",$G418&lt;0),$G418,TRUE,)</f>
        <v>-2.26</v>
      </c>
      <c r="J418" s="235">
        <f t="array" ref="J418">IFS(AND($B418&lt;&gt;"",$E418&lt;&gt;""),IF(INDEX(HistoricSummary!E:E,MATCH($C418,HistoricSummary!$A:$A,0),1)&lt;&gt;"",$E418*INDEX(HistoricSummary!E:E,MATCH($C418,HistoricSummary!$A:$A,0),1)+$G418,""),AND($B418&lt;&gt;"",$D418="COST",$G418&lt;0),$G418,TRUE,)</f>
        <v>-2.26</v>
      </c>
    </row>
    <row r="419">
      <c r="A419" s="184">
        <v>43616.0</v>
      </c>
      <c r="B419" s="229" t="s">
        <v>292</v>
      </c>
      <c r="C419" s="229" t="s">
        <v>293</v>
      </c>
      <c r="D419" s="229" t="s">
        <v>415</v>
      </c>
      <c r="E419" s="238">
        <v>-6.0</v>
      </c>
      <c r="F419" s="239">
        <v>178.2999</v>
      </c>
      <c r="G419" s="233">
        <v>1069.8</v>
      </c>
      <c r="H419" s="230" t="s">
        <v>807</v>
      </c>
      <c r="I419" s="235">
        <f t="array" ref="I419">IFS(AND($B419&lt;&gt;"",$E419&lt;&gt;""),IF(INDEX(HistoricSummary!D:D,MATCH($C419,HistoricSummary!$A:$A,0),1)&lt;&gt;"",$E419*INDEX(HistoricSummary!D:D,MATCH($C419,HistoricSummary!$A:$A,0),1)+$G419,""),AND($B419&lt;&gt;"",$D419="COST",$G419&lt;0),$G419,TRUE,)</f>
        <v>-48.96</v>
      </c>
      <c r="J419" s="235">
        <f t="array" ref="J419">IFS(AND($B419&lt;&gt;"",$E419&lt;&gt;""),IF(INDEX(HistoricSummary!E:E,MATCH($C419,HistoricSummary!$A:$A,0),1)&lt;&gt;"",$E419*INDEX(HistoricSummary!E:E,MATCH($C419,HistoricSummary!$A:$A,0),1)+$G419,""),AND($B419&lt;&gt;"",$D419="COST",$G419&lt;0),$G419,TRUE,)</f>
        <v>-87.53813953</v>
      </c>
    </row>
    <row r="420">
      <c r="A420" s="184">
        <v>43616.0</v>
      </c>
      <c r="B420" s="229" t="s">
        <v>288</v>
      </c>
      <c r="C420" s="229" t="s">
        <v>289</v>
      </c>
      <c r="D420" s="229" t="s">
        <v>415</v>
      </c>
      <c r="E420" s="238">
        <v>-10.0</v>
      </c>
      <c r="F420" s="239">
        <v>110.96</v>
      </c>
      <c r="G420" s="233">
        <v>1109.6</v>
      </c>
      <c r="H420" s="230" t="s">
        <v>808</v>
      </c>
      <c r="I420" s="235">
        <f t="array" ref="I420">IFS(AND($B420&lt;&gt;"",$E420&lt;&gt;""),IF(INDEX(HistoricSummary!D:D,MATCH($C420,HistoricSummary!$A:$A,0),1)&lt;&gt;"",$E420*INDEX(HistoricSummary!D:D,MATCH($C420,HistoricSummary!$A:$A,0),1)+$G420,""),AND($B420&lt;&gt;"",$D420="COST",$G420&lt;0),$G420,TRUE,)</f>
        <v>-393.2</v>
      </c>
      <c r="J420" s="235">
        <f t="array" ref="J420">IFS(AND($B420&lt;&gt;"",$E420&lt;&gt;""),IF(INDEX(HistoricSummary!E:E,MATCH($C420,HistoricSummary!$A:$A,0),1)&lt;&gt;"",$E420*INDEX(HistoricSummary!E:E,MATCH($C420,HistoricSummary!$A:$A,0),1)+$G420,""),AND($B420&lt;&gt;"",$D420="COST",$G420&lt;0),$G420,TRUE,)</f>
        <v>-336.7399225</v>
      </c>
    </row>
    <row r="421">
      <c r="A421" s="184">
        <v>43616.0</v>
      </c>
      <c r="B421" s="229" t="s">
        <v>292</v>
      </c>
      <c r="C421" s="229" t="s">
        <v>293</v>
      </c>
      <c r="D421" s="229" t="s">
        <v>415</v>
      </c>
      <c r="E421" s="238">
        <v>-6.0</v>
      </c>
      <c r="F421" s="239">
        <v>178.73</v>
      </c>
      <c r="G421" s="233">
        <v>1072.38</v>
      </c>
      <c r="H421" s="230" t="s">
        <v>809</v>
      </c>
      <c r="I421" s="235">
        <f t="array" ref="I421">IFS(AND($B421&lt;&gt;"",$E421&lt;&gt;""),IF(INDEX(HistoricSummary!D:D,MATCH($C421,HistoricSummary!$A:$A,0),1)&lt;&gt;"",$E421*INDEX(HistoricSummary!D:D,MATCH($C421,HistoricSummary!$A:$A,0),1)+$G421,""),AND($B421&lt;&gt;"",$D421="COST",$G421&lt;0),$G421,TRUE,)</f>
        <v>-46.38</v>
      </c>
      <c r="J421" s="235">
        <f t="array" ref="J421">IFS(AND($B421&lt;&gt;"",$E421&lt;&gt;""),IF(INDEX(HistoricSummary!E:E,MATCH($C421,HistoricSummary!$A:$A,0),1)&lt;&gt;"",$E421*INDEX(HistoricSummary!E:E,MATCH($C421,HistoricSummary!$A:$A,0),1)+$G421,""),AND($B421&lt;&gt;"",$D421="COST",$G421&lt;0),$G421,TRUE,)</f>
        <v>-84.95813953</v>
      </c>
    </row>
    <row r="422">
      <c r="A422" s="184">
        <v>43616.0</v>
      </c>
      <c r="B422" s="229" t="s">
        <v>298</v>
      </c>
      <c r="C422" s="229" t="s">
        <v>299</v>
      </c>
      <c r="D422" s="229" t="s">
        <v>415</v>
      </c>
      <c r="E422" s="238">
        <v>-1131.0</v>
      </c>
      <c r="F422" s="239">
        <v>4.4368</v>
      </c>
      <c r="G422" s="233">
        <v>5018.13</v>
      </c>
      <c r="H422" s="230" t="s">
        <v>810</v>
      </c>
      <c r="I422" s="235">
        <f t="array" ref="I422">IFS(AND($B422&lt;&gt;"",$E422&lt;&gt;""),IF(INDEX(HistoricSummary!D:D,MATCH($C422,HistoricSummary!$A:$A,0),1)&lt;&gt;"",$E422*INDEX(HistoricSummary!D:D,MATCH($C422,HistoricSummary!$A:$A,0),1)+$G422,""),AND($B422&lt;&gt;"",$D422="COST",$G422&lt;0),$G422,TRUE,)</f>
        <v>-574.4388</v>
      </c>
      <c r="J422" s="235">
        <f t="array" ref="J422">IFS(AND($B422&lt;&gt;"",$E422&lt;&gt;""),IF(INDEX(HistoricSummary!E:E,MATCH($C422,HistoricSummary!$A:$A,0),1)&lt;&gt;"",$E422*INDEX(HistoricSummary!E:E,MATCH($C422,HistoricSummary!$A:$A,0),1)+$G422,""),AND($B422&lt;&gt;"",$D422="COST",$G422&lt;0),$G422,TRUE,)</f>
        <v>-863.5741279</v>
      </c>
    </row>
    <row r="423">
      <c r="A423" s="184">
        <v>43616.0</v>
      </c>
      <c r="B423" s="229" t="s">
        <v>298</v>
      </c>
      <c r="C423" s="229" t="s">
        <v>299</v>
      </c>
      <c r="D423" s="229" t="s">
        <v>432</v>
      </c>
      <c r="E423" s="238"/>
      <c r="F423" s="239"/>
      <c r="G423" s="233">
        <v>-3.0</v>
      </c>
      <c r="H423" s="230" t="s">
        <v>811</v>
      </c>
      <c r="I423" s="235">
        <f t="array" ref="I423">IFS(AND($B423&lt;&gt;"",$E423&lt;&gt;""),IF(INDEX(HistoricSummary!D:D,MATCH($C423,HistoricSummary!$A:$A,0),1)&lt;&gt;"",$E423*INDEX(HistoricSummary!D:D,MATCH($C423,HistoricSummary!$A:$A,0),1)+$G423,""),AND($B423&lt;&gt;"",$D423="COST",$G423&lt;0),$G423,TRUE,)</f>
        <v>-3</v>
      </c>
      <c r="J423" s="235">
        <f t="array" ref="J423">IFS(AND($B423&lt;&gt;"",$E423&lt;&gt;""),IF(INDEX(HistoricSummary!E:E,MATCH($C423,HistoricSummary!$A:$A,0),1)&lt;&gt;"",$E423*INDEX(HistoricSummary!E:E,MATCH($C423,HistoricSummary!$A:$A,0),1)+$G423,""),AND($B423&lt;&gt;"",$D423="COST",$G423&lt;0),$G423,TRUE,)</f>
        <v>-3</v>
      </c>
    </row>
    <row r="424">
      <c r="A424" s="184">
        <v>43614.0</v>
      </c>
      <c r="B424" s="229" t="s">
        <v>298</v>
      </c>
      <c r="C424" s="229" t="s">
        <v>299</v>
      </c>
      <c r="D424" s="229" t="s">
        <v>415</v>
      </c>
      <c r="E424" s="238">
        <v>-1016.0</v>
      </c>
      <c r="F424" s="239">
        <v>4.3762</v>
      </c>
      <c r="G424" s="233">
        <v>4446.32</v>
      </c>
      <c r="H424" s="230" t="s">
        <v>812</v>
      </c>
      <c r="I424" s="235">
        <f t="array" ref="I424">IFS(AND($B424&lt;&gt;"",$E424&lt;&gt;""),IF(INDEX(HistoricSummary!D:D,MATCH($C424,HistoricSummary!$A:$A,0),1)&lt;&gt;"",$E424*INDEX(HistoricSummary!D:D,MATCH($C424,HistoricSummary!$A:$A,0),1)+$G424,""),AND($B424&lt;&gt;"",$D424="COST",$G424&lt;0),$G424,TRUE,)</f>
        <v>-577.5968</v>
      </c>
      <c r="J424" s="235">
        <f t="array" ref="J424">IFS(AND($B424&lt;&gt;"",$E424&lt;&gt;""),IF(INDEX(HistoricSummary!E:E,MATCH($C424,HistoricSummary!$A:$A,0),1)&lt;&gt;"",$E424*INDEX(HistoricSummary!E:E,MATCH($C424,HistoricSummary!$A:$A,0),1)+$G424,""),AND($B424&lt;&gt;"",$D424="COST",$G424&lt;0),$G424,TRUE,)</f>
        <v>-837.3328682</v>
      </c>
    </row>
    <row r="425">
      <c r="A425" s="184">
        <v>43614.0</v>
      </c>
      <c r="B425" s="229" t="s">
        <v>298</v>
      </c>
      <c r="C425" s="229" t="s">
        <v>299</v>
      </c>
      <c r="D425" s="229" t="s">
        <v>432</v>
      </c>
      <c r="E425" s="238"/>
      <c r="F425" s="239"/>
      <c r="G425" s="233">
        <v>-2.89</v>
      </c>
      <c r="H425" s="230" t="s">
        <v>813</v>
      </c>
      <c r="I425" s="235">
        <f t="array" ref="I425">IFS(AND($B425&lt;&gt;"",$E425&lt;&gt;""),IF(INDEX(HistoricSummary!D:D,MATCH($C425,HistoricSummary!$A:$A,0),1)&lt;&gt;"",$E425*INDEX(HistoricSummary!D:D,MATCH($C425,HistoricSummary!$A:$A,0),1)+$G425,""),AND($B425&lt;&gt;"",$D425="COST",$G425&lt;0),$G425,TRUE,)</f>
        <v>-2.89</v>
      </c>
      <c r="J425" s="235">
        <f t="array" ref="J425">IFS(AND($B425&lt;&gt;"",$E425&lt;&gt;""),IF(INDEX(HistoricSummary!E:E,MATCH($C425,HistoricSummary!$A:$A,0),1)&lt;&gt;"",$E425*INDEX(HistoricSummary!E:E,MATCH($C425,HistoricSummary!$A:$A,0),1)+$G425,""),AND($B425&lt;&gt;"",$D425="COST",$G425&lt;0),$G425,TRUE,)</f>
        <v>-2.89</v>
      </c>
    </row>
    <row r="426">
      <c r="A426" s="184">
        <v>43613.0</v>
      </c>
      <c r="B426" s="229" t="s">
        <v>298</v>
      </c>
      <c r="C426" s="229" t="s">
        <v>299</v>
      </c>
      <c r="D426" s="229" t="s">
        <v>415</v>
      </c>
      <c r="E426" s="238">
        <v>-258.0</v>
      </c>
      <c r="F426" s="239">
        <v>4.3348</v>
      </c>
      <c r="G426" s="233">
        <v>1118.4</v>
      </c>
      <c r="H426" s="230" t="s">
        <v>814</v>
      </c>
      <c r="I426" s="235">
        <f t="array" ref="I426">IFS(AND($B426&lt;&gt;"",$E426&lt;&gt;""),IF(INDEX(HistoricSummary!D:D,MATCH($C426,HistoricSummary!$A:$A,0),1)&lt;&gt;"",$E426*INDEX(HistoricSummary!D:D,MATCH($C426,HistoricSummary!$A:$A,0),1)+$G426,""),AND($B426&lt;&gt;"",$D426="COST",$G426&lt;0),$G426,TRUE,)</f>
        <v>-157.3584</v>
      </c>
      <c r="J426" s="235">
        <f t="array" ref="J426">IFS(AND($B426&lt;&gt;"",$E426&lt;&gt;""),IF(INDEX(HistoricSummary!E:E,MATCH($C426,HistoricSummary!$A:$A,0),1)&lt;&gt;"",$E426*INDEX(HistoricSummary!E:E,MATCH($C426,HistoricSummary!$A:$A,0),1)+$G426,""),AND($B426&lt;&gt;"",$D426="COST",$G426&lt;0),$G426,TRUE,)</f>
        <v>-223.315</v>
      </c>
    </row>
    <row r="427">
      <c r="A427" s="184">
        <v>43613.0</v>
      </c>
      <c r="B427" s="229" t="s">
        <v>298</v>
      </c>
      <c r="C427" s="229" t="s">
        <v>299</v>
      </c>
      <c r="D427" s="229" t="s">
        <v>432</v>
      </c>
      <c r="E427" s="238"/>
      <c r="F427" s="239"/>
      <c r="G427" s="233">
        <v>-2.22</v>
      </c>
      <c r="H427" s="230" t="s">
        <v>519</v>
      </c>
      <c r="I427" s="235">
        <f t="array" ref="I427">IFS(AND($B427&lt;&gt;"",$E427&lt;&gt;""),IF(INDEX(HistoricSummary!D:D,MATCH($C427,HistoricSummary!$A:$A,0),1)&lt;&gt;"",$E427*INDEX(HistoricSummary!D:D,MATCH($C427,HistoricSummary!$A:$A,0),1)+$G427,""),AND($B427&lt;&gt;"",$D427="COST",$G427&lt;0),$G427,TRUE,)</f>
        <v>-2.22</v>
      </c>
      <c r="J427" s="235">
        <f t="array" ref="J427">IFS(AND($B427&lt;&gt;"",$E427&lt;&gt;""),IF(INDEX(HistoricSummary!E:E,MATCH($C427,HistoricSummary!$A:$A,0),1)&lt;&gt;"",$E427*INDEX(HistoricSummary!E:E,MATCH($C427,HistoricSummary!$A:$A,0),1)+$G427,""),AND($B427&lt;&gt;"",$D427="COST",$G427&lt;0),$G427,TRUE,)</f>
        <v>-2.22</v>
      </c>
    </row>
    <row r="428">
      <c r="A428" s="184">
        <v>43609.0</v>
      </c>
      <c r="B428" s="229" t="s">
        <v>298</v>
      </c>
      <c r="C428" s="229" t="s">
        <v>299</v>
      </c>
      <c r="D428" s="229" t="s">
        <v>415</v>
      </c>
      <c r="E428" s="238">
        <v>-249.0</v>
      </c>
      <c r="F428" s="239">
        <v>4.2953</v>
      </c>
      <c r="G428" s="233">
        <v>1069.53</v>
      </c>
      <c r="H428" s="230" t="s">
        <v>815</v>
      </c>
      <c r="I428" s="235">
        <f t="array" ref="I428">IFS(AND($B428&lt;&gt;"",$E428&lt;&gt;""),IF(INDEX(HistoricSummary!D:D,MATCH($C428,HistoricSummary!$A:$A,0),1)&lt;&gt;"",$E428*INDEX(HistoricSummary!D:D,MATCH($C428,HistoricSummary!$A:$A,0),1)+$G428,""),AND($B428&lt;&gt;"",$D428="COST",$G428&lt;0),$G428,TRUE,)</f>
        <v>-161.7252</v>
      </c>
      <c r="J428" s="235">
        <f t="array" ref="J428">IFS(AND($B428&lt;&gt;"",$E428&lt;&gt;""),IF(INDEX(HistoricSummary!E:E,MATCH($C428,HistoricSummary!$A:$A,0),1)&lt;&gt;"",$E428*INDEX(HistoricSummary!E:E,MATCH($C428,HistoricSummary!$A:$A,0),1)+$G428,""),AND($B428&lt;&gt;"",$D428="COST",$G428&lt;0),$G428,TRUE,)</f>
        <v>-225.3809884</v>
      </c>
    </row>
    <row r="429">
      <c r="A429" s="184">
        <v>43609.0</v>
      </c>
      <c r="B429" s="229" t="s">
        <v>298</v>
      </c>
      <c r="C429" s="229" t="s">
        <v>299</v>
      </c>
      <c r="D429" s="229" t="s">
        <v>432</v>
      </c>
      <c r="E429" s="238"/>
      <c r="F429" s="239"/>
      <c r="G429" s="233">
        <v>-2.21</v>
      </c>
      <c r="H429" s="230" t="s">
        <v>746</v>
      </c>
      <c r="I429" s="235">
        <f t="array" ref="I429">IFS(AND($B429&lt;&gt;"",$E429&lt;&gt;""),IF(INDEX(HistoricSummary!D:D,MATCH($C429,HistoricSummary!$A:$A,0),1)&lt;&gt;"",$E429*INDEX(HistoricSummary!D:D,MATCH($C429,HistoricSummary!$A:$A,0),1)+$G429,""),AND($B429&lt;&gt;"",$D429="COST",$G429&lt;0),$G429,TRUE,)</f>
        <v>-2.21</v>
      </c>
      <c r="J429" s="235">
        <f t="array" ref="J429">IFS(AND($B429&lt;&gt;"",$E429&lt;&gt;""),IF(INDEX(HistoricSummary!E:E,MATCH($C429,HistoricSummary!$A:$A,0),1)&lt;&gt;"",$E429*INDEX(HistoricSummary!E:E,MATCH($C429,HistoricSummary!$A:$A,0),1)+$G429,""),AND($B429&lt;&gt;"",$D429="COST",$G429&lt;0),$G429,TRUE,)</f>
        <v>-2.21</v>
      </c>
    </row>
    <row r="430">
      <c r="A430" s="184">
        <v>43608.0</v>
      </c>
      <c r="B430" s="229" t="s">
        <v>298</v>
      </c>
      <c r="C430" s="229" t="s">
        <v>299</v>
      </c>
      <c r="D430" s="229" t="s">
        <v>415</v>
      </c>
      <c r="E430" s="238">
        <v>-277.0</v>
      </c>
      <c r="F430" s="239">
        <v>4.3067</v>
      </c>
      <c r="G430" s="233">
        <v>1192.96</v>
      </c>
      <c r="H430" s="230" t="s">
        <v>816</v>
      </c>
      <c r="I430" s="235">
        <f t="array" ref="I430">IFS(AND($B430&lt;&gt;"",$E430&lt;&gt;""),IF(INDEX(HistoricSummary!D:D,MATCH($C430,HistoricSummary!$A:$A,0),1)&lt;&gt;"",$E430*INDEX(HistoricSummary!D:D,MATCH($C430,HistoricSummary!$A:$A,0),1)+$G430,""),AND($B430&lt;&gt;"",$D430="COST",$G430&lt;0),$G430,TRUE,)</f>
        <v>-176.7496</v>
      </c>
      <c r="J430" s="235">
        <f t="array" ref="J430">IFS(AND($B430&lt;&gt;"",$E430&lt;&gt;""),IF(INDEX(HistoricSummary!E:E,MATCH($C430,HistoricSummary!$A:$A,0),1)&lt;&gt;"",$E430*INDEX(HistoricSummary!E:E,MATCH($C430,HistoricSummary!$A:$A,0),1)+$G430,""),AND($B430&lt;&gt;"",$D430="COST",$G430&lt;0),$G430,TRUE,)</f>
        <v>-247.563469</v>
      </c>
    </row>
    <row r="431">
      <c r="A431" s="184">
        <v>43608.0</v>
      </c>
      <c r="B431" s="229" t="s">
        <v>298</v>
      </c>
      <c r="C431" s="229" t="s">
        <v>299</v>
      </c>
      <c r="D431" s="229" t="s">
        <v>432</v>
      </c>
      <c r="E431" s="238"/>
      <c r="F431" s="239"/>
      <c r="G431" s="233">
        <v>-2.24</v>
      </c>
      <c r="H431" s="230" t="s">
        <v>817</v>
      </c>
      <c r="I431" s="235">
        <f t="array" ref="I431">IFS(AND($B431&lt;&gt;"",$E431&lt;&gt;""),IF(INDEX(HistoricSummary!D:D,MATCH($C431,HistoricSummary!$A:$A,0),1)&lt;&gt;"",$E431*INDEX(HistoricSummary!D:D,MATCH($C431,HistoricSummary!$A:$A,0),1)+$G431,""),AND($B431&lt;&gt;"",$D431="COST",$G431&lt;0),$G431,TRUE,)</f>
        <v>-2.24</v>
      </c>
      <c r="J431" s="235">
        <f t="array" ref="J431">IFS(AND($B431&lt;&gt;"",$E431&lt;&gt;""),IF(INDEX(HistoricSummary!E:E,MATCH($C431,HistoricSummary!$A:$A,0),1)&lt;&gt;"",$E431*INDEX(HistoricSummary!E:E,MATCH($C431,HistoricSummary!$A:$A,0),1)+$G431,""),AND($B431&lt;&gt;"",$D431="COST",$G431&lt;0),$G431,TRUE,)</f>
        <v>-2.24</v>
      </c>
    </row>
    <row r="432">
      <c r="A432" s="184">
        <v>43608.0</v>
      </c>
      <c r="B432" s="229" t="s">
        <v>298</v>
      </c>
      <c r="C432" s="229" t="s">
        <v>299</v>
      </c>
      <c r="D432" s="229" t="s">
        <v>415</v>
      </c>
      <c r="E432" s="238">
        <v>-292.0</v>
      </c>
      <c r="F432" s="239">
        <v>4.2938</v>
      </c>
      <c r="G432" s="233">
        <v>1253.79</v>
      </c>
      <c r="H432" s="230" t="s">
        <v>818</v>
      </c>
      <c r="I432" s="235">
        <f t="array" ref="I432">IFS(AND($B432&lt;&gt;"",$E432&lt;&gt;""),IF(INDEX(HistoricSummary!D:D,MATCH($C432,HistoricSummary!$A:$A,0),1)&lt;&gt;"",$E432*INDEX(HistoricSummary!D:D,MATCH($C432,HistoricSummary!$A:$A,0),1)+$G432,""),AND($B432&lt;&gt;"",$D432="COST",$G432&lt;0),$G432,TRUE,)</f>
        <v>-190.0916</v>
      </c>
      <c r="J432" s="235">
        <f t="array" ref="J432">IFS(AND($B432&lt;&gt;"",$E432&lt;&gt;""),IF(INDEX(HistoricSummary!E:E,MATCH($C432,HistoricSummary!$A:$A,0),1)&lt;&gt;"",$E432*INDEX(HistoricSummary!E:E,MATCH($C432,HistoricSummary!$A:$A,0),1)+$G432,""),AND($B432&lt;&gt;"",$D432="COST",$G432&lt;0),$G432,TRUE,)</f>
        <v>-264.740155</v>
      </c>
    </row>
    <row r="433">
      <c r="A433" s="184">
        <v>43608.0</v>
      </c>
      <c r="B433" s="229" t="s">
        <v>298</v>
      </c>
      <c r="C433" s="229" t="s">
        <v>299</v>
      </c>
      <c r="D433" s="229" t="s">
        <v>432</v>
      </c>
      <c r="E433" s="238"/>
      <c r="F433" s="239"/>
      <c r="G433" s="233">
        <v>-2.25</v>
      </c>
      <c r="H433" s="230" t="s">
        <v>819</v>
      </c>
      <c r="I433" s="235">
        <f t="array" ref="I433">IFS(AND($B433&lt;&gt;"",$E433&lt;&gt;""),IF(INDEX(HistoricSummary!D:D,MATCH($C433,HistoricSummary!$A:$A,0),1)&lt;&gt;"",$E433*INDEX(HistoricSummary!D:D,MATCH($C433,HistoricSummary!$A:$A,0),1)+$G433,""),AND($B433&lt;&gt;"",$D433="COST",$G433&lt;0),$G433,TRUE,)</f>
        <v>-2.25</v>
      </c>
      <c r="J433" s="235">
        <f t="array" ref="J433">IFS(AND($B433&lt;&gt;"",$E433&lt;&gt;""),IF(INDEX(HistoricSummary!E:E,MATCH($C433,HistoricSummary!$A:$A,0),1)&lt;&gt;"",$E433*INDEX(HistoricSummary!E:E,MATCH($C433,HistoricSummary!$A:$A,0),1)+$G433,""),AND($B433&lt;&gt;"",$D433="COST",$G433&lt;0),$G433,TRUE,)</f>
        <v>-2.25</v>
      </c>
    </row>
    <row r="434">
      <c r="A434" s="184">
        <v>43608.0</v>
      </c>
      <c r="B434" s="229" t="s">
        <v>298</v>
      </c>
      <c r="C434" s="229" t="s">
        <v>299</v>
      </c>
      <c r="D434" s="229" t="s">
        <v>415</v>
      </c>
      <c r="E434" s="238">
        <v>-251.0</v>
      </c>
      <c r="F434" s="239">
        <v>4.278</v>
      </c>
      <c r="G434" s="233">
        <v>1073.78</v>
      </c>
      <c r="H434" s="230" t="s">
        <v>820</v>
      </c>
      <c r="I434" s="235">
        <f t="array" ref="I434">IFS(AND($B434&lt;&gt;"",$E434&lt;&gt;""),IF(INDEX(HistoricSummary!D:D,MATCH($C434,HistoricSummary!$A:$A,0),1)&lt;&gt;"",$E434*INDEX(HistoricSummary!D:D,MATCH($C434,HistoricSummary!$A:$A,0),1)+$G434,""),AND($B434&lt;&gt;"",$D434="COST",$G434&lt;0),$G434,TRUE,)</f>
        <v>-167.3648</v>
      </c>
      <c r="J434" s="235">
        <f t="array" ref="J434">IFS(AND($B434&lt;&gt;"",$E434&lt;&gt;""),IF(INDEX(HistoricSummary!E:E,MATCH($C434,HistoricSummary!$A:$A,0),1)&lt;&gt;"",$E434*INDEX(HistoricSummary!E:E,MATCH($C434,HistoricSummary!$A:$A,0),1)+$G434,""),AND($B434&lt;&gt;"",$D434="COST",$G434&lt;0),$G434,TRUE,)</f>
        <v>-231.5318798</v>
      </c>
    </row>
    <row r="435">
      <c r="A435" s="184">
        <v>43608.0</v>
      </c>
      <c r="B435" s="229" t="s">
        <v>298</v>
      </c>
      <c r="C435" s="229" t="s">
        <v>299</v>
      </c>
      <c r="D435" s="229" t="s">
        <v>432</v>
      </c>
      <c r="E435" s="238"/>
      <c r="F435" s="239"/>
      <c r="G435" s="233">
        <v>-2.21</v>
      </c>
      <c r="H435" s="230" t="s">
        <v>746</v>
      </c>
      <c r="I435" s="235">
        <f t="array" ref="I435">IFS(AND($B435&lt;&gt;"",$E435&lt;&gt;""),IF(INDEX(HistoricSummary!D:D,MATCH($C435,HistoricSummary!$A:$A,0),1)&lt;&gt;"",$E435*INDEX(HistoricSummary!D:D,MATCH($C435,HistoricSummary!$A:$A,0),1)+$G435,""),AND($B435&lt;&gt;"",$D435="COST",$G435&lt;0),$G435,TRUE,)</f>
        <v>-2.21</v>
      </c>
      <c r="J435" s="235">
        <f t="array" ref="J435">IFS(AND($B435&lt;&gt;"",$E435&lt;&gt;""),IF(INDEX(HistoricSummary!E:E,MATCH($C435,HistoricSummary!$A:$A,0),1)&lt;&gt;"",$E435*INDEX(HistoricSummary!E:E,MATCH($C435,HistoricSummary!$A:$A,0),1)+$G435,""),AND($B435&lt;&gt;"",$D435="COST",$G435&lt;0),$G435,TRUE,)</f>
        <v>-2.21</v>
      </c>
    </row>
    <row r="436">
      <c r="A436" s="184">
        <v>43600.0</v>
      </c>
      <c r="B436" s="229" t="s">
        <v>292</v>
      </c>
      <c r="C436" s="229" t="s">
        <v>293</v>
      </c>
      <c r="D436" s="229" t="s">
        <v>415</v>
      </c>
      <c r="E436" s="238">
        <v>-6.0</v>
      </c>
      <c r="F436" s="239">
        <v>177.46</v>
      </c>
      <c r="G436" s="233">
        <v>1064.76</v>
      </c>
      <c r="H436" s="230" t="s">
        <v>821</v>
      </c>
      <c r="I436" s="235">
        <f t="array" ref="I436">IFS(AND($B436&lt;&gt;"",$E436&lt;&gt;""),IF(INDEX(HistoricSummary!D:D,MATCH($C436,HistoricSummary!$A:$A,0),1)&lt;&gt;"",$E436*INDEX(HistoricSummary!D:D,MATCH($C436,HistoricSummary!$A:$A,0),1)+$G436,""),AND($B436&lt;&gt;"",$D436="COST",$G436&lt;0),$G436,TRUE,)</f>
        <v>-54</v>
      </c>
      <c r="J436" s="235">
        <f t="array" ref="J436">IFS(AND($B436&lt;&gt;"",$E436&lt;&gt;""),IF(INDEX(HistoricSummary!E:E,MATCH($C436,HistoricSummary!$A:$A,0),1)&lt;&gt;"",$E436*INDEX(HistoricSummary!E:E,MATCH($C436,HistoricSummary!$A:$A,0),1)+$G436,""),AND($B436&lt;&gt;"",$D436="COST",$G436&lt;0),$G436,TRUE,)</f>
        <v>-92.57813953</v>
      </c>
    </row>
    <row r="437">
      <c r="A437" s="184">
        <v>43599.0</v>
      </c>
      <c r="B437" s="229" t="s">
        <v>283</v>
      </c>
      <c r="C437" s="229" t="s">
        <v>286</v>
      </c>
      <c r="D437" s="229" t="s">
        <v>414</v>
      </c>
      <c r="E437" s="238">
        <v>461.0</v>
      </c>
      <c r="F437" s="239">
        <v>7.13</v>
      </c>
      <c r="G437" s="233">
        <v>-3286.93</v>
      </c>
      <c r="H437" s="230" t="s">
        <v>822</v>
      </c>
      <c r="I437" s="235">
        <f t="array" ref="I437">IFS(AND($B437&lt;&gt;"",$E437&lt;&gt;""),IF(INDEX(HistoricSummary!D:D,MATCH($C437,HistoricSummary!$A:$A,0),1)&lt;&gt;"",$E437*INDEX(HistoricSummary!D:D,MATCH($C437,HistoricSummary!$A:$A,0),1)+$G437,""),AND($B437&lt;&gt;"",$D437="COST",$G437&lt;0),$G437,TRUE,)</f>
        <v>-293.657</v>
      </c>
      <c r="J437" s="235">
        <f t="array" ref="J437">IFS(AND($B437&lt;&gt;"",$E437&lt;&gt;""),IF(INDEX(HistoricSummary!E:E,MATCH($C437,HistoricSummary!$A:$A,0),1)&lt;&gt;"",$E437*INDEX(HistoricSummary!E:E,MATCH($C437,HistoricSummary!$A:$A,0),1)+$G437,""),AND($B437&lt;&gt;"",$D437="COST",$G437&lt;0),$G437,TRUE,)</f>
        <v>-312.8260233</v>
      </c>
    </row>
    <row r="438">
      <c r="A438" s="184">
        <v>43598.0</v>
      </c>
      <c r="B438" s="229" t="s">
        <v>298</v>
      </c>
      <c r="C438" s="229" t="s">
        <v>299</v>
      </c>
      <c r="D438" s="229" t="s">
        <v>415</v>
      </c>
      <c r="E438" s="238">
        <v>-552.0</v>
      </c>
      <c r="F438" s="239">
        <v>4.2044</v>
      </c>
      <c r="G438" s="233">
        <v>2320.83</v>
      </c>
      <c r="H438" s="230" t="s">
        <v>823</v>
      </c>
      <c r="I438" s="235">
        <f t="array" ref="I438">IFS(AND($B438&lt;&gt;"",$E438&lt;&gt;""),IF(INDEX(HistoricSummary!D:D,MATCH($C438,HistoricSummary!$A:$A,0),1)&lt;&gt;"",$E438*INDEX(HistoricSummary!D:D,MATCH($C438,HistoricSummary!$A:$A,0),1)+$G438,""),AND($B438&lt;&gt;"",$D438="COST",$G438&lt;0),$G438,TRUE,)</f>
        <v>-408.6996</v>
      </c>
      <c r="J438" s="235">
        <f t="array" ref="J438">IFS(AND($B438&lt;&gt;"",$E438&lt;&gt;""),IF(INDEX(HistoricSummary!E:E,MATCH($C438,HistoricSummary!$A:$A,0),1)&lt;&gt;"",$E438*INDEX(HistoricSummary!E:E,MATCH($C438,HistoricSummary!$A:$A,0),1)+$G438,""),AND($B438&lt;&gt;"",$D438="COST",$G438&lt;0),$G438,TRUE,)</f>
        <v>-549.8160465</v>
      </c>
    </row>
    <row r="439">
      <c r="A439" s="184">
        <v>43598.0</v>
      </c>
      <c r="B439" s="229" t="s">
        <v>298</v>
      </c>
      <c r="C439" s="229" t="s">
        <v>299</v>
      </c>
      <c r="D439" s="229" t="s">
        <v>432</v>
      </c>
      <c r="E439" s="238"/>
      <c r="F439" s="239"/>
      <c r="G439" s="233">
        <v>-2.46</v>
      </c>
      <c r="H439" s="230" t="s">
        <v>798</v>
      </c>
      <c r="I439" s="235">
        <f t="array" ref="I439">IFS(AND($B439&lt;&gt;"",$E439&lt;&gt;""),IF(INDEX(HistoricSummary!D:D,MATCH($C439,HistoricSummary!$A:$A,0),1)&lt;&gt;"",$E439*INDEX(HistoricSummary!D:D,MATCH($C439,HistoricSummary!$A:$A,0),1)+$G439,""),AND($B439&lt;&gt;"",$D439="COST",$G439&lt;0),$G439,TRUE,)</f>
        <v>-2.46</v>
      </c>
      <c r="J439" s="235">
        <f t="array" ref="J439">IFS(AND($B439&lt;&gt;"",$E439&lt;&gt;""),IF(INDEX(HistoricSummary!E:E,MATCH($C439,HistoricSummary!$A:$A,0),1)&lt;&gt;"",$E439*INDEX(HistoricSummary!E:E,MATCH($C439,HistoricSummary!$A:$A,0),1)+$G439,""),AND($B439&lt;&gt;"",$D439="COST",$G439&lt;0),$G439,TRUE,)</f>
        <v>-2.46</v>
      </c>
    </row>
    <row r="440">
      <c r="A440" s="184">
        <v>43596.0</v>
      </c>
      <c r="B440" s="229"/>
      <c r="C440" s="229"/>
      <c r="D440" s="229" t="s">
        <v>454</v>
      </c>
      <c r="E440" s="238"/>
      <c r="F440" s="239"/>
      <c r="G440" s="233">
        <v>-500.0</v>
      </c>
      <c r="H440" s="230" t="s">
        <v>780</v>
      </c>
      <c r="I440" s="235" t="str">
        <f t="array" ref="I440">IFS(AND($B440&lt;&gt;"",$E440&lt;&gt;""),IF(INDEX(HistoricSummary!D:D,MATCH($C440,HistoricSummary!$A:$A,0),1)&lt;&gt;"",$E440*INDEX(HistoricSummary!D:D,MATCH($C440,HistoricSummary!$A:$A,0),1)+$G440,""),AND($B440&lt;&gt;"",$D440="COST",$G440&lt;0),$G440,TRUE,)</f>
        <v/>
      </c>
      <c r="J440" s="235" t="str">
        <f t="array" ref="J440">IFS(AND($B440&lt;&gt;"",$E440&lt;&gt;""),IF(INDEX(HistoricSummary!E:E,MATCH($C440,HistoricSummary!$A:$A,0),1)&lt;&gt;"",$E440*INDEX(HistoricSummary!E:E,MATCH($C440,HistoricSummary!$A:$A,0),1)+$G440,""),AND($B440&lt;&gt;"",$D440="COST",$G440&lt;0),$G440,TRUE,)</f>
        <v/>
      </c>
    </row>
    <row r="441">
      <c r="A441" s="184">
        <v>43593.0</v>
      </c>
      <c r="B441" s="229" t="s">
        <v>298</v>
      </c>
      <c r="C441" s="229" t="s">
        <v>299</v>
      </c>
      <c r="D441" s="229" t="s">
        <v>415</v>
      </c>
      <c r="E441" s="238">
        <v>-412.0</v>
      </c>
      <c r="F441" s="239">
        <v>4.2208</v>
      </c>
      <c r="G441" s="233">
        <v>1738.97</v>
      </c>
      <c r="H441" s="230" t="s">
        <v>824</v>
      </c>
      <c r="I441" s="235">
        <f t="array" ref="I441">IFS(AND($B441&lt;&gt;"",$E441&lt;&gt;""),IF(INDEX(HistoricSummary!D:D,MATCH($C441,HistoricSummary!$A:$A,0),1)&lt;&gt;"",$E441*INDEX(HistoricSummary!D:D,MATCH($C441,HistoricSummary!$A:$A,0),1)+$G441,""),AND($B441&lt;&gt;"",$D441="COST",$G441&lt;0),$G441,TRUE,)</f>
        <v>-298.2876</v>
      </c>
      <c r="J441" s="235">
        <f t="array" ref="J441">IFS(AND($B441&lt;&gt;"",$E441&lt;&gt;""),IF(INDEX(HistoricSummary!E:E,MATCH($C441,HistoricSummary!$A:$A,0),1)&lt;&gt;"",$E441*INDEX(HistoricSummary!E:E,MATCH($C441,HistoricSummary!$A:$A,0),1)+$G441,""),AND($B441&lt;&gt;"",$D441="COST",$G441&lt;0),$G441,TRUE,)</f>
        <v>-403.6136434</v>
      </c>
    </row>
    <row r="442">
      <c r="A442" s="184">
        <v>43593.0</v>
      </c>
      <c r="B442" s="229" t="s">
        <v>298</v>
      </c>
      <c r="C442" s="229" t="s">
        <v>299</v>
      </c>
      <c r="D442" s="229" t="s">
        <v>432</v>
      </c>
      <c r="E442" s="238"/>
      <c r="F442" s="239"/>
      <c r="G442" s="233">
        <v>-2.35</v>
      </c>
      <c r="H442" s="230" t="s">
        <v>711</v>
      </c>
      <c r="I442" s="235">
        <f t="array" ref="I442">IFS(AND($B442&lt;&gt;"",$E442&lt;&gt;""),IF(INDEX(HistoricSummary!D:D,MATCH($C442,HistoricSummary!$A:$A,0),1)&lt;&gt;"",$E442*INDEX(HistoricSummary!D:D,MATCH($C442,HistoricSummary!$A:$A,0),1)+$G442,""),AND($B442&lt;&gt;"",$D442="COST",$G442&lt;0),$G442,TRUE,)</f>
        <v>-2.35</v>
      </c>
      <c r="J442" s="235">
        <f t="array" ref="J442">IFS(AND($B442&lt;&gt;"",$E442&lt;&gt;""),IF(INDEX(HistoricSummary!E:E,MATCH($C442,HistoricSummary!$A:$A,0),1)&lt;&gt;"",$E442*INDEX(HistoricSummary!E:E,MATCH($C442,HistoricSummary!$A:$A,0),1)+$G442,""),AND($B442&lt;&gt;"",$D442="COST",$G442&lt;0),$G442,TRUE,)</f>
        <v>-2.35</v>
      </c>
    </row>
    <row r="443">
      <c r="A443" s="184">
        <v>43593.0</v>
      </c>
      <c r="B443" s="229" t="s">
        <v>292</v>
      </c>
      <c r="C443" s="229" t="s">
        <v>293</v>
      </c>
      <c r="D443" s="229" t="s">
        <v>415</v>
      </c>
      <c r="E443" s="238">
        <v>-7.0</v>
      </c>
      <c r="F443" s="239">
        <v>176.2</v>
      </c>
      <c r="G443" s="233">
        <v>1233.4</v>
      </c>
      <c r="H443" s="230" t="s">
        <v>825</v>
      </c>
      <c r="I443" s="235">
        <f t="array" ref="I443">IFS(AND($B443&lt;&gt;"",$E443&lt;&gt;""),IF(INDEX(HistoricSummary!D:D,MATCH($C443,HistoricSummary!$A:$A,0),1)&lt;&gt;"",$E443*INDEX(HistoricSummary!D:D,MATCH($C443,HistoricSummary!$A:$A,0),1)+$G443,""),AND($B443&lt;&gt;"",$D443="COST",$G443&lt;0),$G443,TRUE,)</f>
        <v>-71.82</v>
      </c>
      <c r="J443" s="235">
        <f t="array" ref="J443">IFS(AND($B443&lt;&gt;"",$E443&lt;&gt;""),IF(INDEX(HistoricSummary!E:E,MATCH($C443,HistoricSummary!$A:$A,0),1)&lt;&gt;"",$E443*INDEX(HistoricSummary!E:E,MATCH($C443,HistoricSummary!$A:$A,0),1)+$G443,""),AND($B443&lt;&gt;"",$D443="COST",$G443&lt;0),$G443,TRUE,)</f>
        <v>-116.8278295</v>
      </c>
    </row>
    <row r="444">
      <c r="A444" s="184">
        <v>43593.0</v>
      </c>
      <c r="B444" s="229" t="s">
        <v>298</v>
      </c>
      <c r="C444" s="229" t="s">
        <v>299</v>
      </c>
      <c r="D444" s="229" t="s">
        <v>415</v>
      </c>
      <c r="E444" s="238">
        <v>-388.0</v>
      </c>
      <c r="F444" s="239">
        <v>4.211</v>
      </c>
      <c r="G444" s="233">
        <v>1633.87</v>
      </c>
      <c r="H444" s="230" t="s">
        <v>826</v>
      </c>
      <c r="I444" s="235">
        <f t="array" ref="I444">IFS(AND($B444&lt;&gt;"",$E444&lt;&gt;""),IF(INDEX(HistoricSummary!D:D,MATCH($C444,HistoricSummary!$A:$A,0),1)&lt;&gt;"",$E444*INDEX(HistoricSummary!D:D,MATCH($C444,HistoricSummary!$A:$A,0),1)+$G444,""),AND($B444&lt;&gt;"",$D444="COST",$G444&lt;0),$G444,TRUE,)</f>
        <v>-284.7124</v>
      </c>
      <c r="J444" s="235">
        <f t="array" ref="J444">IFS(AND($B444&lt;&gt;"",$E444&lt;&gt;""),IF(INDEX(HistoricSummary!E:E,MATCH($C444,HistoricSummary!$A:$A,0),1)&lt;&gt;"",$E444*INDEX(HistoricSummary!E:E,MATCH($C444,HistoricSummary!$A:$A,0),1)+$G444,""),AND($B444&lt;&gt;"",$D444="COST",$G444&lt;0),$G444,TRUE,)</f>
        <v>-383.9029457</v>
      </c>
    </row>
    <row r="445">
      <c r="A445" s="184">
        <v>43593.0</v>
      </c>
      <c r="B445" s="229" t="s">
        <v>298</v>
      </c>
      <c r="C445" s="229" t="s">
        <v>299</v>
      </c>
      <c r="D445" s="229" t="s">
        <v>432</v>
      </c>
      <c r="E445" s="238"/>
      <c r="F445" s="239"/>
      <c r="G445" s="233">
        <v>-2.33</v>
      </c>
      <c r="H445" s="230" t="s">
        <v>827</v>
      </c>
      <c r="I445" s="235">
        <f t="array" ref="I445">IFS(AND($B445&lt;&gt;"",$E445&lt;&gt;""),IF(INDEX(HistoricSummary!D:D,MATCH($C445,HistoricSummary!$A:$A,0),1)&lt;&gt;"",$E445*INDEX(HistoricSummary!D:D,MATCH($C445,HistoricSummary!$A:$A,0),1)+$G445,""),AND($B445&lt;&gt;"",$D445="COST",$G445&lt;0),$G445,TRUE,)</f>
        <v>-2.33</v>
      </c>
      <c r="J445" s="235">
        <f t="array" ref="J445">IFS(AND($B445&lt;&gt;"",$E445&lt;&gt;""),IF(INDEX(HistoricSummary!E:E,MATCH($C445,HistoricSummary!$A:$A,0),1)&lt;&gt;"",$E445*INDEX(HistoricSummary!E:E,MATCH($C445,HistoricSummary!$A:$A,0),1)+$G445,""),AND($B445&lt;&gt;"",$D445="COST",$G445&lt;0),$G445,TRUE,)</f>
        <v>-2.33</v>
      </c>
    </row>
    <row r="446">
      <c r="A446" s="184">
        <v>43592.0</v>
      </c>
      <c r="B446" s="229" t="s">
        <v>298</v>
      </c>
      <c r="C446" s="229" t="s">
        <v>299</v>
      </c>
      <c r="D446" s="229" t="s">
        <v>415</v>
      </c>
      <c r="E446" s="238">
        <v>-277.0</v>
      </c>
      <c r="F446" s="239">
        <v>4.198</v>
      </c>
      <c r="G446" s="233">
        <v>1162.85</v>
      </c>
      <c r="H446" s="230" t="s">
        <v>828</v>
      </c>
      <c r="I446" s="235">
        <f t="array" ref="I446">IFS(AND($B446&lt;&gt;"",$E446&lt;&gt;""),IF(INDEX(HistoricSummary!D:D,MATCH($C446,HistoricSummary!$A:$A,0),1)&lt;&gt;"",$E446*INDEX(HistoricSummary!D:D,MATCH($C446,HistoricSummary!$A:$A,0),1)+$G446,""),AND($B446&lt;&gt;"",$D446="COST",$G446&lt;0),$G446,TRUE,)</f>
        <v>-206.8596</v>
      </c>
      <c r="J446" s="235">
        <f t="array" ref="J446">IFS(AND($B446&lt;&gt;"",$E446&lt;&gt;""),IF(INDEX(HistoricSummary!E:E,MATCH($C446,HistoricSummary!$A:$A,0),1)&lt;&gt;"",$E446*INDEX(HistoricSummary!E:E,MATCH($C446,HistoricSummary!$A:$A,0),1)+$G446,""),AND($B446&lt;&gt;"",$D446="COST",$G446&lt;0),$G446,TRUE,)</f>
        <v>-277.673469</v>
      </c>
    </row>
    <row r="447">
      <c r="A447" s="184">
        <v>43592.0</v>
      </c>
      <c r="B447" s="229" t="s">
        <v>298</v>
      </c>
      <c r="C447" s="229" t="s">
        <v>299</v>
      </c>
      <c r="D447" s="229" t="s">
        <v>432</v>
      </c>
      <c r="E447" s="238"/>
      <c r="F447" s="239"/>
      <c r="G447" s="233">
        <v>-2.23</v>
      </c>
      <c r="H447" s="230" t="s">
        <v>829</v>
      </c>
      <c r="I447" s="235">
        <f t="array" ref="I447">IFS(AND($B447&lt;&gt;"",$E447&lt;&gt;""),IF(INDEX(HistoricSummary!D:D,MATCH($C447,HistoricSummary!$A:$A,0),1)&lt;&gt;"",$E447*INDEX(HistoricSummary!D:D,MATCH($C447,HistoricSummary!$A:$A,0),1)+$G447,""),AND($B447&lt;&gt;"",$D447="COST",$G447&lt;0),$G447,TRUE,)</f>
        <v>-2.23</v>
      </c>
      <c r="J447" s="235">
        <f t="array" ref="J447">IFS(AND($B447&lt;&gt;"",$E447&lt;&gt;""),IF(INDEX(HistoricSummary!E:E,MATCH($C447,HistoricSummary!$A:$A,0),1)&lt;&gt;"",$E447*INDEX(HistoricSummary!E:E,MATCH($C447,HistoricSummary!$A:$A,0),1)+$G447,""),AND($B447&lt;&gt;"",$D447="COST",$G447&lt;0),$G447,TRUE,)</f>
        <v>-2.23</v>
      </c>
    </row>
    <row r="448">
      <c r="A448" s="184">
        <v>43591.0</v>
      </c>
      <c r="B448" s="229" t="s">
        <v>292</v>
      </c>
      <c r="C448" s="229" t="s">
        <v>293</v>
      </c>
      <c r="D448" s="229" t="s">
        <v>415</v>
      </c>
      <c r="E448" s="238">
        <v>-6.0</v>
      </c>
      <c r="F448" s="239">
        <v>175.51</v>
      </c>
      <c r="G448" s="233">
        <v>1053.06</v>
      </c>
      <c r="H448" s="230" t="s">
        <v>830</v>
      </c>
      <c r="I448" s="235">
        <f t="array" ref="I448">IFS(AND($B448&lt;&gt;"",$E448&lt;&gt;""),IF(INDEX(HistoricSummary!D:D,MATCH($C448,HistoricSummary!$A:$A,0),1)&lt;&gt;"",$E448*INDEX(HistoricSummary!D:D,MATCH($C448,HistoricSummary!$A:$A,0),1)+$G448,""),AND($B448&lt;&gt;"",$D448="COST",$G448&lt;0),$G448,TRUE,)</f>
        <v>-65.7</v>
      </c>
      <c r="J448" s="235">
        <f t="array" ref="J448">IFS(AND($B448&lt;&gt;"",$E448&lt;&gt;""),IF(INDEX(HistoricSummary!E:E,MATCH($C448,HistoricSummary!$A:$A,0),1)&lt;&gt;"",$E448*INDEX(HistoricSummary!E:E,MATCH($C448,HistoricSummary!$A:$A,0),1)+$G448,""),AND($B448&lt;&gt;"",$D448="COST",$G448&lt;0),$G448,TRUE,)</f>
        <v>-104.2781395</v>
      </c>
    </row>
    <row r="449">
      <c r="A449" s="184">
        <v>43591.0</v>
      </c>
      <c r="B449" s="229" t="s">
        <v>298</v>
      </c>
      <c r="C449" s="229" t="s">
        <v>299</v>
      </c>
      <c r="D449" s="229" t="s">
        <v>415</v>
      </c>
      <c r="E449" s="238">
        <v>-925.0</v>
      </c>
      <c r="F449" s="239">
        <v>4.1872</v>
      </c>
      <c r="G449" s="233">
        <v>3873.16</v>
      </c>
      <c r="H449" s="230" t="s">
        <v>831</v>
      </c>
      <c r="I449" s="235">
        <f t="array" ref="I449">IFS(AND($B449&lt;&gt;"",$E449&lt;&gt;""),IF(INDEX(HistoricSummary!D:D,MATCH($C449,HistoricSummary!$A:$A,0),1)&lt;&gt;"",$E449*INDEX(HistoricSummary!D:D,MATCH($C449,HistoricSummary!$A:$A,0),1)+$G449,""),AND($B449&lt;&gt;"",$D449="COST",$G449&lt;0),$G449,TRUE,)</f>
        <v>-700.78</v>
      </c>
      <c r="J449" s="235">
        <f t="array" ref="J449">IFS(AND($B449&lt;&gt;"",$E449&lt;&gt;""),IF(INDEX(HistoricSummary!E:E,MATCH($C449,HistoricSummary!$A:$A,0),1)&lt;&gt;"",$E449*INDEX(HistoricSummary!E:E,MATCH($C449,HistoricSummary!$A:$A,0),1)+$G449,""),AND($B449&lt;&gt;"",$D449="COST",$G449&lt;0),$G449,TRUE,)</f>
        <v>-937.2523062</v>
      </c>
    </row>
    <row r="450">
      <c r="A450" s="184">
        <v>43591.0</v>
      </c>
      <c r="B450" s="229" t="s">
        <v>298</v>
      </c>
      <c r="C450" s="229" t="s">
        <v>299</v>
      </c>
      <c r="D450" s="229" t="s">
        <v>432</v>
      </c>
      <c r="E450" s="238"/>
      <c r="F450" s="239"/>
      <c r="G450" s="233">
        <v>-2.77</v>
      </c>
      <c r="H450" s="230" t="s">
        <v>832</v>
      </c>
      <c r="I450" s="235">
        <f t="array" ref="I450">IFS(AND($B450&lt;&gt;"",$E450&lt;&gt;""),IF(INDEX(HistoricSummary!D:D,MATCH($C450,HistoricSummary!$A:$A,0),1)&lt;&gt;"",$E450*INDEX(HistoricSummary!D:D,MATCH($C450,HistoricSummary!$A:$A,0),1)+$G450,""),AND($B450&lt;&gt;"",$D450="COST",$G450&lt;0),$G450,TRUE,)</f>
        <v>-2.77</v>
      </c>
      <c r="J450" s="235">
        <f t="array" ref="J450">IFS(AND($B450&lt;&gt;"",$E450&lt;&gt;""),IF(INDEX(HistoricSummary!E:E,MATCH($C450,HistoricSummary!$A:$A,0),1)&lt;&gt;"",$E450*INDEX(HistoricSummary!E:E,MATCH($C450,HistoricSummary!$A:$A,0),1)+$G450,""),AND($B450&lt;&gt;"",$D450="COST",$G450&lt;0),$G450,TRUE,)</f>
        <v>-2.77</v>
      </c>
    </row>
    <row r="451">
      <c r="A451" s="184">
        <v>43588.0</v>
      </c>
      <c r="B451" s="229"/>
      <c r="C451" s="229"/>
      <c r="D451" s="229" t="s">
        <v>454</v>
      </c>
      <c r="E451" s="238"/>
      <c r="F451" s="239"/>
      <c r="G451" s="233">
        <v>-500.0</v>
      </c>
      <c r="H451" s="230" t="s">
        <v>780</v>
      </c>
      <c r="I451" s="235" t="str">
        <f t="array" ref="I451">IFS(AND($B451&lt;&gt;"",$E451&lt;&gt;""),IF(INDEX(HistoricSummary!D:D,MATCH($C451,HistoricSummary!$A:$A,0),1)&lt;&gt;"",$E451*INDEX(HistoricSummary!D:D,MATCH($C451,HistoricSummary!$A:$A,0),1)+$G451,""),AND($B451&lt;&gt;"",$D451="COST",$G451&lt;0),$G451,TRUE,)</f>
        <v/>
      </c>
      <c r="J451" s="235" t="str">
        <f t="array" ref="J451">IFS(AND($B451&lt;&gt;"",$E451&lt;&gt;""),IF(INDEX(HistoricSummary!E:E,MATCH($C451,HistoricSummary!$A:$A,0),1)&lt;&gt;"",$E451*INDEX(HistoricSummary!E:E,MATCH($C451,HistoricSummary!$A:$A,0),1)+$G451,""),AND($B451&lt;&gt;"",$D451="COST",$G451&lt;0),$G451,TRUE,)</f>
        <v/>
      </c>
    </row>
    <row r="452">
      <c r="A452" s="184">
        <v>43588.0</v>
      </c>
      <c r="B452" s="229" t="s">
        <v>298</v>
      </c>
      <c r="C452" s="229" t="s">
        <v>299</v>
      </c>
      <c r="D452" s="229" t="s">
        <v>415</v>
      </c>
      <c r="E452" s="238">
        <v>-295.0</v>
      </c>
      <c r="F452" s="239">
        <v>4.1686</v>
      </c>
      <c r="G452" s="233">
        <v>1229.74</v>
      </c>
      <c r="H452" s="230" t="s">
        <v>833</v>
      </c>
      <c r="I452" s="235">
        <f t="array" ref="I452">IFS(AND($B452&lt;&gt;"",$E452&lt;&gt;""),IF(INDEX(HistoricSummary!D:D,MATCH($C452,HistoricSummary!$A:$A,0),1)&lt;&gt;"",$E452*INDEX(HistoricSummary!D:D,MATCH($C452,HistoricSummary!$A:$A,0),1)+$G452,""),AND($B452&lt;&gt;"",$D452="COST",$G452&lt;0),$G452,TRUE,)</f>
        <v>-228.976</v>
      </c>
      <c r="J452" s="235">
        <f t="array" ref="J452">IFS(AND($B452&lt;&gt;"",$E452&lt;&gt;""),IF(INDEX(HistoricSummary!E:E,MATCH($C452,HistoricSummary!$A:$A,0),1)&lt;&gt;"",$E452*INDEX(HistoricSummary!E:E,MATCH($C452,HistoricSummary!$A:$A,0),1)+$G452,""),AND($B452&lt;&gt;"",$D452="COST",$G452&lt;0),$G452,TRUE,)</f>
        <v>-304.3914922</v>
      </c>
    </row>
    <row r="453">
      <c r="A453" s="184">
        <v>43588.0</v>
      </c>
      <c r="B453" s="229" t="s">
        <v>298</v>
      </c>
      <c r="C453" s="229" t="s">
        <v>299</v>
      </c>
      <c r="D453" s="229" t="s">
        <v>432</v>
      </c>
      <c r="E453" s="238"/>
      <c r="F453" s="239"/>
      <c r="G453" s="233">
        <v>-2.25</v>
      </c>
      <c r="H453" s="230" t="s">
        <v>819</v>
      </c>
      <c r="I453" s="235">
        <f t="array" ref="I453">IFS(AND($B453&lt;&gt;"",$E453&lt;&gt;""),IF(INDEX(HistoricSummary!D:D,MATCH($C453,HistoricSummary!$A:$A,0),1)&lt;&gt;"",$E453*INDEX(HistoricSummary!D:D,MATCH($C453,HistoricSummary!$A:$A,0),1)+$G453,""),AND($B453&lt;&gt;"",$D453="COST",$G453&lt;0),$G453,TRUE,)</f>
        <v>-2.25</v>
      </c>
      <c r="J453" s="235">
        <f t="array" ref="J453">IFS(AND($B453&lt;&gt;"",$E453&lt;&gt;""),IF(INDEX(HistoricSummary!E:E,MATCH($C453,HistoricSummary!$A:$A,0),1)&lt;&gt;"",$E453*INDEX(HistoricSummary!E:E,MATCH($C453,HistoricSummary!$A:$A,0),1)+$G453,""),AND($B453&lt;&gt;"",$D453="COST",$G453&lt;0),$G453,TRUE,)</f>
        <v>-2.25</v>
      </c>
    </row>
    <row r="454">
      <c r="A454" s="184">
        <v>43585.0</v>
      </c>
      <c r="B454" s="229"/>
      <c r="C454" s="229"/>
      <c r="D454" s="229" t="s">
        <v>432</v>
      </c>
      <c r="E454" s="238"/>
      <c r="F454" s="239"/>
      <c r="G454" s="233">
        <v>-547.92</v>
      </c>
      <c r="H454" s="230" t="s">
        <v>834</v>
      </c>
      <c r="I454" s="235" t="str">
        <f t="array" ref="I454">IFS(AND($B454&lt;&gt;"",$E454&lt;&gt;""),IF(INDEX(HistoricSummary!D:D,MATCH($C454,HistoricSummary!$A:$A,0),1)&lt;&gt;"",$E454*INDEX(HistoricSummary!D:D,MATCH($C454,HistoricSummary!$A:$A,0),1)+$G454,""),AND($B454&lt;&gt;"",$D454="COST",$G454&lt;0),$G454,TRUE,)</f>
        <v/>
      </c>
      <c r="J454" s="235" t="str">
        <f t="array" ref="J454">IFS(AND($B454&lt;&gt;"",$E454&lt;&gt;""),IF(INDEX(HistoricSummary!E:E,MATCH($C454,HistoricSummary!$A:$A,0),1)&lt;&gt;"",$E454*INDEX(HistoricSummary!E:E,MATCH($C454,HistoricSummary!$A:$A,0),1)+$G454,""),AND($B454&lt;&gt;"",$D454="COST",$G454&lt;0),$G454,TRUE,)</f>
        <v/>
      </c>
    </row>
    <row r="455">
      <c r="A455" s="184">
        <v>43585.0</v>
      </c>
      <c r="B455" s="229"/>
      <c r="C455" s="229"/>
      <c r="D455" s="229" t="s">
        <v>432</v>
      </c>
      <c r="E455" s="238"/>
      <c r="F455" s="239"/>
      <c r="G455" s="233">
        <v>-2.5</v>
      </c>
      <c r="H455" s="230" t="s">
        <v>835</v>
      </c>
      <c r="I455" s="235" t="str">
        <f t="array" ref="I455">IFS(AND($B455&lt;&gt;"",$E455&lt;&gt;""),IF(INDEX(HistoricSummary!D:D,MATCH($C455,HistoricSummary!$A:$A,0),1)&lt;&gt;"",$E455*INDEX(HistoricSummary!D:D,MATCH($C455,HistoricSummary!$A:$A,0),1)+$G455,""),AND($B455&lt;&gt;"",$D455="COST",$G455&lt;0),$G455,TRUE,)</f>
        <v/>
      </c>
      <c r="J455" s="235" t="str">
        <f t="array" ref="J455">IFS(AND($B455&lt;&gt;"",$E455&lt;&gt;""),IF(INDEX(HistoricSummary!E:E,MATCH($C455,HistoricSummary!$A:$A,0),1)&lt;&gt;"",$E455*INDEX(HistoricSummary!E:E,MATCH($C455,HistoricSummary!$A:$A,0),1)+$G455,""),AND($B455&lt;&gt;"",$D455="COST",$G455&lt;0),$G455,TRUE,)</f>
        <v/>
      </c>
    </row>
    <row r="456">
      <c r="A456" s="184">
        <v>43584.0</v>
      </c>
      <c r="B456" s="229" t="s">
        <v>302</v>
      </c>
      <c r="C456" s="229" t="s">
        <v>303</v>
      </c>
      <c r="D456" s="229" t="s">
        <v>415</v>
      </c>
      <c r="E456" s="238">
        <v>-25.0</v>
      </c>
      <c r="F456" s="239">
        <v>50.092</v>
      </c>
      <c r="G456" s="233">
        <v>1252.3</v>
      </c>
      <c r="H456" s="230" t="s">
        <v>836</v>
      </c>
      <c r="I456" s="235">
        <f t="array" ref="I456">IFS(AND($B456&lt;&gt;"",$E456&lt;&gt;""),IF(INDEX(HistoricSummary!D:D,MATCH($C456,HistoricSummary!$A:$A,0),1)&lt;&gt;"",$E456*INDEX(HistoricSummary!D:D,MATCH($C456,HistoricSummary!$A:$A,0),1)+$G456,""),AND($B456&lt;&gt;"",$D456="COST",$G456&lt;0),$G456,TRUE,)</f>
        <v>-188.65</v>
      </c>
      <c r="J456" s="235">
        <f t="array" ref="J456">IFS(AND($B456&lt;&gt;"",$E456&lt;&gt;""),IF(INDEX(HistoricSummary!E:E,MATCH($C456,HistoricSummary!$A:$A,0),1)&lt;&gt;"",$E456*INDEX(HistoricSummary!E:E,MATCH($C456,HistoricSummary!$A:$A,0),1)+$G456,""),AND($B456&lt;&gt;"",$D456="COST",$G456&lt;0),$G456,TRUE,)</f>
        <v>-73.50445736</v>
      </c>
    </row>
    <row r="457">
      <c r="A457" s="184">
        <v>43580.0</v>
      </c>
      <c r="B457" s="229" t="s">
        <v>298</v>
      </c>
      <c r="C457" s="229" t="s">
        <v>299</v>
      </c>
      <c r="D457" s="229" t="s">
        <v>415</v>
      </c>
      <c r="E457" s="238">
        <v>-544.0</v>
      </c>
      <c r="F457" s="239">
        <v>4.1629</v>
      </c>
      <c r="G457" s="233">
        <v>2264.67</v>
      </c>
      <c r="H457" s="230" t="s">
        <v>837</v>
      </c>
      <c r="I457" s="235">
        <f t="array" ref="I457">IFS(AND($B457&lt;&gt;"",$E457&lt;&gt;""),IF(INDEX(HistoricSummary!D:D,MATCH($C457,HistoricSummary!$A:$A,0),1)&lt;&gt;"",$E457*INDEX(HistoricSummary!D:D,MATCH($C457,HistoricSummary!$A:$A,0),1)+$G457,""),AND($B457&lt;&gt;"",$D457="COST",$G457&lt;0),$G457,TRUE,)</f>
        <v>-425.3012</v>
      </c>
      <c r="J457" s="235">
        <f t="array" ref="J457">IFS(AND($B457&lt;&gt;"",$E457&lt;&gt;""),IF(INDEX(HistoricSummary!E:E,MATCH($C457,HistoricSummary!$A:$A,0),1)&lt;&gt;"",$E457*INDEX(HistoricSummary!E:E,MATCH($C457,HistoricSummary!$A:$A,0),1)+$G457,""),AND($B457&lt;&gt;"",$D457="COST",$G457&lt;0),$G457,TRUE,)</f>
        <v>-564.3724806</v>
      </c>
    </row>
    <row r="458">
      <c r="A458" s="184">
        <v>43580.0</v>
      </c>
      <c r="B458" s="229" t="s">
        <v>298</v>
      </c>
      <c r="C458" s="229" t="s">
        <v>299</v>
      </c>
      <c r="D458" s="229" t="s">
        <v>432</v>
      </c>
      <c r="E458" s="238"/>
      <c r="F458" s="239"/>
      <c r="G458" s="233">
        <v>-2.45</v>
      </c>
      <c r="H458" s="230" t="s">
        <v>752</v>
      </c>
      <c r="I458" s="235">
        <f t="array" ref="I458">IFS(AND($B458&lt;&gt;"",$E458&lt;&gt;""),IF(INDEX(HistoricSummary!D:D,MATCH($C458,HistoricSummary!$A:$A,0),1)&lt;&gt;"",$E458*INDEX(HistoricSummary!D:D,MATCH($C458,HistoricSummary!$A:$A,0),1)+$G458,""),AND($B458&lt;&gt;"",$D458="COST",$G458&lt;0),$G458,TRUE,)</f>
        <v>-2.45</v>
      </c>
      <c r="J458" s="235">
        <f t="array" ref="J458">IFS(AND($B458&lt;&gt;"",$E458&lt;&gt;""),IF(INDEX(HistoricSummary!E:E,MATCH($C458,HistoricSummary!$A:$A,0),1)&lt;&gt;"",$E458*INDEX(HistoricSummary!E:E,MATCH($C458,HistoricSummary!$A:$A,0),1)+$G458,""),AND($B458&lt;&gt;"",$D458="COST",$G458&lt;0),$G458,TRUE,)</f>
        <v>-2.45</v>
      </c>
    </row>
    <row r="459">
      <c r="A459" s="184">
        <v>43579.0</v>
      </c>
      <c r="B459" s="229" t="s">
        <v>292</v>
      </c>
      <c r="C459" s="229" t="s">
        <v>293</v>
      </c>
      <c r="D459" s="229" t="s">
        <v>415</v>
      </c>
      <c r="E459" s="238">
        <v>-6.0</v>
      </c>
      <c r="F459" s="239">
        <v>175.0</v>
      </c>
      <c r="G459" s="233">
        <v>1050.0</v>
      </c>
      <c r="H459" s="230" t="s">
        <v>838</v>
      </c>
      <c r="I459" s="235">
        <f t="array" ref="I459">IFS(AND($B459&lt;&gt;"",$E459&lt;&gt;""),IF(INDEX(HistoricSummary!D:D,MATCH($C459,HistoricSummary!$A:$A,0),1)&lt;&gt;"",$E459*INDEX(HistoricSummary!D:D,MATCH($C459,HistoricSummary!$A:$A,0),1)+$G459,""),AND($B459&lt;&gt;"",$D459="COST",$G459&lt;0),$G459,TRUE,)</f>
        <v>-68.76</v>
      </c>
      <c r="J459" s="235">
        <f t="array" ref="J459">IFS(AND($B459&lt;&gt;"",$E459&lt;&gt;""),IF(INDEX(HistoricSummary!E:E,MATCH($C459,HistoricSummary!$A:$A,0),1)&lt;&gt;"",$E459*INDEX(HistoricSummary!E:E,MATCH($C459,HistoricSummary!$A:$A,0),1)+$G459,""),AND($B459&lt;&gt;"",$D459="COST",$G459&lt;0),$G459,TRUE,)</f>
        <v>-107.3381395</v>
      </c>
    </row>
    <row r="460">
      <c r="A460" s="184">
        <v>43579.0</v>
      </c>
      <c r="B460" s="229" t="s">
        <v>302</v>
      </c>
      <c r="C460" s="229" t="s">
        <v>303</v>
      </c>
      <c r="D460" s="229" t="s">
        <v>415</v>
      </c>
      <c r="E460" s="238">
        <v>-21.0</v>
      </c>
      <c r="F460" s="239">
        <v>49.729</v>
      </c>
      <c r="G460" s="233">
        <v>1044.31</v>
      </c>
      <c r="H460" s="230" t="s">
        <v>839</v>
      </c>
      <c r="I460" s="235">
        <f t="array" ref="I460">IFS(AND($B460&lt;&gt;"",$E460&lt;&gt;""),IF(INDEX(HistoricSummary!D:D,MATCH($C460,HistoricSummary!$A:$A,0),1)&lt;&gt;"",$E460*INDEX(HistoricSummary!D:D,MATCH($C460,HistoricSummary!$A:$A,0),1)+$G460,""),AND($B460&lt;&gt;"",$D460="COST",$G460&lt;0),$G460,TRUE,)</f>
        <v>-166.088</v>
      </c>
      <c r="J460" s="235">
        <f t="array" ref="J460">IFS(AND($B460&lt;&gt;"",$E460&lt;&gt;""),IF(INDEX(HistoricSummary!E:E,MATCH($C460,HistoricSummary!$A:$A,0),1)&lt;&gt;"",$E460*INDEX(HistoricSummary!E:E,MATCH($C460,HistoricSummary!$A:$A,0),1)+$G460,""),AND($B460&lt;&gt;"",$D460="COST",$G460&lt;0),$G460,TRUE,)</f>
        <v>-69.36574419</v>
      </c>
    </row>
    <row r="461">
      <c r="A461" s="184">
        <v>43579.0</v>
      </c>
      <c r="B461" s="229" t="s">
        <v>298</v>
      </c>
      <c r="C461" s="229" t="s">
        <v>299</v>
      </c>
      <c r="D461" s="229" t="s">
        <v>415</v>
      </c>
      <c r="E461" s="238">
        <v>-330.0</v>
      </c>
      <c r="F461" s="239">
        <v>4.141</v>
      </c>
      <c r="G461" s="233">
        <v>1366.53</v>
      </c>
      <c r="H461" s="230" t="s">
        <v>840</v>
      </c>
      <c r="I461" s="235">
        <f t="array" ref="I461">IFS(AND($B461&lt;&gt;"",$E461&lt;&gt;""),IF(INDEX(HistoricSummary!D:D,MATCH($C461,HistoricSummary!$A:$A,0),1)&lt;&gt;"",$E461*INDEX(HistoricSummary!D:D,MATCH($C461,HistoricSummary!$A:$A,0),1)+$G461,""),AND($B461&lt;&gt;"",$D461="COST",$G461&lt;0),$G461,TRUE,)</f>
        <v>-265.254</v>
      </c>
      <c r="J461" s="235">
        <f t="array" ref="J461">IFS(AND($B461&lt;&gt;"",$E461&lt;&gt;""),IF(INDEX(HistoricSummary!E:E,MATCH($C461,HistoricSummary!$A:$A,0),1)&lt;&gt;"",$E461*INDEX(HistoricSummary!E:E,MATCH($C461,HistoricSummary!$A:$A,0),1)+$G461,""),AND($B461&lt;&gt;"",$D461="COST",$G461&lt;0),$G461,TRUE,)</f>
        <v>-349.617093</v>
      </c>
    </row>
    <row r="462">
      <c r="A462" s="184">
        <v>43579.0</v>
      </c>
      <c r="B462" s="229" t="s">
        <v>298</v>
      </c>
      <c r="C462" s="229" t="s">
        <v>299</v>
      </c>
      <c r="D462" s="229" t="s">
        <v>432</v>
      </c>
      <c r="E462" s="238"/>
      <c r="F462" s="239"/>
      <c r="G462" s="233">
        <v>-2.27</v>
      </c>
      <c r="H462" s="230" t="s">
        <v>841</v>
      </c>
      <c r="I462" s="235">
        <f t="array" ref="I462">IFS(AND($B462&lt;&gt;"",$E462&lt;&gt;""),IF(INDEX(HistoricSummary!D:D,MATCH($C462,HistoricSummary!$A:$A,0),1)&lt;&gt;"",$E462*INDEX(HistoricSummary!D:D,MATCH($C462,HistoricSummary!$A:$A,0),1)+$G462,""),AND($B462&lt;&gt;"",$D462="COST",$G462&lt;0),$G462,TRUE,)</f>
        <v>-2.27</v>
      </c>
      <c r="J462" s="235">
        <f t="array" ref="J462">IFS(AND($B462&lt;&gt;"",$E462&lt;&gt;""),IF(INDEX(HistoricSummary!E:E,MATCH($C462,HistoricSummary!$A:$A,0),1)&lt;&gt;"",$E462*INDEX(HistoricSummary!E:E,MATCH($C462,HistoricSummary!$A:$A,0),1)+$G462,""),AND($B462&lt;&gt;"",$D462="COST",$G462&lt;0),$G462,TRUE,)</f>
        <v>-2.27</v>
      </c>
    </row>
    <row r="463">
      <c r="A463" s="184">
        <v>43579.0</v>
      </c>
      <c r="B463" s="229" t="s">
        <v>302</v>
      </c>
      <c r="C463" s="229" t="s">
        <v>303</v>
      </c>
      <c r="D463" s="229" t="s">
        <v>415</v>
      </c>
      <c r="E463" s="238">
        <v>-23.0</v>
      </c>
      <c r="F463" s="239">
        <v>49.6999</v>
      </c>
      <c r="G463" s="233">
        <v>1143.1</v>
      </c>
      <c r="H463" s="230" t="s">
        <v>842</v>
      </c>
      <c r="I463" s="235">
        <f t="array" ref="I463">IFS(AND($B463&lt;&gt;"",$E463&lt;&gt;""),IF(INDEX(HistoricSummary!D:D,MATCH($C463,HistoricSummary!$A:$A,0),1)&lt;&gt;"",$E463*INDEX(HistoricSummary!D:D,MATCH($C463,HistoricSummary!$A:$A,0),1)+$G463,""),AND($B463&lt;&gt;"",$D463="COST",$G463&lt;0),$G463,TRUE,)</f>
        <v>-182.574</v>
      </c>
      <c r="J463" s="235">
        <f t="array" ref="J463">IFS(AND($B463&lt;&gt;"",$E463&lt;&gt;""),IF(INDEX(HistoricSummary!E:E,MATCH($C463,HistoricSummary!$A:$A,0),1)&lt;&gt;"",$E463*INDEX(HistoricSummary!E:E,MATCH($C463,HistoricSummary!$A:$A,0),1)+$G463,""),AND($B463&lt;&gt;"",$D463="COST",$G463&lt;0),$G463,TRUE,)</f>
        <v>-76.64010078</v>
      </c>
    </row>
    <row r="464">
      <c r="A464" s="184">
        <v>43579.0</v>
      </c>
      <c r="B464" s="229" t="s">
        <v>298</v>
      </c>
      <c r="C464" s="229" t="s">
        <v>299</v>
      </c>
      <c r="D464" s="229" t="s">
        <v>415</v>
      </c>
      <c r="E464" s="238">
        <v>-320.0</v>
      </c>
      <c r="F464" s="239">
        <v>4.1356</v>
      </c>
      <c r="G464" s="233">
        <v>1323.42</v>
      </c>
      <c r="H464" s="230" t="s">
        <v>843</v>
      </c>
      <c r="I464" s="235">
        <f t="array" ref="I464">IFS(AND($B464&lt;&gt;"",$E464&lt;&gt;""),IF(INDEX(HistoricSummary!D:D,MATCH($C464,HistoricSummary!$A:$A,0),1)&lt;&gt;"",$E464*INDEX(HistoricSummary!D:D,MATCH($C464,HistoricSummary!$A:$A,0),1)+$G464,""),AND($B464&lt;&gt;"",$D464="COST",$G464&lt;0),$G464,TRUE,)</f>
        <v>-258.916</v>
      </c>
      <c r="J464" s="235">
        <f t="array" ref="J464">IFS(AND($B464&lt;&gt;"",$E464&lt;&gt;""),IF(INDEX(HistoricSummary!E:E,MATCH($C464,HistoricSummary!$A:$A,0),1)&lt;&gt;"",$E464*INDEX(HistoricSummary!E:E,MATCH($C464,HistoricSummary!$A:$A,0),1)+$G464,""),AND($B464&lt;&gt;"",$D464="COST",$G464&lt;0),$G464,TRUE,)</f>
        <v>-340.7226357</v>
      </c>
    </row>
    <row r="465">
      <c r="A465" s="184">
        <v>43579.0</v>
      </c>
      <c r="B465" s="229" t="s">
        <v>298</v>
      </c>
      <c r="C465" s="229" t="s">
        <v>299</v>
      </c>
      <c r="D465" s="229" t="s">
        <v>432</v>
      </c>
      <c r="E465" s="238"/>
      <c r="F465" s="239"/>
      <c r="G465" s="233">
        <v>-2.26</v>
      </c>
      <c r="H465" s="230" t="s">
        <v>806</v>
      </c>
      <c r="I465" s="235">
        <f t="array" ref="I465">IFS(AND($B465&lt;&gt;"",$E465&lt;&gt;""),IF(INDEX(HistoricSummary!D:D,MATCH($C465,HistoricSummary!$A:$A,0),1)&lt;&gt;"",$E465*INDEX(HistoricSummary!D:D,MATCH($C465,HistoricSummary!$A:$A,0),1)+$G465,""),AND($B465&lt;&gt;"",$D465="COST",$G465&lt;0),$G465,TRUE,)</f>
        <v>-2.26</v>
      </c>
      <c r="J465" s="235">
        <f t="array" ref="J465">IFS(AND($B465&lt;&gt;"",$E465&lt;&gt;""),IF(INDEX(HistoricSummary!E:E,MATCH($C465,HistoricSummary!$A:$A,0),1)&lt;&gt;"",$E465*INDEX(HistoricSummary!E:E,MATCH($C465,HistoricSummary!$A:$A,0),1)+$G465,""),AND($B465&lt;&gt;"",$D465="COST",$G465&lt;0),$G465,TRUE,)</f>
        <v>-2.26</v>
      </c>
    </row>
    <row r="466">
      <c r="A466" s="184">
        <v>43579.0</v>
      </c>
      <c r="B466" s="229" t="s">
        <v>292</v>
      </c>
      <c r="C466" s="229" t="s">
        <v>293</v>
      </c>
      <c r="D466" s="229" t="s">
        <v>415</v>
      </c>
      <c r="E466" s="238">
        <v>-6.0</v>
      </c>
      <c r="F466" s="239">
        <v>174.67</v>
      </c>
      <c r="G466" s="233">
        <v>1048.02</v>
      </c>
      <c r="H466" s="230" t="s">
        <v>844</v>
      </c>
      <c r="I466" s="235">
        <f t="array" ref="I466">IFS(AND($B466&lt;&gt;"",$E466&lt;&gt;""),IF(INDEX(HistoricSummary!D:D,MATCH($C466,HistoricSummary!$A:$A,0),1)&lt;&gt;"",$E466*INDEX(HistoricSummary!D:D,MATCH($C466,HistoricSummary!$A:$A,0),1)+$G466,""),AND($B466&lt;&gt;"",$D466="COST",$G466&lt;0),$G466,TRUE,)</f>
        <v>-70.74</v>
      </c>
      <c r="J466" s="235">
        <f t="array" ref="J466">IFS(AND($B466&lt;&gt;"",$E466&lt;&gt;""),IF(INDEX(HistoricSummary!E:E,MATCH($C466,HistoricSummary!$A:$A,0),1)&lt;&gt;"",$E466*INDEX(HistoricSummary!E:E,MATCH($C466,HistoricSummary!$A:$A,0),1)+$G466,""),AND($B466&lt;&gt;"",$D466="COST",$G466&lt;0),$G466,TRUE,)</f>
        <v>-109.3181395</v>
      </c>
    </row>
    <row r="467">
      <c r="A467" s="184">
        <v>43579.0</v>
      </c>
      <c r="B467" s="229" t="s">
        <v>298</v>
      </c>
      <c r="C467" s="229" t="s">
        <v>299</v>
      </c>
      <c r="D467" s="229" t="s">
        <v>415</v>
      </c>
      <c r="E467" s="238">
        <v>-285.0</v>
      </c>
      <c r="F467" s="239">
        <v>4.1217</v>
      </c>
      <c r="G467" s="233">
        <v>1174.71</v>
      </c>
      <c r="H467" s="230" t="s">
        <v>845</v>
      </c>
      <c r="I467" s="235">
        <f t="array" ref="I467">IFS(AND($B467&lt;&gt;"",$E467&lt;&gt;""),IF(INDEX(HistoricSummary!D:D,MATCH($C467,HistoricSummary!$A:$A,0),1)&lt;&gt;"",$E467*INDEX(HistoricSummary!D:D,MATCH($C467,HistoricSummary!$A:$A,0),1)+$G467,""),AND($B467&lt;&gt;"",$D467="COST",$G467&lt;0),$G467,TRUE,)</f>
        <v>-234.558</v>
      </c>
      <c r="J467" s="235">
        <f t="array" ref="J467">IFS(AND($B467&lt;&gt;"",$E467&lt;&gt;""),IF(INDEX(HistoricSummary!E:E,MATCH($C467,HistoricSummary!$A:$A,0),1)&lt;&gt;"",$E467*INDEX(HistoricSummary!E:E,MATCH($C467,HistoricSummary!$A:$A,0),1)+$G467,""),AND($B467&lt;&gt;"",$D467="COST",$G467&lt;0),$G467,TRUE,)</f>
        <v>-307.4170349</v>
      </c>
    </row>
    <row r="468">
      <c r="A468" s="184">
        <v>43579.0</v>
      </c>
      <c r="B468" s="229" t="s">
        <v>298</v>
      </c>
      <c r="C468" s="229" t="s">
        <v>299</v>
      </c>
      <c r="D468" s="229" t="s">
        <v>432</v>
      </c>
      <c r="E468" s="238"/>
      <c r="F468" s="239"/>
      <c r="G468" s="233">
        <v>-2.23</v>
      </c>
      <c r="H468" s="230" t="s">
        <v>829</v>
      </c>
      <c r="I468" s="235">
        <f t="array" ref="I468">IFS(AND($B468&lt;&gt;"",$E468&lt;&gt;""),IF(INDEX(HistoricSummary!D:D,MATCH($C468,HistoricSummary!$A:$A,0),1)&lt;&gt;"",$E468*INDEX(HistoricSummary!D:D,MATCH($C468,HistoricSummary!$A:$A,0),1)+$G468,""),AND($B468&lt;&gt;"",$D468="COST",$G468&lt;0),$G468,TRUE,)</f>
        <v>-2.23</v>
      </c>
      <c r="J468" s="235">
        <f t="array" ref="J468">IFS(AND($B468&lt;&gt;"",$E468&lt;&gt;""),IF(INDEX(HistoricSummary!E:E,MATCH($C468,HistoricSummary!$A:$A,0),1)&lt;&gt;"",$E468*INDEX(HistoricSummary!E:E,MATCH($C468,HistoricSummary!$A:$A,0),1)+$G468,""),AND($B468&lt;&gt;"",$D468="COST",$G468&lt;0),$G468,TRUE,)</f>
        <v>-2.23</v>
      </c>
    </row>
    <row r="469">
      <c r="A469" s="184">
        <v>43579.0</v>
      </c>
      <c r="B469" s="229" t="s">
        <v>302</v>
      </c>
      <c r="C469" s="229" t="s">
        <v>303</v>
      </c>
      <c r="D469" s="229" t="s">
        <v>415</v>
      </c>
      <c r="E469" s="238">
        <v>-25.0</v>
      </c>
      <c r="F469" s="239">
        <v>49.62</v>
      </c>
      <c r="G469" s="233">
        <v>1240.5</v>
      </c>
      <c r="H469" s="230" t="s">
        <v>846</v>
      </c>
      <c r="I469" s="235">
        <f t="array" ref="I469">IFS(AND($B469&lt;&gt;"",$E469&lt;&gt;""),IF(INDEX(HistoricSummary!D:D,MATCH($C469,HistoricSummary!$A:$A,0),1)&lt;&gt;"",$E469*INDEX(HistoricSummary!D:D,MATCH($C469,HistoricSummary!$A:$A,0),1)+$G469,""),AND($B469&lt;&gt;"",$D469="COST",$G469&lt;0),$G469,TRUE,)</f>
        <v>-200.45</v>
      </c>
      <c r="J469" s="235">
        <f t="array" ref="J469">IFS(AND($B469&lt;&gt;"",$E469&lt;&gt;""),IF(INDEX(HistoricSummary!E:E,MATCH($C469,HistoricSummary!$A:$A,0),1)&lt;&gt;"",$E469*INDEX(HistoricSummary!E:E,MATCH($C469,HistoricSummary!$A:$A,0),1)+$G469,""),AND($B469&lt;&gt;"",$D469="COST",$G469&lt;0),$G469,TRUE,)</f>
        <v>-85.30445736</v>
      </c>
    </row>
    <row r="470">
      <c r="A470" s="184">
        <v>43578.0</v>
      </c>
      <c r="B470" s="229" t="s">
        <v>302</v>
      </c>
      <c r="C470" s="229" t="s">
        <v>303</v>
      </c>
      <c r="D470" s="229" t="s">
        <v>415</v>
      </c>
      <c r="E470" s="238">
        <v>-25.0</v>
      </c>
      <c r="F470" s="239">
        <v>49.2048</v>
      </c>
      <c r="G470" s="233">
        <v>1230.12</v>
      </c>
      <c r="H470" s="230" t="s">
        <v>847</v>
      </c>
      <c r="I470" s="235">
        <f t="array" ref="I470">IFS(AND($B470&lt;&gt;"",$E470&lt;&gt;""),IF(INDEX(HistoricSummary!D:D,MATCH($C470,HistoricSummary!$A:$A,0),1)&lt;&gt;"",$E470*INDEX(HistoricSummary!D:D,MATCH($C470,HistoricSummary!$A:$A,0),1)+$G470,""),AND($B470&lt;&gt;"",$D470="COST",$G470&lt;0),$G470,TRUE,)</f>
        <v>-210.83</v>
      </c>
      <c r="J470" s="235">
        <f t="array" ref="J470">IFS(AND($B470&lt;&gt;"",$E470&lt;&gt;""),IF(INDEX(HistoricSummary!E:E,MATCH($C470,HistoricSummary!$A:$A,0),1)&lt;&gt;"",$E470*INDEX(HistoricSummary!E:E,MATCH($C470,HistoricSummary!$A:$A,0),1)+$G470,""),AND($B470&lt;&gt;"",$D470="COST",$G470&lt;0),$G470,TRUE,)</f>
        <v>-95.68445736</v>
      </c>
    </row>
    <row r="471">
      <c r="A471" s="184">
        <v>43578.0</v>
      </c>
      <c r="B471" s="229" t="s">
        <v>283</v>
      </c>
      <c r="C471" s="229" t="s">
        <v>286</v>
      </c>
      <c r="D471" s="229" t="s">
        <v>415</v>
      </c>
      <c r="E471" s="238">
        <v>-150.0</v>
      </c>
      <c r="F471" s="239">
        <v>7.43</v>
      </c>
      <c r="G471" s="233">
        <v>1114.5</v>
      </c>
      <c r="H471" s="230" t="s">
        <v>848</v>
      </c>
      <c r="I471" s="235">
        <f t="array" ref="I471">IFS(AND($B471&lt;&gt;"",$E471&lt;&gt;""),IF(INDEX(HistoricSummary!D:D,MATCH($C471,HistoricSummary!$A:$A,0),1)&lt;&gt;"",$E471*INDEX(HistoricSummary!D:D,MATCH($C471,HistoricSummary!$A:$A,0),1)+$G471,""),AND($B471&lt;&gt;"",$D471="COST",$G471&lt;0),$G471,TRUE,)</f>
        <v>140.55</v>
      </c>
      <c r="J471" s="235">
        <f t="array" ref="J471">IFS(AND($B471&lt;&gt;"",$E471&lt;&gt;""),IF(INDEX(HistoricSummary!E:E,MATCH($C471,HistoricSummary!$A:$A,0),1)&lt;&gt;"",$E471*INDEX(HistoricSummary!E:E,MATCH($C471,HistoricSummary!$A:$A,0),1)+$G471,""),AND($B471&lt;&gt;"",$D471="COST",$G471&lt;0),$G471,TRUE,)</f>
        <v>146.7872093</v>
      </c>
    </row>
    <row r="472">
      <c r="A472" s="184">
        <v>43573.0</v>
      </c>
      <c r="B472" s="229" t="s">
        <v>302</v>
      </c>
      <c r="C472" s="229" t="s">
        <v>303</v>
      </c>
      <c r="D472" s="229" t="s">
        <v>415</v>
      </c>
      <c r="E472" s="238">
        <v>-25.0</v>
      </c>
      <c r="F472" s="239">
        <v>49.03</v>
      </c>
      <c r="G472" s="233">
        <v>1225.75</v>
      </c>
      <c r="H472" s="230" t="s">
        <v>849</v>
      </c>
      <c r="I472" s="235">
        <f t="array" ref="I472">IFS(AND($B472&lt;&gt;"",$E472&lt;&gt;""),IF(INDEX(HistoricSummary!D:D,MATCH($C472,HistoricSummary!$A:$A,0),1)&lt;&gt;"",$E472*INDEX(HistoricSummary!D:D,MATCH($C472,HistoricSummary!$A:$A,0),1)+$G472,""),AND($B472&lt;&gt;"",$D472="COST",$G472&lt;0),$G472,TRUE,)</f>
        <v>-215.2</v>
      </c>
      <c r="J472" s="235">
        <f t="array" ref="J472">IFS(AND($B472&lt;&gt;"",$E472&lt;&gt;""),IF(INDEX(HistoricSummary!E:E,MATCH($C472,HistoricSummary!$A:$A,0),1)&lt;&gt;"",$E472*INDEX(HistoricSummary!E:E,MATCH($C472,HistoricSummary!$A:$A,0),1)+$G472,""),AND($B472&lt;&gt;"",$D472="COST",$G472&lt;0),$G472,TRUE,)</f>
        <v>-100.0544574</v>
      </c>
    </row>
    <row r="473">
      <c r="A473" s="184">
        <v>43573.0</v>
      </c>
      <c r="B473" s="229" t="s">
        <v>298</v>
      </c>
      <c r="C473" s="229" t="s">
        <v>299</v>
      </c>
      <c r="D473" s="229" t="s">
        <v>415</v>
      </c>
      <c r="E473" s="238">
        <v>-879.0</v>
      </c>
      <c r="F473" s="239">
        <v>4.0992</v>
      </c>
      <c r="G473" s="233">
        <v>3603.2</v>
      </c>
      <c r="H473" s="230" t="s">
        <v>850</v>
      </c>
      <c r="I473" s="235">
        <f t="array" ref="I473">IFS(AND($B473&lt;&gt;"",$E473&lt;&gt;""),IF(INDEX(HistoricSummary!D:D,MATCH($C473,HistoricSummary!$A:$A,0),1)&lt;&gt;"",$E473*INDEX(HistoricSummary!D:D,MATCH($C473,HistoricSummary!$A:$A,0),1)+$G473,""),AND($B473&lt;&gt;"",$D473="COST",$G473&lt;0),$G473,TRUE,)</f>
        <v>-743.2792</v>
      </c>
      <c r="J473" s="235">
        <f t="array" ref="J473">IFS(AND($B473&lt;&gt;"",$E473&lt;&gt;""),IF(INDEX(HistoricSummary!E:E,MATCH($C473,HistoricSummary!$A:$A,0),1)&lt;&gt;"",$E473*INDEX(HistoricSummary!E:E,MATCH($C473,HistoricSummary!$A:$A,0),1)+$G473,""),AND($B473&lt;&gt;"",$D473="COST",$G473&lt;0),$G473,TRUE,)</f>
        <v>-967.9918023</v>
      </c>
    </row>
    <row r="474">
      <c r="A474" s="184">
        <v>43573.0</v>
      </c>
      <c r="B474" s="229" t="s">
        <v>298</v>
      </c>
      <c r="C474" s="229" t="s">
        <v>299</v>
      </c>
      <c r="D474" s="229" t="s">
        <v>432</v>
      </c>
      <c r="E474" s="238"/>
      <c r="F474" s="239"/>
      <c r="G474" s="233">
        <v>-2.72</v>
      </c>
      <c r="H474" s="230" t="s">
        <v>851</v>
      </c>
      <c r="I474" s="235">
        <f t="array" ref="I474">IFS(AND($B474&lt;&gt;"",$E474&lt;&gt;""),IF(INDEX(HistoricSummary!D:D,MATCH($C474,HistoricSummary!$A:$A,0),1)&lt;&gt;"",$E474*INDEX(HistoricSummary!D:D,MATCH($C474,HistoricSummary!$A:$A,0),1)+$G474,""),AND($B474&lt;&gt;"",$D474="COST",$G474&lt;0),$G474,TRUE,)</f>
        <v>-2.72</v>
      </c>
      <c r="J474" s="235">
        <f t="array" ref="J474">IFS(AND($B474&lt;&gt;"",$E474&lt;&gt;""),IF(INDEX(HistoricSummary!E:E,MATCH($C474,HistoricSummary!$A:$A,0),1)&lt;&gt;"",$E474*INDEX(HistoricSummary!E:E,MATCH($C474,HistoricSummary!$A:$A,0),1)+$G474,""),AND($B474&lt;&gt;"",$D474="COST",$G474&lt;0),$G474,TRUE,)</f>
        <v>-2.72</v>
      </c>
    </row>
    <row r="475">
      <c r="A475" s="184">
        <v>43571.0</v>
      </c>
      <c r="B475" s="229" t="s">
        <v>302</v>
      </c>
      <c r="C475" s="229" t="s">
        <v>303</v>
      </c>
      <c r="D475" s="229" t="s">
        <v>415</v>
      </c>
      <c r="E475" s="238">
        <v>-25.0</v>
      </c>
      <c r="F475" s="239">
        <v>48.99</v>
      </c>
      <c r="G475" s="233">
        <v>1224.75</v>
      </c>
      <c r="H475" s="230" t="s">
        <v>852</v>
      </c>
      <c r="I475" s="235">
        <f t="array" ref="I475">IFS(AND($B475&lt;&gt;"",$E475&lt;&gt;""),IF(INDEX(HistoricSummary!D:D,MATCH($C475,HistoricSummary!$A:$A,0),1)&lt;&gt;"",$E475*INDEX(HistoricSummary!D:D,MATCH($C475,HistoricSummary!$A:$A,0),1)+$G475,""),AND($B475&lt;&gt;"",$D475="COST",$G475&lt;0),$G475,TRUE,)</f>
        <v>-216.2</v>
      </c>
      <c r="J475" s="235">
        <f t="array" ref="J475">IFS(AND($B475&lt;&gt;"",$E475&lt;&gt;""),IF(INDEX(HistoricSummary!E:E,MATCH($C475,HistoricSummary!$A:$A,0),1)&lt;&gt;"",$E475*INDEX(HistoricSummary!E:E,MATCH($C475,HistoricSummary!$A:$A,0),1)+$G475,""),AND($B475&lt;&gt;"",$D475="COST",$G475&lt;0),$G475,TRUE,)</f>
        <v>-101.0544574</v>
      </c>
    </row>
    <row r="476">
      <c r="A476" s="184">
        <v>43570.0</v>
      </c>
      <c r="B476" s="229" t="s">
        <v>302</v>
      </c>
      <c r="C476" s="229" t="s">
        <v>303</v>
      </c>
      <c r="D476" s="229" t="s">
        <v>415</v>
      </c>
      <c r="E476" s="238">
        <v>-25.0</v>
      </c>
      <c r="F476" s="239">
        <v>48.7952</v>
      </c>
      <c r="G476" s="233">
        <v>1219.88</v>
      </c>
      <c r="H476" s="230" t="s">
        <v>853</v>
      </c>
      <c r="I476" s="235">
        <f t="array" ref="I476">IFS(AND($B476&lt;&gt;"",$E476&lt;&gt;""),IF(INDEX(HistoricSummary!D:D,MATCH($C476,HistoricSummary!$A:$A,0),1)&lt;&gt;"",$E476*INDEX(HistoricSummary!D:D,MATCH($C476,HistoricSummary!$A:$A,0),1)+$G476,""),AND($B476&lt;&gt;"",$D476="COST",$G476&lt;0),$G476,TRUE,)</f>
        <v>-221.07</v>
      </c>
      <c r="J476" s="235">
        <f t="array" ref="J476">IFS(AND($B476&lt;&gt;"",$E476&lt;&gt;""),IF(INDEX(HistoricSummary!E:E,MATCH($C476,HistoricSummary!$A:$A,0),1)&lt;&gt;"",$E476*INDEX(HistoricSummary!E:E,MATCH($C476,HistoricSummary!$A:$A,0),1)+$G476,""),AND($B476&lt;&gt;"",$D476="COST",$G476&lt;0),$G476,TRUE,)</f>
        <v>-105.9244574</v>
      </c>
    </row>
    <row r="477">
      <c r="A477" s="184">
        <v>43567.0</v>
      </c>
      <c r="B477" s="229" t="s">
        <v>298</v>
      </c>
      <c r="C477" s="229" t="s">
        <v>299</v>
      </c>
      <c r="D477" s="229" t="s">
        <v>414</v>
      </c>
      <c r="E477" s="238">
        <v>60580.0</v>
      </c>
      <c r="F477" s="239">
        <v>4.098</v>
      </c>
      <c r="G477" s="233">
        <v>-248256.84</v>
      </c>
      <c r="H477" s="230" t="s">
        <v>854</v>
      </c>
      <c r="I477" s="235">
        <f t="array" ref="I477">IFS(AND($B477&lt;&gt;"",$E477&lt;&gt;""),IF(INDEX(HistoricSummary!D:D,MATCH($C477,HistoricSummary!$A:$A,0),1)&lt;&gt;"",$E477*INDEX(HistoricSummary!D:D,MATCH($C477,HistoricSummary!$A:$A,0),1)+$G477,""),AND($B477&lt;&gt;"",$D477="COST",$G477&lt;0),$G477,TRUE,)</f>
        <v>51299.144</v>
      </c>
      <c r="J477" s="235">
        <f t="array" ref="J477">IFS(AND($B477&lt;&gt;"",$E477&lt;&gt;""),IF(INDEX(HistoricSummary!E:E,MATCH($C477,HistoricSummary!$A:$A,0),1)&lt;&gt;"",$E477*INDEX(HistoricSummary!E:E,MATCH($C477,HistoricSummary!$A:$A,0),1)+$G477,""),AND($B477&lt;&gt;"",$D477="COST",$G477&lt;0),$G477,TRUE,)</f>
        <v>66786.16271</v>
      </c>
    </row>
    <row r="478">
      <c r="A478" s="184">
        <v>43567.0</v>
      </c>
      <c r="B478" s="229" t="s">
        <v>298</v>
      </c>
      <c r="C478" s="229" t="s">
        <v>299</v>
      </c>
      <c r="D478" s="229" t="s">
        <v>432</v>
      </c>
      <c r="E478" s="238"/>
      <c r="F478" s="239"/>
      <c r="G478" s="233">
        <v>-51.65</v>
      </c>
      <c r="H478" s="230" t="s">
        <v>855</v>
      </c>
      <c r="I478" s="235">
        <f t="array" ref="I478">IFS(AND($B478&lt;&gt;"",$E478&lt;&gt;""),IF(INDEX(HistoricSummary!D:D,MATCH($C478,HistoricSummary!$A:$A,0),1)&lt;&gt;"",$E478*INDEX(HistoricSummary!D:D,MATCH($C478,HistoricSummary!$A:$A,0),1)+$G478,""),AND($B478&lt;&gt;"",$D478="COST",$G478&lt;0),$G478,TRUE,)</f>
        <v>-51.65</v>
      </c>
      <c r="J478" s="235">
        <f t="array" ref="J478">IFS(AND($B478&lt;&gt;"",$E478&lt;&gt;""),IF(INDEX(HistoricSummary!E:E,MATCH($C478,HistoricSummary!$A:$A,0),1)&lt;&gt;"",$E478*INDEX(HistoricSummary!E:E,MATCH($C478,HistoricSummary!$A:$A,0),1)+$G478,""),AND($B478&lt;&gt;"",$D478="COST",$G478&lt;0),$G478,TRUE,)</f>
        <v>-51.65</v>
      </c>
    </row>
    <row r="479">
      <c r="A479" s="184">
        <v>43567.0</v>
      </c>
      <c r="B479" s="229" t="s">
        <v>298</v>
      </c>
      <c r="C479" s="229" t="s">
        <v>299</v>
      </c>
      <c r="D479" s="229" t="s">
        <v>414</v>
      </c>
      <c r="E479" s="238">
        <v>12775.0</v>
      </c>
      <c r="F479" s="239">
        <v>4.098</v>
      </c>
      <c r="G479" s="233">
        <v>-52351.56</v>
      </c>
      <c r="H479" s="230" t="s">
        <v>856</v>
      </c>
      <c r="I479" s="235">
        <f t="array" ref="I479">IFS(AND($B479&lt;&gt;"",$E479&lt;&gt;""),IF(INDEX(HistoricSummary!D:D,MATCH($C479,HistoricSummary!$A:$A,0),1)&lt;&gt;"",$E479*INDEX(HistoricSummary!D:D,MATCH($C479,HistoricSummary!$A:$A,0),1)+$G479,""),AND($B479&lt;&gt;"",$D479="COST",$G479&lt;0),$G479,TRUE,)</f>
        <v>10818.26</v>
      </c>
      <c r="J479" s="235">
        <f t="array" ref="J479">IFS(AND($B479&lt;&gt;"",$E479&lt;&gt;""),IF(INDEX(HistoricSummary!E:E,MATCH($C479,HistoricSummary!$A:$A,0),1)&lt;&gt;"",$E479*INDEX(HistoricSummary!E:E,MATCH($C479,HistoricSummary!$A:$A,0),1)+$G479,""),AND($B479&lt;&gt;"",$D479="COST",$G479&lt;0),$G479,TRUE,)</f>
        <v>14084.13428</v>
      </c>
    </row>
    <row r="480">
      <c r="A480" s="184">
        <v>43567.0</v>
      </c>
      <c r="B480" s="229" t="s">
        <v>298</v>
      </c>
      <c r="C480" s="229" t="s">
        <v>299</v>
      </c>
      <c r="D480" s="229" t="s">
        <v>432</v>
      </c>
      <c r="E480" s="238"/>
      <c r="F480" s="239"/>
      <c r="G480" s="233">
        <v>-12.47</v>
      </c>
      <c r="H480" s="230" t="s">
        <v>857</v>
      </c>
      <c r="I480" s="235">
        <f t="array" ref="I480">IFS(AND($B480&lt;&gt;"",$E480&lt;&gt;""),IF(INDEX(HistoricSummary!D:D,MATCH($C480,HistoricSummary!$A:$A,0),1)&lt;&gt;"",$E480*INDEX(HistoricSummary!D:D,MATCH($C480,HistoricSummary!$A:$A,0),1)+$G480,""),AND($B480&lt;&gt;"",$D480="COST",$G480&lt;0),$G480,TRUE,)</f>
        <v>-12.47</v>
      </c>
      <c r="J480" s="235">
        <f t="array" ref="J480">IFS(AND($B480&lt;&gt;"",$E480&lt;&gt;""),IF(INDEX(HistoricSummary!E:E,MATCH($C480,HistoricSummary!$A:$A,0),1)&lt;&gt;"",$E480*INDEX(HistoricSummary!E:E,MATCH($C480,HistoricSummary!$A:$A,0),1)+$G480,""),AND($B480&lt;&gt;"",$D480="COST",$G480&lt;0),$G480,TRUE,)</f>
        <v>-12.47</v>
      </c>
    </row>
    <row r="481">
      <c r="A481" s="184">
        <v>43567.0</v>
      </c>
      <c r="B481" s="229" t="s">
        <v>302</v>
      </c>
      <c r="C481" s="229" t="s">
        <v>303</v>
      </c>
      <c r="D481" s="229" t="s">
        <v>415</v>
      </c>
      <c r="E481" s="238">
        <v>-26.0</v>
      </c>
      <c r="F481" s="239">
        <v>48.69</v>
      </c>
      <c r="G481" s="233">
        <v>1265.94</v>
      </c>
      <c r="H481" s="230" t="s">
        <v>858</v>
      </c>
      <c r="I481" s="235">
        <f t="array" ref="I481">IFS(AND($B481&lt;&gt;"",$E481&lt;&gt;""),IF(INDEX(HistoricSummary!D:D,MATCH($C481,HistoricSummary!$A:$A,0),1)&lt;&gt;"",$E481*INDEX(HistoricSummary!D:D,MATCH($C481,HistoricSummary!$A:$A,0),1)+$G481,""),AND($B481&lt;&gt;"",$D481="COST",$G481&lt;0),$G481,TRUE,)</f>
        <v>-232.648</v>
      </c>
      <c r="J481" s="235">
        <f t="array" ref="J481">IFS(AND($B481&lt;&gt;"",$E481&lt;&gt;""),IF(INDEX(HistoricSummary!E:E,MATCH($C481,HistoricSummary!$A:$A,0),1)&lt;&gt;"",$E481*INDEX(HistoricSummary!E:E,MATCH($C481,HistoricSummary!$A:$A,0),1)+$G481,""),AND($B481&lt;&gt;"",$D481="COST",$G481&lt;0),$G481,TRUE,)</f>
        <v>-112.8966357</v>
      </c>
    </row>
    <row r="482">
      <c r="A482" s="184">
        <v>43565.0</v>
      </c>
      <c r="B482" s="229" t="s">
        <v>302</v>
      </c>
      <c r="C482" s="229" t="s">
        <v>303</v>
      </c>
      <c r="D482" s="229" t="s">
        <v>475</v>
      </c>
      <c r="E482" s="238"/>
      <c r="F482" s="239"/>
      <c r="G482" s="233">
        <v>-125.08</v>
      </c>
      <c r="H482" s="230" t="s">
        <v>859</v>
      </c>
      <c r="I482" s="235" t="str">
        <f t="array" ref="I482">IFS(AND($B482&lt;&gt;"",$E482&lt;&gt;""),IF(INDEX(HistoricSummary!D:D,MATCH($C482,HistoricSummary!$A:$A,0),1)&lt;&gt;"",$E482*INDEX(HistoricSummary!D:D,MATCH($C482,HistoricSummary!$A:$A,0),1)+$G482,""),AND($B482&lt;&gt;"",$D482="COST",$G482&lt;0),$G482,TRUE,)</f>
        <v/>
      </c>
      <c r="J482" s="235" t="str">
        <f t="array" ref="J482">IFS(AND($B482&lt;&gt;"",$E482&lt;&gt;""),IF(INDEX(HistoricSummary!E:E,MATCH($C482,HistoricSummary!$A:$A,0),1)&lt;&gt;"",$E482*INDEX(HistoricSummary!E:E,MATCH($C482,HistoricSummary!$A:$A,0),1)+$G482,""),AND($B482&lt;&gt;"",$D482="COST",$G482&lt;0),$G482,TRUE,)</f>
        <v/>
      </c>
    </row>
    <row r="483">
      <c r="A483" s="184">
        <v>43565.0</v>
      </c>
      <c r="B483" s="229" t="s">
        <v>302</v>
      </c>
      <c r="C483" s="229" t="s">
        <v>303</v>
      </c>
      <c r="D483" s="229" t="s">
        <v>475</v>
      </c>
      <c r="E483" s="240"/>
      <c r="F483" s="241"/>
      <c r="G483" s="233">
        <v>1098.21</v>
      </c>
      <c r="H483" s="230" t="s">
        <v>860</v>
      </c>
      <c r="I483" s="235" t="str">
        <f t="array" ref="I483">IFS(AND($B483&lt;&gt;"",$E483&lt;&gt;""),IF(INDEX(HistoricSummary!D:D,MATCH($C483,HistoricSummary!$A:$A,0),1)&lt;&gt;"",$E483*INDEX(HistoricSummary!D:D,MATCH($C483,HistoricSummary!$A:$A,0),1)+$G483,""),AND($B483&lt;&gt;"",$D483="COST",$G483&lt;0),$G483,TRUE,)</f>
        <v/>
      </c>
      <c r="J483" s="235" t="str">
        <f t="array" ref="J483">IFS(AND($B483&lt;&gt;"",$E483&lt;&gt;""),IF(INDEX(HistoricSummary!E:E,MATCH($C483,HistoricSummary!$A:$A,0),1)&lt;&gt;"",$E483*INDEX(HistoricSummary!E:E,MATCH($C483,HistoricSummary!$A:$A,0),1)+$G483,""),AND($B483&lt;&gt;"",$D483="COST",$G483&lt;0),$G483,TRUE,)</f>
        <v/>
      </c>
    </row>
    <row r="484">
      <c r="A484" s="242">
        <v>43560.0</v>
      </c>
      <c r="B484" s="164" t="s">
        <v>302</v>
      </c>
      <c r="C484" s="229" t="s">
        <v>303</v>
      </c>
      <c r="D484" s="164" t="s">
        <v>415</v>
      </c>
      <c r="E484" s="240">
        <v>-30.0</v>
      </c>
      <c r="F484" s="241">
        <v>48.75</v>
      </c>
      <c r="G484" s="235">
        <v>1462.5</v>
      </c>
      <c r="H484" s="230" t="s">
        <v>861</v>
      </c>
      <c r="I484" s="235">
        <f t="array" ref="I484">IFS(AND($B484&lt;&gt;"",$E484&lt;&gt;""),IF(INDEX(HistoricSummary!D:D,MATCH($C484,HistoricSummary!$A:$A,0),1)&lt;&gt;"",$E484*INDEX(HistoricSummary!D:D,MATCH($C484,HistoricSummary!$A:$A,0),1)+$G484,""),AND($B484&lt;&gt;"",$D484="COST",$G484&lt;0),$G484,TRUE,)</f>
        <v>-266.64</v>
      </c>
      <c r="J484" s="235">
        <f t="array" ref="J484">IFS(AND($B484&lt;&gt;"",$E484&lt;&gt;""),IF(INDEX(HistoricSummary!E:E,MATCH($C484,HistoricSummary!$A:$A,0),1)&lt;&gt;"",$E484*INDEX(HistoricSummary!E:E,MATCH($C484,HistoricSummary!$A:$A,0),1)+$G484,""),AND($B484&lt;&gt;"",$D484="COST",$G484&lt;0),$G484,TRUE,)</f>
        <v>-128.4653488</v>
      </c>
    </row>
    <row r="485">
      <c r="A485" s="184">
        <v>43560.0</v>
      </c>
      <c r="B485" s="19" t="s">
        <v>283</v>
      </c>
      <c r="C485" s="19" t="s">
        <v>286</v>
      </c>
      <c r="D485" s="19" t="s">
        <v>415</v>
      </c>
      <c r="E485" s="50">
        <v>-155.0</v>
      </c>
      <c r="F485" s="232">
        <v>7.44</v>
      </c>
      <c r="G485" s="233">
        <v>1153.2</v>
      </c>
      <c r="H485" s="230" t="s">
        <v>862</v>
      </c>
      <c r="I485" s="235">
        <f t="array" ref="I485">IFS(AND($B485&lt;&gt;"",$E485&lt;&gt;""),IF(INDEX(HistoricSummary!D:D,MATCH($C485,HistoricSummary!$A:$A,0),1)&lt;&gt;"",$E485*INDEX(HistoricSummary!D:D,MATCH($C485,HistoricSummary!$A:$A,0),1)+$G485,""),AND($B485&lt;&gt;"",$D485="COST",$G485&lt;0),$G485,TRUE,)</f>
        <v>146.785</v>
      </c>
      <c r="J485" s="235">
        <f t="array" ref="J485">IFS(AND($B485&lt;&gt;"",$E485&lt;&gt;""),IF(INDEX(HistoricSummary!E:E,MATCH($C485,HistoricSummary!$A:$A,0),1)&lt;&gt;"",$E485*INDEX(HistoricSummary!E:E,MATCH($C485,HistoricSummary!$A:$A,0),1)+$G485,""),AND($B485&lt;&gt;"",$D485="COST",$G485&lt;0),$G485,TRUE,)</f>
        <v>153.2301163</v>
      </c>
    </row>
    <row r="486">
      <c r="A486" s="184">
        <v>43557.0</v>
      </c>
      <c r="B486" s="19" t="s">
        <v>283</v>
      </c>
      <c r="C486" s="19" t="s">
        <v>286</v>
      </c>
      <c r="D486" s="19" t="s">
        <v>415</v>
      </c>
      <c r="E486" s="50">
        <v>-145.0</v>
      </c>
      <c r="F486" s="232">
        <v>7.432</v>
      </c>
      <c r="G486" s="233">
        <v>1077.64</v>
      </c>
      <c r="H486" s="230" t="s">
        <v>863</v>
      </c>
      <c r="I486" s="235">
        <f t="array" ref="I486">IFS(AND($B486&lt;&gt;"",$E486&lt;&gt;""),IF(INDEX(HistoricSummary!D:D,MATCH($C486,HistoricSummary!$A:$A,0),1)&lt;&gt;"",$E486*INDEX(HistoricSummary!D:D,MATCH($C486,HistoricSummary!$A:$A,0),1)+$G486,""),AND($B486&lt;&gt;"",$D486="COST",$G486&lt;0),$G486,TRUE,)</f>
        <v>136.155</v>
      </c>
      <c r="J486" s="235">
        <f t="array" ref="J486">IFS(AND($B486&lt;&gt;"",$E486&lt;&gt;""),IF(INDEX(HistoricSummary!E:E,MATCH($C486,HistoricSummary!$A:$A,0),1)&lt;&gt;"",$E486*INDEX(HistoricSummary!E:E,MATCH($C486,HistoricSummary!$A:$A,0),1)+$G486,""),AND($B486&lt;&gt;"",$D486="COST",$G486&lt;0),$G486,TRUE,)</f>
        <v>142.1843023</v>
      </c>
    </row>
    <row r="487">
      <c r="A487" s="184">
        <v>43557.0</v>
      </c>
      <c r="B487" s="19" t="s">
        <v>283</v>
      </c>
      <c r="C487" s="19" t="s">
        <v>286</v>
      </c>
      <c r="D487" s="19" t="s">
        <v>415</v>
      </c>
      <c r="E487" s="50">
        <v>-220.0</v>
      </c>
      <c r="F487" s="232">
        <v>7.42</v>
      </c>
      <c r="G487" s="233">
        <v>1632.4</v>
      </c>
      <c r="H487" s="230" t="s">
        <v>864</v>
      </c>
      <c r="I487" s="235">
        <f t="array" ref="I487">IFS(AND($B487&lt;&gt;"",$E487&lt;&gt;""),IF(INDEX(HistoricSummary!D:D,MATCH($C487,HistoricSummary!$A:$A,0),1)&lt;&gt;"",$E487*INDEX(HistoricSummary!D:D,MATCH($C487,HistoricSummary!$A:$A,0),1)+$G487,""),AND($B487&lt;&gt;"",$D487="COST",$G487&lt;0),$G487,TRUE,)</f>
        <v>203.94</v>
      </c>
      <c r="J487" s="235">
        <f t="array" ref="J487">IFS(AND($B487&lt;&gt;"",$E487&lt;&gt;""),IF(INDEX(HistoricSummary!E:E,MATCH($C487,HistoricSummary!$A:$A,0),1)&lt;&gt;"",$E487*INDEX(HistoricSummary!E:E,MATCH($C487,HistoricSummary!$A:$A,0),1)+$G487,""),AND($B487&lt;&gt;"",$D487="COST",$G487&lt;0),$G487,TRUE,)</f>
        <v>213.087907</v>
      </c>
    </row>
    <row r="488">
      <c r="A488" s="184">
        <v>43557.0</v>
      </c>
      <c r="B488" s="19" t="s">
        <v>283</v>
      </c>
      <c r="C488" s="19" t="s">
        <v>286</v>
      </c>
      <c r="D488" s="19" t="s">
        <v>415</v>
      </c>
      <c r="E488" s="50">
        <v>-200.0</v>
      </c>
      <c r="F488" s="232">
        <v>7.42</v>
      </c>
      <c r="G488" s="233">
        <v>1484.0</v>
      </c>
      <c r="H488" s="230" t="s">
        <v>865</v>
      </c>
      <c r="I488" s="235">
        <f t="array" ref="I488">IFS(AND($B488&lt;&gt;"",$E488&lt;&gt;""),IF(INDEX(HistoricSummary!D:D,MATCH($C488,HistoricSummary!$A:$A,0),1)&lt;&gt;"",$E488*INDEX(HistoricSummary!D:D,MATCH($C488,HistoricSummary!$A:$A,0),1)+$G488,""),AND($B488&lt;&gt;"",$D488="COST",$G488&lt;0),$G488,TRUE,)</f>
        <v>185.4</v>
      </c>
      <c r="J488" s="235">
        <f t="array" ref="J488">IFS(AND($B488&lt;&gt;"",$E488&lt;&gt;""),IF(INDEX(HistoricSummary!E:E,MATCH($C488,HistoricSummary!$A:$A,0),1)&lt;&gt;"",$E488*INDEX(HistoricSummary!E:E,MATCH($C488,HistoricSummary!$A:$A,0),1)+$G488,""),AND($B488&lt;&gt;"",$D488="COST",$G488&lt;0),$G488,TRUE,)</f>
        <v>193.7162791</v>
      </c>
    </row>
    <row r="489">
      <c r="A489" s="184">
        <v>43556.0</v>
      </c>
      <c r="B489" s="19"/>
      <c r="C489" s="19"/>
      <c r="D489" s="19" t="s">
        <v>454</v>
      </c>
      <c r="E489" s="50"/>
      <c r="F489" s="232"/>
      <c r="G489" s="233">
        <v>-500.0</v>
      </c>
      <c r="H489" s="230" t="s">
        <v>780</v>
      </c>
      <c r="I489" s="235" t="str">
        <f t="array" ref="I489">IFS(AND($B489&lt;&gt;"",$E489&lt;&gt;""),IF(INDEX(HistoricSummary!D:D,MATCH($C489,HistoricSummary!$A:$A,0),1)&lt;&gt;"",$E489*INDEX(HistoricSummary!D:D,MATCH($C489,HistoricSummary!$A:$A,0),1)+$G489,""),AND($B489&lt;&gt;"",$D489="COST",$G489&lt;0),$G489,TRUE,)</f>
        <v/>
      </c>
      <c r="J489" s="235" t="str">
        <f t="array" ref="J489">IFS(AND($B489&lt;&gt;"",$E489&lt;&gt;""),IF(INDEX(HistoricSummary!E:E,MATCH($C489,HistoricSummary!$A:$A,0),1)&lt;&gt;"",$E489*INDEX(HistoricSummary!E:E,MATCH($C489,HistoricSummary!$A:$A,0),1)+$G489,""),AND($B489&lt;&gt;"",$D489="COST",$G489&lt;0),$G489,TRUE,)</f>
        <v/>
      </c>
    </row>
    <row r="490">
      <c r="A490" s="184">
        <v>43555.0</v>
      </c>
      <c r="B490" s="229"/>
      <c r="C490" s="229"/>
      <c r="D490" s="229" t="s">
        <v>432</v>
      </c>
      <c r="E490" s="238"/>
      <c r="F490" s="239"/>
      <c r="G490" s="233">
        <v>-618.92</v>
      </c>
      <c r="H490" s="230" t="s">
        <v>866</v>
      </c>
      <c r="I490" s="235" t="str">
        <f t="array" ref="I490">IFS(AND($B490&lt;&gt;"",$E490&lt;&gt;""),IF(INDEX(HistoricSummary!D:D,MATCH($C490,HistoricSummary!$A:$A,0),1)&lt;&gt;"",$E490*INDEX(HistoricSummary!D:D,MATCH($C490,HistoricSummary!$A:$A,0),1)+$G490,""),AND($B490&lt;&gt;"",$D490="COST",$G490&lt;0),$G490,TRUE,)</f>
        <v/>
      </c>
      <c r="J490" s="235" t="str">
        <f t="array" ref="J490">IFS(AND($B490&lt;&gt;"",$E490&lt;&gt;""),IF(INDEX(HistoricSummary!E:E,MATCH($C490,HistoricSummary!$A:$A,0),1)&lt;&gt;"",$E490*INDEX(HistoricSummary!E:E,MATCH($C490,HistoricSummary!$A:$A,0),1)+$G490,""),AND($B490&lt;&gt;"",$D490="COST",$G490&lt;0),$G490,TRUE,)</f>
        <v/>
      </c>
    </row>
    <row r="491">
      <c r="A491" s="184">
        <v>43549.0</v>
      </c>
      <c r="B491" s="19" t="s">
        <v>298</v>
      </c>
      <c r="C491" s="19" t="s">
        <v>867</v>
      </c>
      <c r="D491" s="19" t="s">
        <v>432</v>
      </c>
      <c r="E491" s="50"/>
      <c r="F491" s="232"/>
      <c r="G491" s="233">
        <v>-51.46</v>
      </c>
      <c r="H491" s="230" t="s">
        <v>868</v>
      </c>
      <c r="I491" s="235">
        <f t="array" ref="I491">IFS(AND($B491&lt;&gt;"",$E491&lt;&gt;""),IF(INDEX(HistoricSummary!D:D,MATCH($C491,HistoricSummary!$A:$A,0),1)&lt;&gt;"",$E491*INDEX(HistoricSummary!D:D,MATCH($C491,HistoricSummary!$A:$A,0),1)+$G491,""),AND($B491&lt;&gt;"",$D491="COST",$G491&lt;0),$G491,TRUE,)</f>
        <v>-51.46</v>
      </c>
      <c r="J491" s="235">
        <f t="array" ref="J491">IFS(AND($B491&lt;&gt;"",$E491&lt;&gt;""),IF(INDEX(HistoricSummary!E:E,MATCH($C491,HistoricSummary!$A:$A,0),1)&lt;&gt;"",$E491*INDEX(HistoricSummary!E:E,MATCH($C491,HistoricSummary!$A:$A,0),1)+$G491,""),AND($B491&lt;&gt;"",$D491="COST",$G491&lt;0),$G491,TRUE,)</f>
        <v>-51.46</v>
      </c>
    </row>
    <row r="492">
      <c r="A492" s="184">
        <v>43549.0</v>
      </c>
      <c r="B492" s="19" t="s">
        <v>298</v>
      </c>
      <c r="C492" s="19" t="s">
        <v>867</v>
      </c>
      <c r="D492" s="19" t="s">
        <v>415</v>
      </c>
      <c r="E492" s="50">
        <v>-60000.0</v>
      </c>
      <c r="F492" s="232">
        <v>4.113</v>
      </c>
      <c r="G492" s="233">
        <v>246774.25</v>
      </c>
      <c r="H492" s="230" t="s">
        <v>869</v>
      </c>
      <c r="I492" s="235">
        <f t="array" ref="I492">IFS(AND($B492&lt;&gt;"",$E492&lt;&gt;""),IF(INDEX(HistoricSummary!D:D,MATCH($C492,HistoricSummary!$A:$A,0),1)&lt;&gt;"",$E492*INDEX(HistoricSummary!D:D,MATCH($C492,HistoricSummary!$A:$A,0),1)+$G492,""),AND($B492&lt;&gt;"",$D492="COST",$G492&lt;0),$G492,TRUE,)</f>
        <v>-49913.75</v>
      </c>
      <c r="J492" s="235">
        <f t="array" ref="J492">IFS(AND($B492&lt;&gt;"",$E492&lt;&gt;""),IF(INDEX(HistoricSummary!E:E,MATCH($C492,HistoricSummary!$A:$A,0),1)&lt;&gt;"",$E492*INDEX(HistoricSummary!E:E,MATCH($C492,HistoricSummary!$A:$A,0),1)+$G492,""),AND($B492&lt;&gt;"",$D492="COST",$G492&lt;0),$G492,TRUE,)</f>
        <v>-65252.49419</v>
      </c>
    </row>
    <row r="493">
      <c r="A493" s="184">
        <v>43549.0</v>
      </c>
      <c r="B493" s="19" t="s">
        <v>298</v>
      </c>
      <c r="C493" s="19" t="s">
        <v>867</v>
      </c>
      <c r="D493" s="19" t="s">
        <v>432</v>
      </c>
      <c r="E493" s="50"/>
      <c r="F493" s="232"/>
      <c r="G493" s="233">
        <v>-12.88</v>
      </c>
      <c r="H493" s="230" t="s">
        <v>870</v>
      </c>
      <c r="I493" s="235">
        <f t="array" ref="I493">IFS(AND($B493&lt;&gt;"",$E493&lt;&gt;""),IF(INDEX(HistoricSummary!D:D,MATCH($C493,HistoricSummary!$A:$A,0),1)&lt;&gt;"",$E493*INDEX(HistoricSummary!D:D,MATCH($C493,HistoricSummary!$A:$A,0),1)+$G493,""),AND($B493&lt;&gt;"",$D493="COST",$G493&lt;0),$G493,TRUE,)</f>
        <v>-12.88</v>
      </c>
      <c r="J493" s="235">
        <f t="array" ref="J493">IFS(AND($B493&lt;&gt;"",$E493&lt;&gt;""),IF(INDEX(HistoricSummary!E:E,MATCH($C493,HistoricSummary!$A:$A,0),1)&lt;&gt;"",$E493*INDEX(HistoricSummary!E:E,MATCH($C493,HistoricSummary!$A:$A,0),1)+$G493,""),AND($B493&lt;&gt;"",$D493="COST",$G493&lt;0),$G493,TRUE,)</f>
        <v>-12.88</v>
      </c>
    </row>
    <row r="494">
      <c r="A494" s="184">
        <v>43549.0</v>
      </c>
      <c r="B494" s="19" t="s">
        <v>298</v>
      </c>
      <c r="C494" s="19" t="s">
        <v>867</v>
      </c>
      <c r="D494" s="19" t="s">
        <v>415</v>
      </c>
      <c r="E494" s="50">
        <v>-13195.0</v>
      </c>
      <c r="F494" s="232">
        <v>4.113</v>
      </c>
      <c r="G494" s="233">
        <v>54273.96</v>
      </c>
      <c r="H494" s="230" t="s">
        <v>871</v>
      </c>
      <c r="I494" s="235">
        <f t="array" ref="I494">IFS(AND($B494&lt;&gt;"",$E494&lt;&gt;""),IF(INDEX(HistoricSummary!D:D,MATCH($C494,HistoricSummary!$A:$A,0),1)&lt;&gt;"",$E494*INDEX(HistoricSummary!D:D,MATCH($C494,HistoricSummary!$A:$A,0),1)+$G494,""),AND($B494&lt;&gt;"",$D494="COST",$G494&lt;0),$G494,TRUE,)</f>
        <v>-10972.676</v>
      </c>
      <c r="J494" s="235">
        <f t="array" ref="J494">IFS(AND($B494&lt;&gt;"",$E494&lt;&gt;""),IF(INDEX(HistoricSummary!E:E,MATCH($C494,HistoricSummary!$A:$A,0),1)&lt;&gt;"",$E494*INDEX(HistoricSummary!E:E,MATCH($C494,HistoricSummary!$A:$A,0),1)+$G494,""),AND($B494&lt;&gt;"",$D494="COST",$G494&lt;0),$G494,TRUE,)</f>
        <v>-14345.92149</v>
      </c>
    </row>
    <row r="495">
      <c r="A495" s="184">
        <v>43543.0</v>
      </c>
      <c r="B495" s="19" t="s">
        <v>302</v>
      </c>
      <c r="C495" s="19" t="s">
        <v>303</v>
      </c>
      <c r="D495" s="19" t="s">
        <v>415</v>
      </c>
      <c r="E495" s="50">
        <v>-22.0</v>
      </c>
      <c r="F495" s="232">
        <v>47.68</v>
      </c>
      <c r="G495" s="233">
        <v>1048.96</v>
      </c>
      <c r="H495" s="230" t="s">
        <v>872</v>
      </c>
      <c r="I495" s="235">
        <f t="array" ref="I495">IFS(AND($B495&lt;&gt;"",$E495&lt;&gt;""),IF(INDEX(HistoricSummary!D:D,MATCH($C495,HistoricSummary!$A:$A,0),1)&lt;&gt;"",$E495*INDEX(HistoricSummary!D:D,MATCH($C495,HistoricSummary!$A:$A,0),1)+$G495,""),AND($B495&lt;&gt;"",$D495="COST",$G495&lt;0),$G495,TRUE,)</f>
        <v>-219.076</v>
      </c>
      <c r="J495" s="235">
        <f t="array" ref="J495">IFS(AND($B495&lt;&gt;"",$E495&lt;&gt;""),IF(INDEX(HistoricSummary!E:E,MATCH($C495,HistoricSummary!$A:$A,0),1)&lt;&gt;"",$E495*INDEX(HistoricSummary!E:E,MATCH($C495,HistoricSummary!$A:$A,0),1)+$G495,""),AND($B495&lt;&gt;"",$D495="COST",$G495&lt;0),$G495,TRUE,)</f>
        <v>-117.7479225</v>
      </c>
    </row>
    <row r="496">
      <c r="A496" s="184">
        <v>43532.0</v>
      </c>
      <c r="B496" s="19" t="s">
        <v>298</v>
      </c>
      <c r="C496" s="19" t="s">
        <v>867</v>
      </c>
      <c r="D496" s="19" t="s">
        <v>432</v>
      </c>
      <c r="E496" s="50"/>
      <c r="F496" s="232"/>
      <c r="G496" s="233">
        <v>-2.73</v>
      </c>
      <c r="H496" s="230" t="s">
        <v>873</v>
      </c>
      <c r="I496" s="235">
        <f t="array" ref="I496">IFS(AND($B496&lt;&gt;"",$E496&lt;&gt;""),IF(INDEX(HistoricSummary!D:D,MATCH($C496,HistoricSummary!$A:$A,0),1)&lt;&gt;"",$E496*INDEX(HistoricSummary!D:D,MATCH($C496,HistoricSummary!$A:$A,0),1)+$G496,""),AND($B496&lt;&gt;"",$D496="COST",$G496&lt;0),$G496,TRUE,)</f>
        <v>-2.73</v>
      </c>
      <c r="J496" s="235">
        <f t="array" ref="J496">IFS(AND($B496&lt;&gt;"",$E496&lt;&gt;""),IF(INDEX(HistoricSummary!E:E,MATCH($C496,HistoricSummary!$A:$A,0),1)&lt;&gt;"",$E496*INDEX(HistoricSummary!E:E,MATCH($C496,HistoricSummary!$A:$A,0),1)+$G496,""),AND($B496&lt;&gt;"",$D496="COST",$G496&lt;0),$G496,TRUE,)</f>
        <v>-2.73</v>
      </c>
    </row>
    <row r="497">
      <c r="A497" s="184">
        <v>43532.0</v>
      </c>
      <c r="B497" s="19" t="s">
        <v>298</v>
      </c>
      <c r="C497" s="19" t="s">
        <v>867</v>
      </c>
      <c r="D497" s="19" t="s">
        <v>415</v>
      </c>
      <c r="E497" s="50">
        <v>-900.0</v>
      </c>
      <c r="F497" s="232">
        <v>4.054</v>
      </c>
      <c r="G497" s="233">
        <v>3649.01</v>
      </c>
      <c r="H497" s="230" t="s">
        <v>874</v>
      </c>
      <c r="I497" s="235">
        <f t="array" ref="I497">IFS(AND($B497&lt;&gt;"",$E497&lt;&gt;""),IF(INDEX(HistoricSummary!D:D,MATCH($C497,HistoricSummary!$A:$A,0),1)&lt;&gt;"",$E497*INDEX(HistoricSummary!D:D,MATCH($C497,HistoricSummary!$A:$A,0),1)+$G497,""),AND($B497&lt;&gt;"",$D497="COST",$G497&lt;0),$G497,TRUE,)</f>
        <v>-801.31</v>
      </c>
      <c r="J497" s="235">
        <f t="array" ref="J497">IFS(AND($B497&lt;&gt;"",$E497&lt;&gt;""),IF(INDEX(HistoricSummary!E:E,MATCH($C497,HistoricSummary!$A:$A,0),1)&lt;&gt;"",$E497*INDEX(HistoricSummary!E:E,MATCH($C497,HistoricSummary!$A:$A,0),1)+$G497,""),AND($B497&lt;&gt;"",$D497="COST",$G497&lt;0),$G497,TRUE,)</f>
        <v>-1031.391163</v>
      </c>
    </row>
    <row r="498">
      <c r="A498" s="184">
        <v>43532.0</v>
      </c>
      <c r="B498" s="19" t="s">
        <v>283</v>
      </c>
      <c r="C498" s="19" t="s">
        <v>286</v>
      </c>
      <c r="D498" s="19" t="s">
        <v>414</v>
      </c>
      <c r="E498" s="50">
        <v>185.0</v>
      </c>
      <c r="F498" s="232">
        <v>7.298</v>
      </c>
      <c r="G498" s="233">
        <v>-1350.13</v>
      </c>
      <c r="H498" s="230" t="s">
        <v>875</v>
      </c>
      <c r="I498" s="235">
        <f t="array" ref="I498">IFS(AND($B498&lt;&gt;"",$E498&lt;&gt;""),IF(INDEX(HistoricSummary!D:D,MATCH($C498,HistoricSummary!$A:$A,0),1)&lt;&gt;"",$E498*INDEX(HistoricSummary!D:D,MATCH($C498,HistoricSummary!$A:$A,0),1)+$G498,""),AND($B498&lt;&gt;"",$D498="COST",$G498&lt;0),$G498,TRUE,)</f>
        <v>-148.925</v>
      </c>
      <c r="J498" s="235">
        <f t="array" ref="J498">IFS(AND($B498&lt;&gt;"",$E498&lt;&gt;""),IF(INDEX(HistoricSummary!E:E,MATCH($C498,HistoricSummary!$A:$A,0),1)&lt;&gt;"",$E498*INDEX(HistoricSummary!E:E,MATCH($C498,HistoricSummary!$A:$A,0),1)+$G498,""),AND($B498&lt;&gt;"",$D498="COST",$G498&lt;0),$G498,TRUE,)</f>
        <v>-156.6175581</v>
      </c>
    </row>
    <row r="499">
      <c r="A499" s="184">
        <v>43532.0</v>
      </c>
      <c r="B499" s="19" t="s">
        <v>292</v>
      </c>
      <c r="C499" s="19" t="s">
        <v>293</v>
      </c>
      <c r="D499" s="19" t="s">
        <v>415</v>
      </c>
      <c r="E499" s="50">
        <v>-8.0</v>
      </c>
      <c r="F499" s="232">
        <v>172.6</v>
      </c>
      <c r="G499" s="233">
        <v>1380.8</v>
      </c>
      <c r="H499" s="230" t="s">
        <v>876</v>
      </c>
      <c r="I499" s="235">
        <f t="array" ref="I499">IFS(AND($B499&lt;&gt;"",$E499&lt;&gt;""),IF(INDEX(HistoricSummary!D:D,MATCH($C499,HistoricSummary!$A:$A,0),1)&lt;&gt;"",$E499*INDEX(HistoricSummary!D:D,MATCH($C499,HistoricSummary!$A:$A,0),1)+$G499,""),AND($B499&lt;&gt;"",$D499="COST",$G499&lt;0),$G499,TRUE,)</f>
        <v>-110.88</v>
      </c>
      <c r="J499" s="235">
        <f t="array" ref="J499">IFS(AND($B499&lt;&gt;"",$E499&lt;&gt;""),IF(INDEX(HistoricSummary!E:E,MATCH($C499,HistoricSummary!$A:$A,0),1)&lt;&gt;"",$E499*INDEX(HistoricSummary!E:E,MATCH($C499,HistoricSummary!$A:$A,0),1)+$G499,""),AND($B499&lt;&gt;"",$D499="COST",$G499&lt;0),$G499,TRUE,)</f>
        <v>-162.3175194</v>
      </c>
    </row>
    <row r="500">
      <c r="A500" s="184">
        <v>43531.0</v>
      </c>
      <c r="B500" s="19" t="s">
        <v>298</v>
      </c>
      <c r="C500" s="19" t="s">
        <v>867</v>
      </c>
      <c r="D500" s="19" t="s">
        <v>415</v>
      </c>
      <c r="E500" s="50">
        <v>-10.0</v>
      </c>
      <c r="F500" s="232">
        <v>4.041</v>
      </c>
      <c r="G500" s="233">
        <v>40.41</v>
      </c>
      <c r="H500" s="230" t="s">
        <v>877</v>
      </c>
      <c r="I500" s="235">
        <f t="array" ref="I500">IFS(AND($B500&lt;&gt;"",$E500&lt;&gt;""),IF(INDEX(HistoricSummary!D:D,MATCH($C500,HistoricSummary!$A:$A,0),1)&lt;&gt;"",$E500*INDEX(HistoricSummary!D:D,MATCH($C500,HistoricSummary!$A:$A,0),1)+$G500,""),AND($B500&lt;&gt;"",$D500="COST",$G500&lt;0),$G500,TRUE,)</f>
        <v>-9.038</v>
      </c>
      <c r="J500" s="235">
        <f t="array" ref="J500">IFS(AND($B500&lt;&gt;"",$E500&lt;&gt;""),IF(INDEX(HistoricSummary!E:E,MATCH($C500,HistoricSummary!$A:$A,0),1)&lt;&gt;"",$E500*INDEX(HistoricSummary!E:E,MATCH($C500,HistoricSummary!$A:$A,0),1)+$G500,""),AND($B500&lt;&gt;"",$D500="COST",$G500&lt;0),$G500,TRUE,)</f>
        <v>-11.59445736</v>
      </c>
    </row>
    <row r="501">
      <c r="A501" s="184">
        <v>43531.0</v>
      </c>
      <c r="B501" s="19" t="s">
        <v>298</v>
      </c>
      <c r="C501" s="19" t="s">
        <v>867</v>
      </c>
      <c r="D501" s="19" t="s">
        <v>432</v>
      </c>
      <c r="E501" s="50"/>
      <c r="F501" s="232"/>
      <c r="G501" s="233">
        <v>-2.01</v>
      </c>
      <c r="H501" s="230" t="s">
        <v>878</v>
      </c>
      <c r="I501" s="235">
        <f t="array" ref="I501">IFS(AND($B501&lt;&gt;"",$E501&lt;&gt;""),IF(INDEX(HistoricSummary!D:D,MATCH($C501,HistoricSummary!$A:$A,0),1)&lt;&gt;"",$E501*INDEX(HistoricSummary!D:D,MATCH($C501,HistoricSummary!$A:$A,0),1)+$G501,""),AND($B501&lt;&gt;"",$D501="COST",$G501&lt;0),$G501,TRUE,)</f>
        <v>-2.01</v>
      </c>
      <c r="J501" s="235">
        <f t="array" ref="J501">IFS(AND($B501&lt;&gt;"",$E501&lt;&gt;""),IF(INDEX(HistoricSummary!E:E,MATCH($C501,HistoricSummary!$A:$A,0),1)&lt;&gt;"",$E501*INDEX(HistoricSummary!E:E,MATCH($C501,HistoricSummary!$A:$A,0),1)+$G501,""),AND($B501&lt;&gt;"",$D501="COST",$G501&lt;0),$G501,TRUE,)</f>
        <v>-2.01</v>
      </c>
    </row>
    <row r="502">
      <c r="A502" s="184">
        <v>43530.0</v>
      </c>
      <c r="B502" s="19" t="s">
        <v>292</v>
      </c>
      <c r="C502" s="19" t="s">
        <v>293</v>
      </c>
      <c r="D502" s="19" t="s">
        <v>415</v>
      </c>
      <c r="E502" s="50">
        <v>-6.0</v>
      </c>
      <c r="F502" s="232">
        <v>169.9</v>
      </c>
      <c r="G502" s="233">
        <v>1019.4</v>
      </c>
      <c r="H502" s="230" t="s">
        <v>879</v>
      </c>
      <c r="I502" s="235">
        <f t="array" ref="I502">IFS(AND($B502&lt;&gt;"",$E502&lt;&gt;""),IF(INDEX(HistoricSummary!D:D,MATCH($C502,HistoricSummary!$A:$A,0),1)&lt;&gt;"",$E502*INDEX(HistoricSummary!D:D,MATCH($C502,HistoricSummary!$A:$A,0),1)+$G502,""),AND($B502&lt;&gt;"",$D502="COST",$G502&lt;0),$G502,TRUE,)</f>
        <v>-99.36</v>
      </c>
      <c r="J502" s="235">
        <f t="array" ref="J502">IFS(AND($B502&lt;&gt;"",$E502&lt;&gt;""),IF(INDEX(HistoricSummary!E:E,MATCH($C502,HistoricSummary!$A:$A,0),1)&lt;&gt;"",$E502*INDEX(HistoricSummary!E:E,MATCH($C502,HistoricSummary!$A:$A,0),1)+$G502,""),AND($B502&lt;&gt;"",$D502="COST",$G502&lt;0),$G502,TRUE,)</f>
        <v>-137.9381395</v>
      </c>
    </row>
    <row r="503">
      <c r="A503" s="184">
        <v>43529.0</v>
      </c>
      <c r="B503" s="19"/>
      <c r="C503" s="19"/>
      <c r="D503" s="19" t="s">
        <v>454</v>
      </c>
      <c r="E503" s="50"/>
      <c r="F503" s="232"/>
      <c r="G503" s="233">
        <v>-700.0</v>
      </c>
      <c r="H503" s="230" t="s">
        <v>880</v>
      </c>
      <c r="I503" s="235" t="str">
        <f t="array" ref="I503">IFS(AND($B503&lt;&gt;"",$E503&lt;&gt;""),IF(INDEX(HistoricSummary!D:D,MATCH($C503,HistoricSummary!$A:$A,0),1)&lt;&gt;"",$E503*INDEX(HistoricSummary!D:D,MATCH($C503,HistoricSummary!$A:$A,0),1)+$G503,""),AND($B503&lt;&gt;"",$D503="COST",$G503&lt;0),$G503,TRUE,)</f>
        <v/>
      </c>
      <c r="J503" s="235" t="str">
        <f t="array" ref="J503">IFS(AND($B503&lt;&gt;"",$E503&lt;&gt;""),IF(INDEX(HistoricSummary!E:E,MATCH($C503,HistoricSummary!$A:$A,0),1)&lt;&gt;"",$E503*INDEX(HistoricSummary!E:E,MATCH($C503,HistoricSummary!$A:$A,0),1)+$G503,""),AND($B503&lt;&gt;"",$D503="COST",$G503&lt;0),$G503,TRUE,)</f>
        <v/>
      </c>
    </row>
    <row r="504">
      <c r="A504" s="184">
        <v>43528.0</v>
      </c>
      <c r="B504" s="19" t="s">
        <v>302</v>
      </c>
      <c r="C504" s="19" t="s">
        <v>303</v>
      </c>
      <c r="D504" s="19" t="s">
        <v>415</v>
      </c>
      <c r="E504" s="50">
        <v>-75.0</v>
      </c>
      <c r="F504" s="232">
        <v>47.18</v>
      </c>
      <c r="G504" s="233">
        <v>3538.5</v>
      </c>
      <c r="H504" s="230" t="s">
        <v>881</v>
      </c>
      <c r="I504" s="235">
        <f t="array" ref="I504">IFS(AND($B504&lt;&gt;"",$E504&lt;&gt;""),IF(INDEX(HistoricSummary!D:D,MATCH($C504,HistoricSummary!$A:$A,0),1)&lt;&gt;"",$E504*INDEX(HistoricSummary!D:D,MATCH($C504,HistoricSummary!$A:$A,0),1)+$G504,""),AND($B504&lt;&gt;"",$D504="COST",$G504&lt;0),$G504,TRUE,)</f>
        <v>-784.35</v>
      </c>
      <c r="J504" s="235">
        <f t="array" ref="J504">IFS(AND($B504&lt;&gt;"",$E504&lt;&gt;""),IF(INDEX(HistoricSummary!E:E,MATCH($C504,HistoricSummary!$A:$A,0),1)&lt;&gt;"",$E504*INDEX(HistoricSummary!E:E,MATCH($C504,HistoricSummary!$A:$A,0),1)+$G504,""),AND($B504&lt;&gt;"",$D504="COST",$G504&lt;0),$G504,TRUE,)</f>
        <v>-438.9133721</v>
      </c>
    </row>
    <row r="505">
      <c r="A505" s="184">
        <v>43524.0</v>
      </c>
      <c r="B505" s="229"/>
      <c r="C505" s="229"/>
      <c r="D505" s="229" t="s">
        <v>432</v>
      </c>
      <c r="E505" s="238"/>
      <c r="F505" s="239"/>
      <c r="G505" s="233">
        <v>-534.72</v>
      </c>
      <c r="H505" s="230" t="s">
        <v>882</v>
      </c>
      <c r="I505" s="235" t="str">
        <f t="array" ref="I505">IFS(AND($B505&lt;&gt;"",$E505&lt;&gt;""),IF(INDEX(HistoricSummary!D:D,MATCH($C505,HistoricSummary!$A:$A,0),1)&lt;&gt;"",$E505*INDEX(HistoricSummary!D:D,MATCH($C505,HistoricSummary!$A:$A,0),1)+$G505,""),AND($B505&lt;&gt;"",$D505="COST",$G505&lt;0),$G505,TRUE,)</f>
        <v/>
      </c>
      <c r="J505" s="235" t="str">
        <f t="array" ref="J505">IFS(AND($B505&lt;&gt;"",$E505&lt;&gt;""),IF(INDEX(HistoricSummary!E:E,MATCH($C505,HistoricSummary!$A:$A,0),1)&lt;&gt;"",$E505*INDEX(HistoricSummary!E:E,MATCH($C505,HistoricSummary!$A:$A,0),1)+$G505,""),AND($B505&lt;&gt;"",$D505="COST",$G505&lt;0),$G505,TRUE,)</f>
        <v/>
      </c>
    </row>
    <row r="506">
      <c r="A506" s="184">
        <v>43521.0</v>
      </c>
      <c r="B506" s="19" t="s">
        <v>302</v>
      </c>
      <c r="C506" s="19" t="s">
        <v>303</v>
      </c>
      <c r="D506" s="19" t="s">
        <v>415</v>
      </c>
      <c r="E506" s="50">
        <v>-29.0</v>
      </c>
      <c r="F506" s="232">
        <v>47.0248</v>
      </c>
      <c r="G506" s="233">
        <v>1363.72</v>
      </c>
      <c r="H506" s="230" t="s">
        <v>883</v>
      </c>
      <c r="I506" s="235">
        <f t="array" ref="I506">IFS(AND($B506&lt;&gt;"",$E506&lt;&gt;""),IF(INDEX(HistoricSummary!D:D,MATCH($C506,HistoricSummary!$A:$A,0),1)&lt;&gt;"",$E506*INDEX(HistoricSummary!D:D,MATCH($C506,HistoricSummary!$A:$A,0),1)+$G506,""),AND($B506&lt;&gt;"",$D506="COST",$G506&lt;0),$G506,TRUE,)</f>
        <v>-307.782</v>
      </c>
      <c r="J506" s="235">
        <f t="array" ref="J506">IFS(AND($B506&lt;&gt;"",$E506&lt;&gt;""),IF(INDEX(HistoricSummary!E:E,MATCH($C506,HistoricSummary!$A:$A,0),1)&lt;&gt;"",$E506*INDEX(HistoricSummary!E:E,MATCH($C506,HistoricSummary!$A:$A,0),1)+$G506,""),AND($B506&lt;&gt;"",$D506="COST",$G506&lt;0),$G506,TRUE,)</f>
        <v>-174.2131705</v>
      </c>
    </row>
    <row r="507">
      <c r="A507" s="184">
        <v>43521.0</v>
      </c>
      <c r="B507" s="19" t="s">
        <v>302</v>
      </c>
      <c r="C507" s="19" t="s">
        <v>303</v>
      </c>
      <c r="D507" s="19" t="s">
        <v>415</v>
      </c>
      <c r="E507" s="50">
        <v>-1.0</v>
      </c>
      <c r="F507" s="232">
        <v>47.04</v>
      </c>
      <c r="G507" s="233">
        <v>47.04</v>
      </c>
      <c r="H507" s="230" t="s">
        <v>884</v>
      </c>
      <c r="I507" s="235">
        <f t="array" ref="I507">IFS(AND($B507&lt;&gt;"",$E507&lt;&gt;""),IF(INDEX(HistoricSummary!D:D,MATCH($C507,HistoricSummary!$A:$A,0),1)&lt;&gt;"",$E507*INDEX(HistoricSummary!D:D,MATCH($C507,HistoricSummary!$A:$A,0),1)+$G507,""),AND($B507&lt;&gt;"",$D507="COST",$G507&lt;0),$G507,TRUE,)</f>
        <v>-10.598</v>
      </c>
      <c r="J507" s="235">
        <f t="array" ref="J507">IFS(AND($B507&lt;&gt;"",$E507&lt;&gt;""),IF(INDEX(HistoricSummary!E:E,MATCH($C507,HistoricSummary!$A:$A,0),1)&lt;&gt;"",$E507*INDEX(HistoricSummary!E:E,MATCH($C507,HistoricSummary!$A:$A,0),1)+$G507,""),AND($B507&lt;&gt;"",$D507="COST",$G507&lt;0),$G507,TRUE,)</f>
        <v>-5.992178295</v>
      </c>
    </row>
    <row r="508">
      <c r="A508" s="184">
        <v>43509.0</v>
      </c>
      <c r="B508" s="19" t="s">
        <v>302</v>
      </c>
      <c r="C508" s="19" t="s">
        <v>303</v>
      </c>
      <c r="D508" s="19" t="s">
        <v>415</v>
      </c>
      <c r="E508" s="50">
        <v>-45.0</v>
      </c>
      <c r="F508" s="232">
        <v>46.45</v>
      </c>
      <c r="G508" s="233">
        <v>2090.25</v>
      </c>
      <c r="H508" s="230" t="s">
        <v>885</v>
      </c>
      <c r="I508" s="235">
        <f t="array" ref="I508">IFS(AND($B508&lt;&gt;"",$E508&lt;&gt;""),IF(INDEX(HistoricSummary!D:D,MATCH($C508,HistoricSummary!$A:$A,0),1)&lt;&gt;"",$E508*INDEX(HistoricSummary!D:D,MATCH($C508,HistoricSummary!$A:$A,0),1)+$G508,""),AND($B508&lt;&gt;"",$D508="COST",$G508&lt;0),$G508,TRUE,)</f>
        <v>-503.46</v>
      </c>
      <c r="J508" s="235">
        <f t="array" ref="J508">IFS(AND($B508&lt;&gt;"",$E508&lt;&gt;""),IF(INDEX(HistoricSummary!E:E,MATCH($C508,HistoricSummary!$A:$A,0),1)&lt;&gt;"",$E508*INDEX(HistoricSummary!E:E,MATCH($C508,HistoricSummary!$A:$A,0),1)+$G508,""),AND($B508&lt;&gt;"",$D508="COST",$G508&lt;0),$G508,TRUE,)</f>
        <v>-296.1980233</v>
      </c>
    </row>
    <row r="509">
      <c r="A509" s="184">
        <v>43509.0</v>
      </c>
      <c r="B509" s="19" t="s">
        <v>302</v>
      </c>
      <c r="C509" s="19" t="s">
        <v>303</v>
      </c>
      <c r="D509" s="19" t="s">
        <v>415</v>
      </c>
      <c r="E509" s="50">
        <v>-38.0</v>
      </c>
      <c r="F509" s="232">
        <v>46.135</v>
      </c>
      <c r="G509" s="233">
        <v>1753.13</v>
      </c>
      <c r="H509" s="230" t="s">
        <v>886</v>
      </c>
      <c r="I509" s="235">
        <f t="array" ref="I509">IFS(AND($B509&lt;&gt;"",$E509&lt;&gt;""),IF(INDEX(HistoricSummary!D:D,MATCH($C509,HistoricSummary!$A:$A,0),1)&lt;&gt;"",$E509*INDEX(HistoricSummary!D:D,MATCH($C509,HistoricSummary!$A:$A,0),1)+$G509,""),AND($B509&lt;&gt;"",$D509="COST",$G509&lt;0),$G509,TRUE,)</f>
        <v>-437.114</v>
      </c>
      <c r="J509" s="235">
        <f t="array" ref="J509">IFS(AND($B509&lt;&gt;"",$E509&lt;&gt;""),IF(INDEX(HistoricSummary!E:E,MATCH($C509,HistoricSummary!$A:$A,0),1)&lt;&gt;"",$E509*INDEX(HistoricSummary!E:E,MATCH($C509,HistoricSummary!$A:$A,0),1)+$G509,""),AND($B509&lt;&gt;"",$D509="COST",$G509&lt;0),$G509,TRUE,)</f>
        <v>-262.0927752</v>
      </c>
    </row>
    <row r="510">
      <c r="A510" s="184">
        <v>43508.0</v>
      </c>
      <c r="B510" s="19" t="s">
        <v>302</v>
      </c>
      <c r="C510" s="19" t="s">
        <v>303</v>
      </c>
      <c r="D510" s="19" t="s">
        <v>415</v>
      </c>
      <c r="E510" s="50">
        <v>-14.0</v>
      </c>
      <c r="F510" s="232">
        <v>45.916</v>
      </c>
      <c r="G510" s="233">
        <v>642.83</v>
      </c>
      <c r="H510" s="230" t="s">
        <v>887</v>
      </c>
      <c r="I510" s="235">
        <f t="array" ref="I510">IFS(AND($B510&lt;&gt;"",$E510&lt;&gt;""),IF(INDEX(HistoricSummary!D:D,MATCH($C510,HistoricSummary!$A:$A,0),1)&lt;&gt;"",$E510*INDEX(HistoricSummary!D:D,MATCH($C510,HistoricSummary!$A:$A,0),1)+$G510,""),AND($B510&lt;&gt;"",$D510="COST",$G510&lt;0),$G510,TRUE,)</f>
        <v>-164.102</v>
      </c>
      <c r="J510" s="235">
        <f t="array" ref="J510">IFS(AND($B510&lt;&gt;"",$E510&lt;&gt;""),IF(INDEX(HistoricSummary!E:E,MATCH($C510,HistoricSummary!$A:$A,0),1)&lt;&gt;"",$E510*INDEX(HistoricSummary!E:E,MATCH($C510,HistoricSummary!$A:$A,0),1)+$G510,""),AND($B510&lt;&gt;"",$D510="COST",$G510&lt;0),$G510,TRUE,)</f>
        <v>-99.62049612</v>
      </c>
    </row>
    <row r="511">
      <c r="A511" s="184">
        <v>43508.0</v>
      </c>
      <c r="B511" s="19" t="s">
        <v>283</v>
      </c>
      <c r="C511" s="19" t="s">
        <v>286</v>
      </c>
      <c r="D511" s="19" t="s">
        <v>414</v>
      </c>
      <c r="E511" s="50">
        <v>170.0</v>
      </c>
      <c r="F511" s="232">
        <v>7.213</v>
      </c>
      <c r="G511" s="233">
        <v>-1226.21</v>
      </c>
      <c r="H511" s="230" t="s">
        <v>888</v>
      </c>
      <c r="I511" s="235">
        <f t="array" ref="I511">IFS(AND($B511&lt;&gt;"",$E511&lt;&gt;""),IF(INDEX(HistoricSummary!D:D,MATCH($C511,HistoricSummary!$A:$A,0),1)&lt;&gt;"",$E511*INDEX(HistoricSummary!D:D,MATCH($C511,HistoricSummary!$A:$A,0),1)+$G511,""),AND($B511&lt;&gt;"",$D511="COST",$G511&lt;0),$G511,TRUE,)</f>
        <v>-122.4</v>
      </c>
      <c r="J511" s="235">
        <f t="array" ref="J511">IFS(AND($B511&lt;&gt;"",$E511&lt;&gt;""),IF(INDEX(HistoricSummary!E:E,MATCH($C511,HistoricSummary!$A:$A,0),1)&lt;&gt;"",$E511*INDEX(HistoricSummary!E:E,MATCH($C511,HistoricSummary!$A:$A,0),1)+$G511,""),AND($B511&lt;&gt;"",$D511="COST",$G511&lt;0),$G511,TRUE,)</f>
        <v>-129.4688372</v>
      </c>
    </row>
    <row r="512">
      <c r="A512" s="184">
        <v>43508.0</v>
      </c>
      <c r="B512" s="19" t="s">
        <v>283</v>
      </c>
      <c r="C512" s="19" t="s">
        <v>286</v>
      </c>
      <c r="D512" s="19" t="s">
        <v>414</v>
      </c>
      <c r="E512" s="50">
        <v>30.0</v>
      </c>
      <c r="F512" s="232">
        <v>7.2139</v>
      </c>
      <c r="G512" s="233">
        <v>-216.42</v>
      </c>
      <c r="H512" s="230" t="s">
        <v>889</v>
      </c>
      <c r="I512" s="235">
        <f t="array" ref="I512">IFS(AND($B512&lt;&gt;"",$E512&lt;&gt;""),IF(INDEX(HistoricSummary!D:D,MATCH($C512,HistoricSummary!$A:$A,0),1)&lt;&gt;"",$E512*INDEX(HistoricSummary!D:D,MATCH($C512,HistoricSummary!$A:$A,0),1)+$G512,""),AND($B512&lt;&gt;"",$D512="COST",$G512&lt;0),$G512,TRUE,)</f>
        <v>-21.63</v>
      </c>
      <c r="J512" s="235">
        <f t="array" ref="J512">IFS(AND($B512&lt;&gt;"",$E512&lt;&gt;""),IF(INDEX(HistoricSummary!E:E,MATCH($C512,HistoricSummary!$A:$A,0),1)&lt;&gt;"",$E512*INDEX(HistoricSummary!E:E,MATCH($C512,HistoricSummary!$A:$A,0),1)+$G512,""),AND($B512&lt;&gt;"",$D512="COST",$G512&lt;0),$G512,TRUE,)</f>
        <v>-22.87744186</v>
      </c>
    </row>
    <row r="513">
      <c r="A513" s="184">
        <v>43508.0</v>
      </c>
      <c r="B513" s="19" t="s">
        <v>302</v>
      </c>
      <c r="C513" s="19" t="s">
        <v>303</v>
      </c>
      <c r="D513" s="19" t="s">
        <v>415</v>
      </c>
      <c r="E513" s="50">
        <v>-54.0</v>
      </c>
      <c r="F513" s="232">
        <v>45.9159</v>
      </c>
      <c r="G513" s="233">
        <v>2479.46</v>
      </c>
      <c r="H513" s="230" t="s">
        <v>890</v>
      </c>
      <c r="I513" s="235">
        <f t="array" ref="I513">IFS(AND($B513&lt;&gt;"",$E513&lt;&gt;""),IF(INDEX(HistoricSummary!D:D,MATCH($C513,HistoricSummary!$A:$A,0),1)&lt;&gt;"",$E513*INDEX(HistoricSummary!D:D,MATCH($C513,HistoricSummary!$A:$A,0),1)+$G513,""),AND($B513&lt;&gt;"",$D513="COST",$G513&lt;0),$G513,TRUE,)</f>
        <v>-632.992</v>
      </c>
      <c r="J513" s="235">
        <f t="array" ref="J513">IFS(AND($B513&lt;&gt;"",$E513&lt;&gt;""),IF(INDEX(HistoricSummary!E:E,MATCH($C513,HistoricSummary!$A:$A,0),1)&lt;&gt;"",$E513*INDEX(HistoricSummary!E:E,MATCH($C513,HistoricSummary!$A:$A,0),1)+$G513,""),AND($B513&lt;&gt;"",$D513="COST",$G513&lt;0),$G513,TRUE,)</f>
        <v>-384.2776279</v>
      </c>
    </row>
    <row r="514">
      <c r="A514" s="184">
        <v>43504.0</v>
      </c>
      <c r="B514" s="19" t="s">
        <v>298</v>
      </c>
      <c r="C514" s="19" t="s">
        <v>867</v>
      </c>
      <c r="D514" s="19" t="s">
        <v>415</v>
      </c>
      <c r="E514" s="50">
        <v>-270.0</v>
      </c>
      <c r="F514" s="232">
        <v>4.038</v>
      </c>
      <c r="G514" s="233">
        <v>1090.17</v>
      </c>
      <c r="H514" s="230" t="s">
        <v>891</v>
      </c>
      <c r="I514" s="235">
        <f t="array" ref="I514">IFS(AND($B514&lt;&gt;"",$E514&lt;&gt;""),IF(INDEX(HistoricSummary!D:D,MATCH($C514,HistoricSummary!$A:$A,0),1)&lt;&gt;"",$E514*INDEX(HistoricSummary!D:D,MATCH($C514,HistoricSummary!$A:$A,0),1)+$G514,""),AND($B514&lt;&gt;"",$D514="COST",$G514&lt;0),$G514,TRUE,)</f>
        <v>-244.926</v>
      </c>
      <c r="J514" s="235">
        <f t="array" ref="J514">IFS(AND($B514&lt;&gt;"",$E514&lt;&gt;""),IF(INDEX(HistoricSummary!E:E,MATCH($C514,HistoricSummary!$A:$A,0),1)&lt;&gt;"",$E514*INDEX(HistoricSummary!E:E,MATCH($C514,HistoricSummary!$A:$A,0),1)+$G514,""),AND($B514&lt;&gt;"",$D514="COST",$G514&lt;0),$G514,TRUE,)</f>
        <v>-313.9503488</v>
      </c>
    </row>
    <row r="515">
      <c r="A515" s="184">
        <v>43504.0</v>
      </c>
      <c r="B515" s="19" t="s">
        <v>298</v>
      </c>
      <c r="C515" s="19" t="s">
        <v>867</v>
      </c>
      <c r="D515" s="19" t="s">
        <v>432</v>
      </c>
      <c r="E515" s="50"/>
      <c r="F515" s="232"/>
      <c r="G515" s="233">
        <v>-2.22</v>
      </c>
      <c r="H515" s="230" t="s">
        <v>519</v>
      </c>
      <c r="I515" s="235">
        <f t="array" ref="I515">IFS(AND($B515&lt;&gt;"",$E515&lt;&gt;""),IF(INDEX(HistoricSummary!D:D,MATCH($C515,HistoricSummary!$A:$A,0),1)&lt;&gt;"",$E515*INDEX(HistoricSummary!D:D,MATCH($C515,HistoricSummary!$A:$A,0),1)+$G515,""),AND($B515&lt;&gt;"",$D515="COST",$G515&lt;0),$G515,TRUE,)</f>
        <v>-2.22</v>
      </c>
      <c r="J515" s="235">
        <f t="array" ref="J515">IFS(AND($B515&lt;&gt;"",$E515&lt;&gt;""),IF(INDEX(HistoricSummary!E:E,MATCH($C515,HistoricSummary!$A:$A,0),1)&lt;&gt;"",$E515*INDEX(HistoricSummary!E:E,MATCH($C515,HistoricSummary!$A:$A,0),1)+$G515,""),AND($B515&lt;&gt;"",$D515="COST",$G515&lt;0),$G515,TRUE,)</f>
        <v>-2.22</v>
      </c>
    </row>
    <row r="516">
      <c r="A516" s="184">
        <v>43504.0</v>
      </c>
      <c r="B516" s="19" t="s">
        <v>292</v>
      </c>
      <c r="C516" s="19" t="s">
        <v>293</v>
      </c>
      <c r="D516" s="19" t="s">
        <v>415</v>
      </c>
      <c r="E516" s="50">
        <v>-6.0</v>
      </c>
      <c r="F516" s="232">
        <v>170.5</v>
      </c>
      <c r="G516" s="233">
        <v>1023.0</v>
      </c>
      <c r="H516" s="230" t="s">
        <v>892</v>
      </c>
      <c r="I516" s="235">
        <f t="array" ref="I516">IFS(AND($B516&lt;&gt;"",$E516&lt;&gt;""),IF(INDEX(HistoricSummary!D:D,MATCH($C516,HistoricSummary!$A:$A,0),1)&lt;&gt;"",$E516*INDEX(HistoricSummary!D:D,MATCH($C516,HistoricSummary!$A:$A,0),1)+$G516,""),AND($B516&lt;&gt;"",$D516="COST",$G516&lt;0),$G516,TRUE,)</f>
        <v>-95.76</v>
      </c>
      <c r="J516" s="235">
        <f t="array" ref="J516">IFS(AND($B516&lt;&gt;"",$E516&lt;&gt;""),IF(INDEX(HistoricSummary!E:E,MATCH($C516,HistoricSummary!$A:$A,0),1)&lt;&gt;"",$E516*INDEX(HistoricSummary!E:E,MATCH($C516,HistoricSummary!$A:$A,0),1)+$G516,""),AND($B516&lt;&gt;"",$D516="COST",$G516&lt;0),$G516,TRUE,)</f>
        <v>-134.3381395</v>
      </c>
    </row>
    <row r="517">
      <c r="A517" s="184">
        <v>43504.0</v>
      </c>
      <c r="B517" s="19" t="s">
        <v>298</v>
      </c>
      <c r="C517" s="19" t="s">
        <v>867</v>
      </c>
      <c r="D517" s="19" t="s">
        <v>415</v>
      </c>
      <c r="E517" s="50">
        <v>-816.0</v>
      </c>
      <c r="F517" s="232">
        <v>4.031</v>
      </c>
      <c r="G517" s="233">
        <v>3289.3</v>
      </c>
      <c r="H517" s="230" t="s">
        <v>893</v>
      </c>
      <c r="I517" s="235">
        <f t="array" ref="I517">IFS(AND($B517&lt;&gt;"",$E517&lt;&gt;""),IF(INDEX(HistoricSummary!D:D,MATCH($C517,HistoricSummary!$A:$A,0),1)&lt;&gt;"",$E517*INDEX(HistoricSummary!D:D,MATCH($C517,HistoricSummary!$A:$A,0),1)+$G517,""),AND($B517&lt;&gt;"",$D517="COST",$G517&lt;0),$G517,TRUE,)</f>
        <v>-745.6568</v>
      </c>
      <c r="J517" s="235">
        <f t="array" ref="J517">IFS(AND($B517&lt;&gt;"",$E517&lt;&gt;""),IF(INDEX(HistoricSummary!E:E,MATCH($C517,HistoricSummary!$A:$A,0),1)&lt;&gt;"",$E517*INDEX(HistoricSummary!E:E,MATCH($C517,HistoricSummary!$A:$A,0),1)+$G517,""),AND($B517&lt;&gt;"",$D517="COST",$G517&lt;0),$G517,TRUE,)</f>
        <v>-954.2637209</v>
      </c>
    </row>
    <row r="518">
      <c r="A518" s="184">
        <v>43504.0</v>
      </c>
      <c r="B518" s="19" t="s">
        <v>298</v>
      </c>
      <c r="C518" s="19" t="s">
        <v>867</v>
      </c>
      <c r="D518" s="19" t="s">
        <v>432</v>
      </c>
      <c r="E518" s="50"/>
      <c r="F518" s="232"/>
      <c r="G518" s="233">
        <v>-2.66</v>
      </c>
      <c r="H518" s="230" t="s">
        <v>894</v>
      </c>
      <c r="I518" s="235">
        <f t="array" ref="I518">IFS(AND($B518&lt;&gt;"",$E518&lt;&gt;""),IF(INDEX(HistoricSummary!D:D,MATCH($C518,HistoricSummary!$A:$A,0),1)&lt;&gt;"",$E518*INDEX(HistoricSummary!D:D,MATCH($C518,HistoricSummary!$A:$A,0),1)+$G518,""),AND($B518&lt;&gt;"",$D518="COST",$G518&lt;0),$G518,TRUE,)</f>
        <v>-2.66</v>
      </c>
      <c r="J518" s="235">
        <f t="array" ref="J518">IFS(AND($B518&lt;&gt;"",$E518&lt;&gt;""),IF(INDEX(HistoricSummary!E:E,MATCH($C518,HistoricSummary!$A:$A,0),1)&lt;&gt;"",$E518*INDEX(HistoricSummary!E:E,MATCH($C518,HistoricSummary!$A:$A,0),1)+$G518,""),AND($B518&lt;&gt;"",$D518="COST",$G518&lt;0),$G518,TRUE,)</f>
        <v>-2.66</v>
      </c>
    </row>
    <row r="519">
      <c r="A519" s="184">
        <v>43503.0</v>
      </c>
      <c r="B519" s="19" t="s">
        <v>292</v>
      </c>
      <c r="C519" s="19" t="s">
        <v>293</v>
      </c>
      <c r="D519" s="19" t="s">
        <v>415</v>
      </c>
      <c r="E519" s="50">
        <v>-7.0</v>
      </c>
      <c r="F519" s="232">
        <v>169.97</v>
      </c>
      <c r="G519" s="233">
        <v>1189.79</v>
      </c>
      <c r="H519" s="230" t="s">
        <v>895</v>
      </c>
      <c r="I519" s="235">
        <f t="array" ref="I519">IFS(AND($B519&lt;&gt;"",$E519&lt;&gt;""),IF(INDEX(HistoricSummary!D:D,MATCH($C519,HistoricSummary!$A:$A,0),1)&lt;&gt;"",$E519*INDEX(HistoricSummary!D:D,MATCH($C519,HistoricSummary!$A:$A,0),1)+$G519,""),AND($B519&lt;&gt;"",$D519="COST",$G519&lt;0),$G519,TRUE,)</f>
        <v>-115.43</v>
      </c>
      <c r="J519" s="235">
        <f t="array" ref="J519">IFS(AND($B519&lt;&gt;"",$E519&lt;&gt;""),IF(INDEX(HistoricSummary!E:E,MATCH($C519,HistoricSummary!$A:$A,0),1)&lt;&gt;"",$E519*INDEX(HistoricSummary!E:E,MATCH($C519,HistoricSummary!$A:$A,0),1)+$G519,""),AND($B519&lt;&gt;"",$D519="COST",$G519&lt;0),$G519,TRUE,)</f>
        <v>-160.4378295</v>
      </c>
    </row>
    <row r="520">
      <c r="A520" s="184">
        <v>43503.0</v>
      </c>
      <c r="B520" s="19" t="s">
        <v>298</v>
      </c>
      <c r="C520" s="19" t="s">
        <v>867</v>
      </c>
      <c r="D520" s="19" t="s">
        <v>415</v>
      </c>
      <c r="E520" s="50">
        <v>-500.0</v>
      </c>
      <c r="F520" s="232">
        <v>4.006</v>
      </c>
      <c r="G520" s="233">
        <v>2003.03</v>
      </c>
      <c r="H520" s="230" t="s">
        <v>896</v>
      </c>
      <c r="I520" s="235">
        <f t="array" ref="I520">IFS(AND($B520&lt;&gt;"",$E520&lt;&gt;""),IF(INDEX(HistoricSummary!D:D,MATCH($C520,HistoricSummary!$A:$A,0),1)&lt;&gt;"",$E520*INDEX(HistoricSummary!D:D,MATCH($C520,HistoricSummary!$A:$A,0),1)+$G520,""),AND($B520&lt;&gt;"",$D520="COST",$G520&lt;0),$G520,TRUE,)</f>
        <v>-469.37</v>
      </c>
      <c r="J520" s="235">
        <f t="array" ref="J520">IFS(AND($B520&lt;&gt;"",$E520&lt;&gt;""),IF(INDEX(HistoricSummary!E:E,MATCH($C520,HistoricSummary!$A:$A,0),1)&lt;&gt;"",$E520*INDEX(HistoricSummary!E:E,MATCH($C520,HistoricSummary!$A:$A,0),1)+$G520,""),AND($B520&lt;&gt;"",$D520="COST",$G520&lt;0),$G520,TRUE,)</f>
        <v>-597.1928682</v>
      </c>
    </row>
    <row r="521">
      <c r="A521" s="184">
        <v>43503.0</v>
      </c>
      <c r="B521" s="19" t="s">
        <v>298</v>
      </c>
      <c r="C521" s="19" t="s">
        <v>867</v>
      </c>
      <c r="D521" s="19" t="s">
        <v>432</v>
      </c>
      <c r="E521" s="50"/>
      <c r="F521" s="232"/>
      <c r="G521" s="233">
        <v>-2.4</v>
      </c>
      <c r="H521" s="230" t="s">
        <v>897</v>
      </c>
      <c r="I521" s="235">
        <f t="array" ref="I521">IFS(AND($B521&lt;&gt;"",$E521&lt;&gt;""),IF(INDEX(HistoricSummary!D:D,MATCH($C521,HistoricSummary!$A:$A,0),1)&lt;&gt;"",$E521*INDEX(HistoricSummary!D:D,MATCH($C521,HistoricSummary!$A:$A,0),1)+$G521,""),AND($B521&lt;&gt;"",$D521="COST",$G521&lt;0),$G521,TRUE,)</f>
        <v>-2.4</v>
      </c>
      <c r="J521" s="235">
        <f t="array" ref="J521">IFS(AND($B521&lt;&gt;"",$E521&lt;&gt;""),IF(INDEX(HistoricSummary!E:E,MATCH($C521,HistoricSummary!$A:$A,0),1)&lt;&gt;"",$E521*INDEX(HistoricSummary!E:E,MATCH($C521,HistoricSummary!$A:$A,0),1)+$G521,""),AND($B521&lt;&gt;"",$D521="COST",$G521&lt;0),$G521,TRUE,)</f>
        <v>-2.4</v>
      </c>
    </row>
    <row r="522">
      <c r="A522" s="184">
        <v>43503.0</v>
      </c>
      <c r="B522" s="19" t="s">
        <v>298</v>
      </c>
      <c r="C522" s="19" t="s">
        <v>867</v>
      </c>
      <c r="D522" s="19" t="s">
        <v>432</v>
      </c>
      <c r="E522" s="50"/>
      <c r="F522" s="232"/>
      <c r="G522" s="233">
        <v>-2.2</v>
      </c>
      <c r="H522" s="230" t="s">
        <v>704</v>
      </c>
      <c r="I522" s="235">
        <f t="array" ref="I522">IFS(AND($B522&lt;&gt;"",$E522&lt;&gt;""),IF(INDEX(HistoricSummary!D:D,MATCH($C522,HistoricSummary!$A:$A,0),1)&lt;&gt;"",$E522*INDEX(HistoricSummary!D:D,MATCH($C522,HistoricSummary!$A:$A,0),1)+$G522,""),AND($B522&lt;&gt;"",$D522="COST",$G522&lt;0),$G522,TRUE,)</f>
        <v>-2.2</v>
      </c>
      <c r="J522" s="235">
        <f t="array" ref="J522">IFS(AND($B522&lt;&gt;"",$E522&lt;&gt;""),IF(INDEX(HistoricSummary!E:E,MATCH($C522,HistoricSummary!$A:$A,0),1)&lt;&gt;"",$E522*INDEX(HistoricSummary!E:E,MATCH($C522,HistoricSummary!$A:$A,0),1)+$G522,""),AND($B522&lt;&gt;"",$D522="COST",$G522&lt;0),$G522,TRUE,)</f>
        <v>-2.2</v>
      </c>
    </row>
    <row r="523">
      <c r="A523" s="184">
        <v>43503.0</v>
      </c>
      <c r="B523" s="19" t="s">
        <v>298</v>
      </c>
      <c r="C523" s="19" t="s">
        <v>867</v>
      </c>
      <c r="D523" s="19" t="s">
        <v>415</v>
      </c>
      <c r="E523" s="50">
        <v>-255.0</v>
      </c>
      <c r="F523" s="232">
        <v>3.992</v>
      </c>
      <c r="G523" s="233">
        <v>1017.88</v>
      </c>
      <c r="H523" s="230" t="s">
        <v>898</v>
      </c>
      <c r="I523" s="235">
        <f t="array" ref="I523">IFS(AND($B523&lt;&gt;"",$E523&lt;&gt;""),IF(INDEX(HistoricSummary!D:D,MATCH($C523,HistoricSummary!$A:$A,0),1)&lt;&gt;"",$E523*INDEX(HistoricSummary!D:D,MATCH($C523,HistoricSummary!$A:$A,0),1)+$G523,""),AND($B523&lt;&gt;"",$D523="COST",$G523&lt;0),$G523,TRUE,)</f>
        <v>-243.044</v>
      </c>
      <c r="J523" s="235">
        <f t="array" ref="J523">IFS(AND($B523&lt;&gt;"",$E523&lt;&gt;""),IF(INDEX(HistoricSummary!E:E,MATCH($C523,HistoricSummary!$A:$A,0),1)&lt;&gt;"",$E523*INDEX(HistoricSummary!E:E,MATCH($C523,HistoricSummary!$A:$A,0),1)+$G523,""),AND($B523&lt;&gt;"",$D523="COST",$G523&lt;0),$G523,TRUE,)</f>
        <v>-308.2336628</v>
      </c>
    </row>
    <row r="524">
      <c r="A524" s="184">
        <v>43501.0</v>
      </c>
      <c r="B524" s="19" t="s">
        <v>302</v>
      </c>
      <c r="C524" s="19" t="s">
        <v>303</v>
      </c>
      <c r="D524" s="19" t="s">
        <v>415</v>
      </c>
      <c r="E524" s="50">
        <v>-27.0</v>
      </c>
      <c r="F524" s="232">
        <v>45.3759</v>
      </c>
      <c r="G524" s="233">
        <v>1225.15</v>
      </c>
      <c r="H524" s="230" t="s">
        <v>899</v>
      </c>
      <c r="I524" s="235">
        <f t="array" ref="I524">IFS(AND($B524&lt;&gt;"",$E524&lt;&gt;""),IF(INDEX(HistoricSummary!D:D,MATCH($C524,HistoricSummary!$A:$A,0),1)&lt;&gt;"",$E524*INDEX(HistoricSummary!D:D,MATCH($C524,HistoricSummary!$A:$A,0),1)+$G524,""),AND($B524&lt;&gt;"",$D524="COST",$G524&lt;0),$G524,TRUE,)</f>
        <v>-331.076</v>
      </c>
      <c r="J524" s="235">
        <f t="array" ref="J524">IFS(AND($B524&lt;&gt;"",$E524&lt;&gt;""),IF(INDEX(HistoricSummary!E:E,MATCH($C524,HistoricSummary!$A:$A,0),1)&lt;&gt;"",$E524*INDEX(HistoricSummary!E:E,MATCH($C524,HistoricSummary!$A:$A,0),1)+$G524,""),AND($B524&lt;&gt;"",$D524="COST",$G524&lt;0),$G524,TRUE,)</f>
        <v>-206.718814</v>
      </c>
    </row>
    <row r="525">
      <c r="A525" s="184">
        <v>43501.0</v>
      </c>
      <c r="B525" s="19"/>
      <c r="C525" s="19"/>
      <c r="D525" s="19" t="s">
        <v>454</v>
      </c>
      <c r="E525" s="50"/>
      <c r="F525" s="232"/>
      <c r="G525" s="233">
        <v>-400.0</v>
      </c>
      <c r="H525" s="230" t="s">
        <v>499</v>
      </c>
      <c r="I525" s="235" t="str">
        <f t="array" ref="I525">IFS(AND($B525&lt;&gt;"",$E525&lt;&gt;""),IF(INDEX(HistoricSummary!D:D,MATCH($C525,HistoricSummary!$A:$A,0),1)&lt;&gt;"",$E525*INDEX(HistoricSummary!D:D,MATCH($C525,HistoricSummary!$A:$A,0),1)+$G525,""),AND($B525&lt;&gt;"",$D525="COST",$G525&lt;0),$G525,TRUE,)</f>
        <v/>
      </c>
      <c r="J525" s="235" t="str">
        <f t="array" ref="J525">IFS(AND($B525&lt;&gt;"",$E525&lt;&gt;""),IF(INDEX(HistoricSummary!E:E,MATCH($C525,HistoricSummary!$A:$A,0),1)&lt;&gt;"",$E525*INDEX(HistoricSummary!E:E,MATCH($C525,HistoricSummary!$A:$A,0),1)+$G525,""),AND($B525&lt;&gt;"",$D525="COST",$G525&lt;0),$G525,TRUE,)</f>
        <v/>
      </c>
    </row>
    <row r="526">
      <c r="A526" s="184">
        <v>43497.0</v>
      </c>
      <c r="B526" s="19"/>
      <c r="C526" s="19"/>
      <c r="D526" s="19" t="s">
        <v>432</v>
      </c>
      <c r="E526" s="50"/>
      <c r="F526" s="232"/>
      <c r="G526" s="233">
        <v>-5.0</v>
      </c>
      <c r="H526" s="230" t="s">
        <v>610</v>
      </c>
      <c r="I526" s="235" t="str">
        <f t="array" ref="I526">IFS(AND($B526&lt;&gt;"",$E526&lt;&gt;""),IF(INDEX(HistoricSummary!D:D,MATCH($C526,HistoricSummary!$A:$A,0),1)&lt;&gt;"",$E526*INDEX(HistoricSummary!D:D,MATCH($C526,HistoricSummary!$A:$A,0),1)+$G526,""),AND($B526&lt;&gt;"",$D526="COST",$G526&lt;0),$G526,TRUE,)</f>
        <v/>
      </c>
      <c r="J526" s="235" t="str">
        <f t="array" ref="J526">IFS(AND($B526&lt;&gt;"",$E526&lt;&gt;""),IF(INDEX(HistoricSummary!E:E,MATCH($C526,HistoricSummary!$A:$A,0),1)&lt;&gt;"",$E526*INDEX(HistoricSummary!E:E,MATCH($C526,HistoricSummary!$A:$A,0),1)+$G526,""),AND($B526&lt;&gt;"",$D526="COST",$G526&lt;0),$G526,TRUE,)</f>
        <v/>
      </c>
    </row>
    <row r="527">
      <c r="A527" s="184">
        <v>43497.0</v>
      </c>
      <c r="B527" s="19" t="s">
        <v>302</v>
      </c>
      <c r="C527" s="19" t="s">
        <v>303</v>
      </c>
      <c r="D527" s="19" t="s">
        <v>415</v>
      </c>
      <c r="E527" s="50">
        <v>-45.0</v>
      </c>
      <c r="F527" s="232">
        <v>45.018</v>
      </c>
      <c r="G527" s="233">
        <v>2025.81</v>
      </c>
      <c r="H527" s="230" t="s">
        <v>900</v>
      </c>
      <c r="I527" s="235">
        <f t="array" ref="I527">IFS(AND($B527&lt;&gt;"",$E527&lt;&gt;""),IF(INDEX(HistoricSummary!D:D,MATCH($C527,HistoricSummary!$A:$A,0),1)&lt;&gt;"",$E527*INDEX(HistoricSummary!D:D,MATCH($C527,HistoricSummary!$A:$A,0),1)+$G527,""),AND($B527&lt;&gt;"",$D527="COST",$G527&lt;0),$G527,TRUE,)</f>
        <v>-567.9</v>
      </c>
      <c r="J527" s="235">
        <f t="array" ref="J527">IFS(AND($B527&lt;&gt;"",$E527&lt;&gt;""),IF(INDEX(HistoricSummary!E:E,MATCH($C527,HistoricSummary!$A:$A,0),1)&lt;&gt;"",$E527*INDEX(HistoricSummary!E:E,MATCH($C527,HistoricSummary!$A:$A,0),1)+$G527,""),AND($B527&lt;&gt;"",$D527="COST",$G527&lt;0),$G527,TRUE,)</f>
        <v>-360.6380233</v>
      </c>
    </row>
    <row r="528">
      <c r="A528" s="184">
        <v>43497.0</v>
      </c>
      <c r="B528" s="19" t="s">
        <v>302</v>
      </c>
      <c r="C528" s="19" t="s">
        <v>303</v>
      </c>
      <c r="D528" s="19" t="s">
        <v>415</v>
      </c>
      <c r="E528" s="50">
        <v>-10.0</v>
      </c>
      <c r="F528" s="232">
        <v>44.797</v>
      </c>
      <c r="G528" s="233">
        <v>447.97</v>
      </c>
      <c r="H528" s="230" t="s">
        <v>901</v>
      </c>
      <c r="I528" s="235">
        <f t="array" ref="I528">IFS(AND($B528&lt;&gt;"",$E528&lt;&gt;""),IF(INDEX(HistoricSummary!D:D,MATCH($C528,HistoricSummary!$A:$A,0),1)&lt;&gt;"",$E528*INDEX(HistoricSummary!D:D,MATCH($C528,HistoricSummary!$A:$A,0),1)+$G528,""),AND($B528&lt;&gt;"",$D528="COST",$G528&lt;0),$G528,TRUE,)</f>
        <v>-128.41</v>
      </c>
      <c r="J528" s="235">
        <f t="array" ref="J528">IFS(AND($B528&lt;&gt;"",$E528&lt;&gt;""),IF(INDEX(HistoricSummary!E:E,MATCH($C528,HistoricSummary!$A:$A,0),1)&lt;&gt;"",$E528*INDEX(HistoricSummary!E:E,MATCH($C528,HistoricSummary!$A:$A,0),1)+$G528,""),AND($B528&lt;&gt;"",$D528="COST",$G528&lt;0),$G528,TRUE,)</f>
        <v>-82.35178295</v>
      </c>
    </row>
    <row r="529">
      <c r="A529" s="184">
        <v>43497.0</v>
      </c>
      <c r="B529" s="19" t="s">
        <v>302</v>
      </c>
      <c r="C529" s="19" t="s">
        <v>303</v>
      </c>
      <c r="D529" s="19" t="s">
        <v>415</v>
      </c>
      <c r="E529" s="50">
        <v>-8.0</v>
      </c>
      <c r="F529" s="232">
        <v>44.7975</v>
      </c>
      <c r="G529" s="233">
        <v>358.38</v>
      </c>
      <c r="H529" s="230" t="s">
        <v>902</v>
      </c>
      <c r="I529" s="235">
        <f t="array" ref="I529">IFS(AND($B529&lt;&gt;"",$E529&lt;&gt;""),IF(INDEX(HistoricSummary!D:D,MATCH($C529,HistoricSummary!$A:$A,0),1)&lt;&gt;"",$E529*INDEX(HistoricSummary!D:D,MATCH($C529,HistoricSummary!$A:$A,0),1)+$G529,""),AND($B529&lt;&gt;"",$D529="COST",$G529&lt;0),$G529,TRUE,)</f>
        <v>-102.724</v>
      </c>
      <c r="J529" s="235">
        <f t="array" ref="J529">IFS(AND($B529&lt;&gt;"",$E529&lt;&gt;""),IF(INDEX(HistoricSummary!E:E,MATCH($C529,HistoricSummary!$A:$A,0),1)&lt;&gt;"",$E529*INDEX(HistoricSummary!E:E,MATCH($C529,HistoricSummary!$A:$A,0),1)+$G529,""),AND($B529&lt;&gt;"",$D529="COST",$G529&lt;0),$G529,TRUE,)</f>
        <v>-65.87742636</v>
      </c>
    </row>
    <row r="530">
      <c r="A530" s="184">
        <v>43497.0</v>
      </c>
      <c r="B530" s="19" t="s">
        <v>302</v>
      </c>
      <c r="C530" s="19" t="s">
        <v>303</v>
      </c>
      <c r="D530" s="19" t="s">
        <v>415</v>
      </c>
      <c r="E530" s="50">
        <v>-5.0</v>
      </c>
      <c r="F530" s="232">
        <v>44.796</v>
      </c>
      <c r="G530" s="233">
        <v>223.98</v>
      </c>
      <c r="H530" s="230" t="s">
        <v>903</v>
      </c>
      <c r="I530" s="235">
        <f t="array" ref="I530">IFS(AND($B530&lt;&gt;"",$E530&lt;&gt;""),IF(INDEX(HistoricSummary!D:D,MATCH($C530,HistoricSummary!$A:$A,0),1)&lt;&gt;"",$E530*INDEX(HistoricSummary!D:D,MATCH($C530,HistoricSummary!$A:$A,0),1)+$G530,""),AND($B530&lt;&gt;"",$D530="COST",$G530&lt;0),$G530,TRUE,)</f>
        <v>-64.21</v>
      </c>
      <c r="J530" s="235">
        <f t="array" ref="J530">IFS(AND($B530&lt;&gt;"",$E530&lt;&gt;""),IF(INDEX(HistoricSummary!E:E,MATCH($C530,HistoricSummary!$A:$A,0),1)&lt;&gt;"",$E530*INDEX(HistoricSummary!E:E,MATCH($C530,HistoricSummary!$A:$A,0),1)+$G530,""),AND($B530&lt;&gt;"",$D530="COST",$G530&lt;0),$G530,TRUE,)</f>
        <v>-41.18089147</v>
      </c>
    </row>
    <row r="531">
      <c r="A531" s="184">
        <v>43496.0</v>
      </c>
      <c r="B531" s="229"/>
      <c r="C531" s="230"/>
      <c r="D531" s="231" t="s">
        <v>432</v>
      </c>
      <c r="E531" s="231"/>
      <c r="F531" s="232"/>
      <c r="G531" s="233">
        <v>-5.0</v>
      </c>
      <c r="H531" s="230" t="s">
        <v>610</v>
      </c>
      <c r="I531" s="235" t="str">
        <f t="array" ref="I531">IFS(AND($B531&lt;&gt;"",$E531&lt;&gt;""),IF(INDEX(HistoricSummary!D:D,MATCH($C531,HistoricSummary!$A:$A,0),1)&lt;&gt;"",$E531*INDEX(HistoricSummary!D:D,MATCH($C531,HistoricSummary!$A:$A,0),1)+$G531,""),AND($B531&lt;&gt;"",$D531="COST",$G531&lt;0),$G531,TRUE,)</f>
        <v/>
      </c>
      <c r="J531" s="235" t="str">
        <f t="array" ref="J531">IFS(AND($B531&lt;&gt;"",$E531&lt;&gt;""),IF(INDEX(HistoricSummary!E:E,MATCH($C531,HistoricSummary!$A:$A,0),1)&lt;&gt;"",$E531*INDEX(HistoricSummary!E:E,MATCH($C531,HistoricSummary!$A:$A,0),1)+$G531,""),AND($B531&lt;&gt;"",$D531="COST",$G531&lt;0),$G531,TRUE,)</f>
        <v/>
      </c>
    </row>
    <row r="532">
      <c r="A532" s="184">
        <v>43496.0</v>
      </c>
      <c r="B532" s="229"/>
      <c r="C532" s="230"/>
      <c r="D532" s="231" t="s">
        <v>432</v>
      </c>
      <c r="E532" s="231"/>
      <c r="F532" s="232"/>
      <c r="G532" s="233">
        <v>5.0</v>
      </c>
      <c r="H532" s="230" t="s">
        <v>904</v>
      </c>
      <c r="I532" s="235" t="str">
        <f t="array" ref="I532">IFS(AND($B532&lt;&gt;"",$E532&lt;&gt;""),IF(INDEX(HistoricSummary!D:D,MATCH($C532,HistoricSummary!$A:$A,0),1)&lt;&gt;"",$E532*INDEX(HistoricSummary!D:D,MATCH($C532,HistoricSummary!$A:$A,0),1)+$G532,""),AND($B532&lt;&gt;"",$D532="COST",$G532&lt;0),$G532,TRUE,)</f>
        <v/>
      </c>
      <c r="J532" s="235" t="str">
        <f t="array" ref="J532">IFS(AND($B532&lt;&gt;"",$E532&lt;&gt;""),IF(INDEX(HistoricSummary!E:E,MATCH($C532,HistoricSummary!$A:$A,0),1)&lt;&gt;"",$E532*INDEX(HistoricSummary!E:E,MATCH($C532,HistoricSummary!$A:$A,0),1)+$G532,""),AND($B532&lt;&gt;"",$D532="COST",$G532&lt;0),$G532,TRUE,)</f>
        <v/>
      </c>
    </row>
    <row r="533">
      <c r="A533" s="184">
        <v>43496.0</v>
      </c>
      <c r="B533" s="229"/>
      <c r="C533" s="230"/>
      <c r="D533" s="231" t="s">
        <v>432</v>
      </c>
      <c r="E533" s="231"/>
      <c r="F533" s="232"/>
      <c r="G533" s="233">
        <v>-565.1</v>
      </c>
      <c r="H533" s="230" t="s">
        <v>905</v>
      </c>
      <c r="I533" s="235" t="str">
        <f t="array" ref="I533">IFS(AND($B533&lt;&gt;"",$E533&lt;&gt;""),IF(INDEX(HistoricSummary!D:D,MATCH($C533,HistoricSummary!$A:$A,0),1)&lt;&gt;"",$E533*INDEX(HistoricSummary!D:D,MATCH($C533,HistoricSummary!$A:$A,0),1)+$G533,""),AND($B533&lt;&gt;"",$D533="COST",$G533&lt;0),$G533,TRUE,)</f>
        <v/>
      </c>
      <c r="J533" s="235" t="str">
        <f t="array" ref="J533">IFS(AND($B533&lt;&gt;"",$E533&lt;&gt;""),IF(INDEX(HistoricSummary!E:E,MATCH($C533,HistoricSummary!$A:$A,0),1)&lt;&gt;"",$E533*INDEX(HistoricSummary!E:E,MATCH($C533,HistoricSummary!$A:$A,0),1)+$G533,""),AND($B533&lt;&gt;"",$D533="COST",$G533&lt;0),$G533,TRUE,)</f>
        <v/>
      </c>
    </row>
    <row r="534">
      <c r="A534" s="184">
        <v>43496.0</v>
      </c>
      <c r="B534" s="19" t="s">
        <v>302</v>
      </c>
      <c r="C534" s="19" t="s">
        <v>303</v>
      </c>
      <c r="D534" s="19" t="s">
        <v>432</v>
      </c>
      <c r="E534" s="50"/>
      <c r="F534" s="232"/>
      <c r="G534" s="233">
        <v>-3.89</v>
      </c>
      <c r="H534" s="230" t="s">
        <v>906</v>
      </c>
      <c r="I534" s="235">
        <f t="array" ref="I534">IFS(AND($B534&lt;&gt;"",$E534&lt;&gt;""),IF(INDEX(HistoricSummary!D:D,MATCH($C534,HistoricSummary!$A:$A,0),1)&lt;&gt;"",$E534*INDEX(HistoricSummary!D:D,MATCH($C534,HistoricSummary!$A:$A,0),1)+$G534,""),AND($B534&lt;&gt;"",$D534="COST",$G534&lt;0),$G534,TRUE,)</f>
        <v>-3.89</v>
      </c>
      <c r="J534" s="235">
        <f t="array" ref="J534">IFS(AND($B534&lt;&gt;"",$E534&lt;&gt;""),IF(INDEX(HistoricSummary!E:E,MATCH($C534,HistoricSummary!$A:$A,0),1)&lt;&gt;"",$E534*INDEX(HistoricSummary!E:E,MATCH($C534,HistoricSummary!$A:$A,0),1)+$G534,""),AND($B534&lt;&gt;"",$D534="COST",$G534&lt;0),$G534,TRUE,)</f>
        <v>-3.89</v>
      </c>
    </row>
    <row r="535">
      <c r="A535" s="184">
        <v>43496.0</v>
      </c>
      <c r="B535" s="19" t="s">
        <v>302</v>
      </c>
      <c r="C535" s="19" t="s">
        <v>303</v>
      </c>
      <c r="D535" s="19" t="s">
        <v>415</v>
      </c>
      <c r="E535" s="50">
        <v>-213.0</v>
      </c>
      <c r="F535" s="232">
        <v>44.455</v>
      </c>
      <c r="G535" s="233">
        <v>9468.92</v>
      </c>
      <c r="H535" s="230" t="s">
        <v>907</v>
      </c>
      <c r="I535" s="235">
        <f t="array" ref="I535">IFS(AND($B535&lt;&gt;"",$E535&lt;&gt;""),IF(INDEX(HistoricSummary!D:D,MATCH($C535,HistoricSummary!$A:$A,0),1)&lt;&gt;"",$E535*INDEX(HistoricSummary!D:D,MATCH($C535,HistoricSummary!$A:$A,0),1)+$G535,""),AND($B535&lt;&gt;"",$D535="COST",$G535&lt;0),$G535,TRUE,)</f>
        <v>-2807.974</v>
      </c>
      <c r="J535" s="235">
        <f t="array" ref="J535">IFS(AND($B535&lt;&gt;"",$E535&lt;&gt;""),IF(INDEX(HistoricSummary!E:E,MATCH($C535,HistoricSummary!$A:$A,0),1)&lt;&gt;"",$E535*INDEX(HistoricSummary!E:E,MATCH($C535,HistoricSummary!$A:$A,0),1)+$G535,""),AND($B535&lt;&gt;"",$D535="COST",$G535&lt;0),$G535,TRUE,)</f>
        <v>-1826.933977</v>
      </c>
    </row>
    <row r="536">
      <c r="A536" s="184">
        <v>43486.0</v>
      </c>
      <c r="B536" s="19" t="s">
        <v>302</v>
      </c>
      <c r="C536" s="19" t="s">
        <v>303</v>
      </c>
      <c r="D536" s="19" t="s">
        <v>432</v>
      </c>
      <c r="E536" s="50"/>
      <c r="F536" s="232"/>
      <c r="G536" s="233">
        <v>-0.26</v>
      </c>
      <c r="H536" s="230" t="s">
        <v>908</v>
      </c>
      <c r="I536" s="235">
        <f t="array" ref="I536">IFS(AND($B536&lt;&gt;"",$E536&lt;&gt;""),IF(INDEX(HistoricSummary!D:D,MATCH($C536,HistoricSummary!$A:$A,0),1)&lt;&gt;"",$E536*INDEX(HistoricSummary!D:D,MATCH($C536,HistoricSummary!$A:$A,0),1)+$G536,""),AND($B536&lt;&gt;"",$D536="COST",$G536&lt;0),$G536,TRUE,)</f>
        <v>-0.26</v>
      </c>
      <c r="J536" s="235">
        <f t="array" ref="J536">IFS(AND($B536&lt;&gt;"",$E536&lt;&gt;""),IF(INDEX(HistoricSummary!E:E,MATCH($C536,HistoricSummary!$A:$A,0),1)&lt;&gt;"",$E536*INDEX(HistoricSummary!E:E,MATCH($C536,HistoricSummary!$A:$A,0),1)+$G536,""),AND($B536&lt;&gt;"",$D536="COST",$G536&lt;0),$G536,TRUE,)</f>
        <v>-0.26</v>
      </c>
    </row>
    <row r="537">
      <c r="A537" s="184">
        <v>43486.0</v>
      </c>
      <c r="B537" s="19" t="s">
        <v>302</v>
      </c>
      <c r="C537" s="19" t="s">
        <v>303</v>
      </c>
      <c r="D537" s="19" t="s">
        <v>415</v>
      </c>
      <c r="E537" s="50">
        <v>-29.0</v>
      </c>
      <c r="F537" s="243">
        <f t="shared" ref="F537:F539" si="1">IF(E537,-G537/E537,"")</f>
        <v>44.48586207</v>
      </c>
      <c r="G537" s="233">
        <v>1290.09</v>
      </c>
      <c r="H537" s="230" t="s">
        <v>909</v>
      </c>
      <c r="I537" s="235">
        <f t="array" ref="I537">IFS(AND($B537&lt;&gt;"",$E537&lt;&gt;""),IF(INDEX(HistoricSummary!D:D,MATCH($C537,HistoricSummary!$A:$A,0),1)&lt;&gt;"",$E537*INDEX(HistoricSummary!D:D,MATCH($C537,HistoricSummary!$A:$A,0),1)+$G537,""),AND($B537&lt;&gt;"",$D537="COST",$G537&lt;0),$G537,TRUE,)</f>
        <v>-381.412</v>
      </c>
      <c r="J537" s="235">
        <f t="array" ref="J537">IFS(AND($B537&lt;&gt;"",$E537&lt;&gt;""),IF(INDEX(HistoricSummary!E:E,MATCH($C537,HistoricSummary!$A:$A,0),1)&lt;&gt;"",$E537*INDEX(HistoricSummary!E:E,MATCH($C537,HistoricSummary!$A:$A,0),1)+$G537,""),AND($B537&lt;&gt;"",$D537="COST",$G537&lt;0),$G537,TRUE,)</f>
        <v>-247.8431705</v>
      </c>
    </row>
    <row r="538">
      <c r="A538" s="184">
        <v>43486.0</v>
      </c>
      <c r="B538" s="19" t="s">
        <v>302</v>
      </c>
      <c r="C538" s="19" t="s">
        <v>303</v>
      </c>
      <c r="D538" s="19" t="s">
        <v>432</v>
      </c>
      <c r="E538" s="50"/>
      <c r="F538" s="243" t="str">
        <f t="shared" si="1"/>
        <v/>
      </c>
      <c r="G538" s="233">
        <v>-2.01</v>
      </c>
      <c r="H538" s="230" t="s">
        <v>910</v>
      </c>
      <c r="I538" s="235">
        <f t="array" ref="I538">IFS(AND($B538&lt;&gt;"",$E538&lt;&gt;""),IF(INDEX(HistoricSummary!D:D,MATCH($C538,HistoricSummary!$A:$A,0),1)&lt;&gt;"",$E538*INDEX(HistoricSummary!D:D,MATCH($C538,HistoricSummary!$A:$A,0),1)+$G538,""),AND($B538&lt;&gt;"",$D538="COST",$G538&lt;0),$G538,TRUE,)</f>
        <v>-2.01</v>
      </c>
      <c r="J538" s="235">
        <f t="array" ref="J538">IFS(AND($B538&lt;&gt;"",$E538&lt;&gt;""),IF(INDEX(HistoricSummary!E:E,MATCH($C538,HistoricSummary!$A:$A,0),1)&lt;&gt;"",$E538*INDEX(HistoricSummary!E:E,MATCH($C538,HistoricSummary!$A:$A,0),1)+$G538,""),AND($B538&lt;&gt;"",$D538="COST",$G538&lt;0),$G538,TRUE,)</f>
        <v>-2.01</v>
      </c>
    </row>
    <row r="539">
      <c r="A539" s="184">
        <v>43486.0</v>
      </c>
      <c r="B539" s="19" t="s">
        <v>302</v>
      </c>
      <c r="C539" s="19" t="s">
        <v>303</v>
      </c>
      <c r="D539" s="19" t="s">
        <v>415</v>
      </c>
      <c r="E539" s="50">
        <v>-1.0</v>
      </c>
      <c r="F539" s="243">
        <f t="shared" si="1"/>
        <v>44.5</v>
      </c>
      <c r="G539" s="233">
        <v>44.5</v>
      </c>
      <c r="H539" s="230" t="s">
        <v>911</v>
      </c>
      <c r="I539" s="235">
        <f t="array" ref="I539">IFS(AND($B539&lt;&gt;"",$E539&lt;&gt;""),IF(INDEX(HistoricSummary!D:D,MATCH($C539,HistoricSummary!$A:$A,0),1)&lt;&gt;"",$E539*INDEX(HistoricSummary!D:D,MATCH($C539,HistoricSummary!$A:$A,0),1)+$G539,""),AND($B539&lt;&gt;"",$D539="COST",$G539&lt;0),$G539,TRUE,)</f>
        <v>-13.138</v>
      </c>
      <c r="J539" s="235">
        <f t="array" ref="J539">IFS(AND($B539&lt;&gt;"",$E539&lt;&gt;""),IF(INDEX(HistoricSummary!E:E,MATCH($C539,HistoricSummary!$A:$A,0),1)&lt;&gt;"",$E539*INDEX(HistoricSummary!E:E,MATCH($C539,HistoricSummary!$A:$A,0),1)+$G539,""),AND($B539&lt;&gt;"",$D539="COST",$G539&lt;0),$G539,TRUE,)</f>
        <v>-8.532178295</v>
      </c>
    </row>
    <row r="540">
      <c r="A540" s="184">
        <v>43474.0</v>
      </c>
      <c r="B540" s="229" t="s">
        <v>302</v>
      </c>
      <c r="C540" s="230" t="s">
        <v>303</v>
      </c>
      <c r="D540" s="231" t="s">
        <v>475</v>
      </c>
      <c r="E540" s="231"/>
      <c r="F540" s="232"/>
      <c r="G540" s="233">
        <v>-154.79</v>
      </c>
      <c r="H540" s="230" t="s">
        <v>912</v>
      </c>
      <c r="I540" s="235" t="str">
        <f t="array" ref="I540">IFS(AND($B540&lt;&gt;"",$E540&lt;&gt;""),IF(INDEX(HistoricSummary!D:D,MATCH($C540,HistoricSummary!$A:$A,0),1)&lt;&gt;"",$E540*INDEX(HistoricSummary!D:D,MATCH($C540,HistoricSummary!$A:$A,0),1)+$G540,""),AND($B540&lt;&gt;"",$D540="COST",$G540&lt;0),$G540,TRUE,)</f>
        <v/>
      </c>
      <c r="J540" s="235" t="str">
        <f t="array" ref="J540">IFS(AND($B540&lt;&gt;"",$E540&lt;&gt;""),IF(INDEX(HistoricSummary!E:E,MATCH($C540,HistoricSummary!$A:$A,0),1)&lt;&gt;"",$E540*INDEX(HistoricSummary!E:E,MATCH($C540,HistoricSummary!$A:$A,0),1)+$G540,""),AND($B540&lt;&gt;"",$D540="COST",$G540&lt;0),$G540,TRUE,)</f>
        <v/>
      </c>
    </row>
    <row r="541">
      <c r="A541" s="184">
        <v>43474.0</v>
      </c>
      <c r="B541" s="19" t="s">
        <v>302</v>
      </c>
      <c r="C541" s="19" t="s">
        <v>303</v>
      </c>
      <c r="D541" s="19" t="s">
        <v>475</v>
      </c>
      <c r="E541" s="50"/>
      <c r="F541" s="243" t="str">
        <f t="shared" ref="F541:F558" si="2">IF(E541,-G541/E541,"")</f>
        <v/>
      </c>
      <c r="G541" s="233">
        <v>1151.07</v>
      </c>
      <c r="H541" s="230" t="s">
        <v>913</v>
      </c>
      <c r="I541" s="235" t="str">
        <f t="array" ref="I541">IFS(AND($B541&lt;&gt;"",$E541&lt;&gt;""),IF(INDEX(HistoricSummary!D:D,MATCH($C541,HistoricSummary!$A:$A,0),1)&lt;&gt;"",$E541*INDEX(HistoricSummary!D:D,MATCH($C541,HistoricSummary!$A:$A,0),1)+$G541,""),AND($B541&lt;&gt;"",$D541="COST",$G541&lt;0),$G541,TRUE,)</f>
        <v/>
      </c>
      <c r="J541" s="235" t="str">
        <f t="array" ref="J541">IFS(AND($B541&lt;&gt;"",$E541&lt;&gt;""),IF(INDEX(HistoricSummary!E:E,MATCH($C541,HistoricSummary!$A:$A,0),1)&lt;&gt;"",$E541*INDEX(HistoricSummary!E:E,MATCH($C541,HistoricSummary!$A:$A,0),1)+$G541,""),AND($B541&lt;&gt;"",$D541="COST",$G541&lt;0),$G541,TRUE,)</f>
        <v/>
      </c>
    </row>
    <row r="542">
      <c r="A542" s="184">
        <v>43474.0</v>
      </c>
      <c r="B542" s="19" t="s">
        <v>302</v>
      </c>
      <c r="C542" s="19" t="s">
        <v>303</v>
      </c>
      <c r="D542" s="19" t="s">
        <v>432</v>
      </c>
      <c r="E542" s="50"/>
      <c r="F542" s="243" t="str">
        <f t="shared" si="2"/>
        <v/>
      </c>
      <c r="G542" s="233">
        <v>-2.29</v>
      </c>
      <c r="H542" s="230" t="s">
        <v>914</v>
      </c>
      <c r="I542" s="235">
        <f t="array" ref="I542">IFS(AND($B542&lt;&gt;"",$E542&lt;&gt;""),IF(INDEX(HistoricSummary!D:D,MATCH($C542,HistoricSummary!$A:$A,0),1)&lt;&gt;"",$E542*INDEX(HistoricSummary!D:D,MATCH($C542,HistoricSummary!$A:$A,0),1)+$G542,""),AND($B542&lt;&gt;"",$D542="COST",$G542&lt;0),$G542,TRUE,)</f>
        <v>-2.29</v>
      </c>
      <c r="J542" s="235">
        <f t="array" ref="J542">IFS(AND($B542&lt;&gt;"",$E542&lt;&gt;""),IF(INDEX(HistoricSummary!E:E,MATCH($C542,HistoricSummary!$A:$A,0),1)&lt;&gt;"",$E542*INDEX(HistoricSummary!E:E,MATCH($C542,HistoricSummary!$A:$A,0),1)+$G542,""),AND($B542&lt;&gt;"",$D542="COST",$G542&lt;0),$G542,TRUE,)</f>
        <v>-2.29</v>
      </c>
    </row>
    <row r="543">
      <c r="A543" s="184">
        <v>43474.0</v>
      </c>
      <c r="B543" s="19" t="s">
        <v>302</v>
      </c>
      <c r="C543" s="19" t="s">
        <v>303</v>
      </c>
      <c r="D543" s="19" t="s">
        <v>415</v>
      </c>
      <c r="E543" s="50">
        <v>-34.0</v>
      </c>
      <c r="F543" s="243">
        <f t="shared" si="2"/>
        <v>42.74</v>
      </c>
      <c r="G543" s="233">
        <v>1453.16</v>
      </c>
      <c r="H543" s="230" t="s">
        <v>915</v>
      </c>
      <c r="I543" s="235">
        <f t="array" ref="I543">IFS(AND($B543&lt;&gt;"",$E543&lt;&gt;""),IF(INDEX(HistoricSummary!D:D,MATCH($C543,HistoricSummary!$A:$A,0),1)&lt;&gt;"",$E543*INDEX(HistoricSummary!D:D,MATCH($C543,HistoricSummary!$A:$A,0),1)+$G543,""),AND($B543&lt;&gt;"",$D543="COST",$G543&lt;0),$G543,TRUE,)</f>
        <v>-506.532</v>
      </c>
      <c r="J543" s="235">
        <f t="array" ref="J543">IFS(AND($B543&lt;&gt;"",$E543&lt;&gt;""),IF(INDEX(HistoricSummary!E:E,MATCH($C543,HistoricSummary!$A:$A,0),1)&lt;&gt;"",$E543*INDEX(HistoricSummary!E:E,MATCH($C543,HistoricSummary!$A:$A,0),1)+$G543,""),AND($B543&lt;&gt;"",$D543="COST",$G543&lt;0),$G543,TRUE,)</f>
        <v>-349.934062</v>
      </c>
    </row>
    <row r="544">
      <c r="A544" s="184">
        <v>43473.0</v>
      </c>
      <c r="B544" s="19" t="s">
        <v>298</v>
      </c>
      <c r="C544" s="19" t="s">
        <v>867</v>
      </c>
      <c r="D544" s="19" t="s">
        <v>432</v>
      </c>
      <c r="E544" s="50"/>
      <c r="F544" s="243" t="str">
        <f t="shared" si="2"/>
        <v/>
      </c>
      <c r="G544" s="233">
        <v>-2.53</v>
      </c>
      <c r="H544" s="230" t="s">
        <v>916</v>
      </c>
      <c r="I544" s="235">
        <f t="array" ref="I544">IFS(AND($B544&lt;&gt;"",$E544&lt;&gt;""),IF(INDEX(HistoricSummary!D:D,MATCH($C544,HistoricSummary!$A:$A,0),1)&lt;&gt;"",$E544*INDEX(HistoricSummary!D:D,MATCH($C544,HistoricSummary!$A:$A,0),1)+$G544,""),AND($B544&lt;&gt;"",$D544="COST",$G544&lt;0),$G544,TRUE,)</f>
        <v>-2.53</v>
      </c>
      <c r="J544" s="235">
        <f t="array" ref="J544">IFS(AND($B544&lt;&gt;"",$E544&lt;&gt;""),IF(INDEX(HistoricSummary!E:E,MATCH($C544,HistoricSummary!$A:$A,0),1)&lt;&gt;"",$E544*INDEX(HistoricSummary!E:E,MATCH($C544,HistoricSummary!$A:$A,0),1)+$G544,""),AND($B544&lt;&gt;"",$D544="COST",$G544&lt;0),$G544,TRUE,)</f>
        <v>-2.53</v>
      </c>
    </row>
    <row r="545">
      <c r="A545" s="184">
        <v>43473.0</v>
      </c>
      <c r="B545" s="19" t="s">
        <v>298</v>
      </c>
      <c r="C545" s="19" t="s">
        <v>867</v>
      </c>
      <c r="D545" s="19" t="s">
        <v>414</v>
      </c>
      <c r="E545" s="50">
        <v>666.0</v>
      </c>
      <c r="F545" s="243">
        <f t="shared" si="2"/>
        <v>3.982507508</v>
      </c>
      <c r="G545" s="233">
        <v>-2652.35</v>
      </c>
      <c r="H545" s="230" t="s">
        <v>917</v>
      </c>
      <c r="I545" s="235">
        <f t="array" ref="I545">IFS(AND($B545&lt;&gt;"",$E545&lt;&gt;""),IF(INDEX(HistoricSummary!D:D,MATCH($C545,HistoricSummary!$A:$A,0),1)&lt;&gt;"",$E545*INDEX(HistoricSummary!D:D,MATCH($C545,HistoricSummary!$A:$A,0),1)+$G545,""),AND($B545&lt;&gt;"",$D545="COST",$G545&lt;0),$G545,TRUE,)</f>
        <v>640.8868</v>
      </c>
      <c r="J545" s="235">
        <f t="array" ref="J545">IFS(AND($B545&lt;&gt;"",$E545&lt;&gt;""),IF(INDEX(HistoricSummary!E:E,MATCH($C545,HistoricSummary!$A:$A,0),1)&lt;&gt;"",$E545*INDEX(HistoricSummary!E:E,MATCH($C545,HistoricSummary!$A:$A,0),1)+$G545,""),AND($B545&lt;&gt;"",$D545="COST",$G545&lt;0),$G545,TRUE,)</f>
        <v>811.1468605</v>
      </c>
    </row>
    <row r="546">
      <c r="A546" s="184">
        <v>43473.0</v>
      </c>
      <c r="B546" s="19" t="s">
        <v>292</v>
      </c>
      <c r="C546" s="19" t="s">
        <v>293</v>
      </c>
      <c r="D546" s="19" t="s">
        <v>414</v>
      </c>
      <c r="E546" s="50">
        <v>14.0</v>
      </c>
      <c r="F546" s="243">
        <f t="shared" si="2"/>
        <v>167.51</v>
      </c>
      <c r="G546" s="233">
        <v>-2345.14</v>
      </c>
      <c r="H546" s="230" t="s">
        <v>918</v>
      </c>
      <c r="I546" s="235">
        <f t="array" ref="I546">IFS(AND($B546&lt;&gt;"",$E546&lt;&gt;""),IF(INDEX(HistoricSummary!D:D,MATCH($C546,HistoricSummary!$A:$A,0),1)&lt;&gt;"",$E546*INDEX(HistoricSummary!D:D,MATCH($C546,HistoricSummary!$A:$A,0),1)+$G546,""),AND($B546&lt;&gt;"",$D546="COST",$G546&lt;0),$G546,TRUE,)</f>
        <v>265.3</v>
      </c>
      <c r="J546" s="235">
        <f t="array" ref="J546">IFS(AND($B546&lt;&gt;"",$E546&lt;&gt;""),IF(INDEX(HistoricSummary!E:E,MATCH($C546,HistoricSummary!$A:$A,0),1)&lt;&gt;"",$E546*INDEX(HistoricSummary!E:E,MATCH($C546,HistoricSummary!$A:$A,0),1)+$G546,""),AND($B546&lt;&gt;"",$D546="COST",$G546&lt;0),$G546,TRUE,)</f>
        <v>355.3156589</v>
      </c>
    </row>
    <row r="547">
      <c r="A547" s="184">
        <v>43473.0</v>
      </c>
      <c r="B547" s="19" t="s">
        <v>292</v>
      </c>
      <c r="C547" s="19" t="s">
        <v>293</v>
      </c>
      <c r="D547" s="19" t="s">
        <v>432</v>
      </c>
      <c r="E547" s="50"/>
      <c r="F547" s="243" t="str">
        <f t="shared" si="2"/>
        <v/>
      </c>
      <c r="G547" s="233">
        <v>-2.47</v>
      </c>
      <c r="H547" s="230" t="s">
        <v>919</v>
      </c>
      <c r="I547" s="235">
        <f t="array" ref="I547">IFS(AND($B547&lt;&gt;"",$E547&lt;&gt;""),IF(INDEX(HistoricSummary!D:D,MATCH($C547,HistoricSummary!$A:$A,0),1)&lt;&gt;"",$E547*INDEX(HistoricSummary!D:D,MATCH($C547,HistoricSummary!$A:$A,0),1)+$G547,""),AND($B547&lt;&gt;"",$D547="COST",$G547&lt;0),$G547,TRUE,)</f>
        <v>-2.47</v>
      </c>
      <c r="J547" s="235">
        <f t="array" ref="J547">IFS(AND($B547&lt;&gt;"",$E547&lt;&gt;""),IF(INDEX(HistoricSummary!E:E,MATCH($C547,HistoricSummary!$A:$A,0),1)&lt;&gt;"",$E547*INDEX(HistoricSummary!E:E,MATCH($C547,HistoricSummary!$A:$A,0),1)+$G547,""),AND($B547&lt;&gt;"",$D547="COST",$G547&lt;0),$G547,TRUE,)</f>
        <v>-2.47</v>
      </c>
    </row>
    <row r="548">
      <c r="A548" s="184">
        <v>43473.0</v>
      </c>
      <c r="B548" s="19" t="s">
        <v>292</v>
      </c>
      <c r="C548" s="19" t="s">
        <v>293</v>
      </c>
      <c r="D548" s="19" t="s">
        <v>414</v>
      </c>
      <c r="E548" s="50">
        <v>14.0</v>
      </c>
      <c r="F548" s="243">
        <f t="shared" si="2"/>
        <v>167.59</v>
      </c>
      <c r="G548" s="233">
        <v>-2346.26</v>
      </c>
      <c r="H548" s="230" t="s">
        <v>920</v>
      </c>
      <c r="I548" s="235">
        <f t="array" ref="I548">IFS(AND($B548&lt;&gt;"",$E548&lt;&gt;""),IF(INDEX(HistoricSummary!D:D,MATCH($C548,HistoricSummary!$A:$A,0),1)&lt;&gt;"",$E548*INDEX(HistoricSummary!D:D,MATCH($C548,HistoricSummary!$A:$A,0),1)+$G548,""),AND($B548&lt;&gt;"",$D548="COST",$G548&lt;0),$G548,TRUE,)</f>
        <v>264.18</v>
      </c>
      <c r="J548" s="235">
        <f t="array" ref="J548">IFS(AND($B548&lt;&gt;"",$E548&lt;&gt;""),IF(INDEX(HistoricSummary!E:E,MATCH($C548,HistoricSummary!$A:$A,0),1)&lt;&gt;"",$E548*INDEX(HistoricSummary!E:E,MATCH($C548,HistoricSummary!$A:$A,0),1)+$G548,""),AND($B548&lt;&gt;"",$D548="COST",$G548&lt;0),$G548,TRUE,)</f>
        <v>354.1956589</v>
      </c>
    </row>
    <row r="549">
      <c r="A549" s="184">
        <v>43473.0</v>
      </c>
      <c r="B549" s="19" t="s">
        <v>292</v>
      </c>
      <c r="C549" s="19" t="s">
        <v>293</v>
      </c>
      <c r="D549" s="19" t="s">
        <v>415</v>
      </c>
      <c r="E549" s="50">
        <v>-7.0</v>
      </c>
      <c r="F549" s="243">
        <f t="shared" si="2"/>
        <v>167.39</v>
      </c>
      <c r="G549" s="233">
        <v>1171.73</v>
      </c>
      <c r="H549" s="230" t="s">
        <v>921</v>
      </c>
      <c r="I549" s="235">
        <f t="array" ref="I549">IFS(AND($B549&lt;&gt;"",$E549&lt;&gt;""),IF(INDEX(HistoricSummary!D:D,MATCH($C549,HistoricSummary!$A:$A,0),1)&lt;&gt;"",$E549*INDEX(HistoricSummary!D:D,MATCH($C549,HistoricSummary!$A:$A,0),1)+$G549,""),AND($B549&lt;&gt;"",$D549="COST",$G549&lt;0),$G549,TRUE,)</f>
        <v>-133.49</v>
      </c>
      <c r="J549" s="235">
        <f t="array" ref="J549">IFS(AND($B549&lt;&gt;"",$E549&lt;&gt;""),IF(INDEX(HistoricSummary!E:E,MATCH($C549,HistoricSummary!$A:$A,0),1)&lt;&gt;"",$E549*INDEX(HistoricSummary!E:E,MATCH($C549,HistoricSummary!$A:$A,0),1)+$G549,""),AND($B549&lt;&gt;"",$D549="COST",$G549&lt;0),$G549,TRUE,)</f>
        <v>-178.4978295</v>
      </c>
    </row>
    <row r="550">
      <c r="A550" s="184">
        <v>43473.0</v>
      </c>
      <c r="B550" s="19" t="s">
        <v>292</v>
      </c>
      <c r="C550" s="19" t="s">
        <v>293</v>
      </c>
      <c r="D550" s="19" t="s">
        <v>432</v>
      </c>
      <c r="E550" s="50"/>
      <c r="F550" s="243" t="str">
        <f t="shared" si="2"/>
        <v/>
      </c>
      <c r="G550" s="233">
        <v>-2.23</v>
      </c>
      <c r="H550" s="230" t="s">
        <v>922</v>
      </c>
      <c r="I550" s="235">
        <f t="array" ref="I550">IFS(AND($B550&lt;&gt;"",$E550&lt;&gt;""),IF(INDEX(HistoricSummary!D:D,MATCH($C550,HistoricSummary!$A:$A,0),1)&lt;&gt;"",$E550*INDEX(HistoricSummary!D:D,MATCH($C550,HistoricSummary!$A:$A,0),1)+$G550,""),AND($B550&lt;&gt;"",$D550="COST",$G550&lt;0),$G550,TRUE,)</f>
        <v>-2.23</v>
      </c>
      <c r="J550" s="235">
        <f t="array" ref="J550">IFS(AND($B550&lt;&gt;"",$E550&lt;&gt;""),IF(INDEX(HistoricSummary!E:E,MATCH($C550,HistoricSummary!$A:$A,0),1)&lt;&gt;"",$E550*INDEX(HistoricSummary!E:E,MATCH($C550,HistoricSummary!$A:$A,0),1)+$G550,""),AND($B550&lt;&gt;"",$D550="COST",$G550&lt;0),$G550,TRUE,)</f>
        <v>-2.23</v>
      </c>
    </row>
    <row r="551">
      <c r="A551" s="184">
        <v>43473.0</v>
      </c>
      <c r="B551" s="19" t="s">
        <v>302</v>
      </c>
      <c r="C551" s="19" t="s">
        <v>303</v>
      </c>
      <c r="D551" s="19" t="s">
        <v>415</v>
      </c>
      <c r="E551" s="50">
        <v>-110.0</v>
      </c>
      <c r="F551" s="243">
        <f t="shared" si="2"/>
        <v>42.536</v>
      </c>
      <c r="G551" s="233">
        <v>4678.96</v>
      </c>
      <c r="H551" s="230" t="s">
        <v>923</v>
      </c>
      <c r="I551" s="235">
        <f t="array" ref="I551">IFS(AND($B551&lt;&gt;"",$E551&lt;&gt;""),IF(INDEX(HistoricSummary!D:D,MATCH($C551,HistoricSummary!$A:$A,0),1)&lt;&gt;"",$E551*INDEX(HistoricSummary!D:D,MATCH($C551,HistoricSummary!$A:$A,0),1)+$G551,""),AND($B551&lt;&gt;"",$D551="COST",$G551&lt;0),$G551,TRUE,)</f>
        <v>-1661.22</v>
      </c>
      <c r="J551" s="235">
        <f t="array" ref="J551">IFS(AND($B551&lt;&gt;"",$E551&lt;&gt;""),IF(INDEX(HistoricSummary!E:E,MATCH($C551,HistoricSummary!$A:$A,0),1)&lt;&gt;"",$E551*INDEX(HistoricSummary!E:E,MATCH($C551,HistoricSummary!$A:$A,0),1)+$G551,""),AND($B551&lt;&gt;"",$D551="COST",$G551&lt;0),$G551,TRUE,)</f>
        <v>-1154.579612</v>
      </c>
    </row>
    <row r="552">
      <c r="A552" s="184">
        <v>43473.0</v>
      </c>
      <c r="B552" s="19" t="s">
        <v>302</v>
      </c>
      <c r="C552" s="19" t="s">
        <v>303</v>
      </c>
      <c r="D552" s="19" t="s">
        <v>432</v>
      </c>
      <c r="E552" s="50"/>
      <c r="F552" s="243" t="str">
        <f t="shared" si="2"/>
        <v/>
      </c>
      <c r="G552" s="233">
        <v>-2.94</v>
      </c>
      <c r="H552" s="230" t="s">
        <v>924</v>
      </c>
      <c r="I552" s="235">
        <f t="array" ref="I552">IFS(AND($B552&lt;&gt;"",$E552&lt;&gt;""),IF(INDEX(HistoricSummary!D:D,MATCH($C552,HistoricSummary!$A:$A,0),1)&lt;&gt;"",$E552*INDEX(HistoricSummary!D:D,MATCH($C552,HistoricSummary!$A:$A,0),1)+$G552,""),AND($B552&lt;&gt;"",$D552="COST",$G552&lt;0),$G552,TRUE,)</f>
        <v>-2.94</v>
      </c>
      <c r="J552" s="235">
        <f t="array" ref="J552">IFS(AND($B552&lt;&gt;"",$E552&lt;&gt;""),IF(INDEX(HistoricSummary!E:E,MATCH($C552,HistoricSummary!$A:$A,0),1)&lt;&gt;"",$E552*INDEX(HistoricSummary!E:E,MATCH($C552,HistoricSummary!$A:$A,0),1)+$G552,""),AND($B552&lt;&gt;"",$D552="COST",$G552&lt;0),$G552,TRUE,)</f>
        <v>-2.94</v>
      </c>
    </row>
    <row r="553">
      <c r="A553" s="184">
        <v>43473.0</v>
      </c>
      <c r="B553" s="19" t="s">
        <v>298</v>
      </c>
      <c r="C553" s="19" t="s">
        <v>867</v>
      </c>
      <c r="D553" s="19" t="s">
        <v>432</v>
      </c>
      <c r="E553" s="50"/>
      <c r="F553" s="243" t="str">
        <f t="shared" si="2"/>
        <v/>
      </c>
      <c r="G553" s="233">
        <v>-4.42</v>
      </c>
      <c r="H553" s="230" t="s">
        <v>925</v>
      </c>
      <c r="I553" s="235">
        <f t="array" ref="I553">IFS(AND($B553&lt;&gt;"",$E553&lt;&gt;""),IF(INDEX(HistoricSummary!D:D,MATCH($C553,HistoricSummary!$A:$A,0),1)&lt;&gt;"",$E553*INDEX(HistoricSummary!D:D,MATCH($C553,HistoricSummary!$A:$A,0),1)+$G553,""),AND($B553&lt;&gt;"",$D553="COST",$G553&lt;0),$G553,TRUE,)</f>
        <v>-4.42</v>
      </c>
      <c r="J553" s="235">
        <f t="array" ref="J553">IFS(AND($B553&lt;&gt;"",$E553&lt;&gt;""),IF(INDEX(HistoricSummary!E:E,MATCH($C553,HistoricSummary!$A:$A,0),1)&lt;&gt;"",$E553*INDEX(HistoricSummary!E:E,MATCH($C553,HistoricSummary!$A:$A,0),1)+$G553,""),AND($B553&lt;&gt;"",$D553="COST",$G553&lt;0),$G553,TRUE,)</f>
        <v>-4.42</v>
      </c>
    </row>
    <row r="554">
      <c r="A554" s="184">
        <v>43473.0</v>
      </c>
      <c r="B554" s="19" t="s">
        <v>298</v>
      </c>
      <c r="C554" s="19" t="s">
        <v>867</v>
      </c>
      <c r="D554" s="19" t="s">
        <v>414</v>
      </c>
      <c r="E554" s="50">
        <v>3038.0</v>
      </c>
      <c r="F554" s="243">
        <f t="shared" si="2"/>
        <v>3.98817314</v>
      </c>
      <c r="G554" s="233">
        <v>-12116.07</v>
      </c>
      <c r="H554" s="230" t="s">
        <v>926</v>
      </c>
      <c r="I554" s="235">
        <f t="array" ref="I554">IFS(AND($B554&lt;&gt;"",$E554&lt;&gt;""),IF(INDEX(HistoricSummary!D:D,MATCH($C554,HistoricSummary!$A:$A,0),1)&lt;&gt;"",$E554*INDEX(HistoricSummary!D:D,MATCH($C554,HistoricSummary!$A:$A,0),1)+$G554,""),AND($B554&lt;&gt;"",$D554="COST",$G554&lt;0),$G554,TRUE,)</f>
        <v>2906.2324</v>
      </c>
      <c r="J554" s="235">
        <f t="array" ref="J554">IFS(AND($B554&lt;&gt;"",$E554&lt;&gt;""),IF(INDEX(HistoricSummary!E:E,MATCH($C554,HistoricSummary!$A:$A,0),1)&lt;&gt;"",$E554*INDEX(HistoricSummary!E:E,MATCH($C554,HistoricSummary!$A:$A,0),1)+$G554,""),AND($B554&lt;&gt;"",$D554="COST",$G554&lt;0),$G554,TRUE,)</f>
        <v>3682.884147</v>
      </c>
    </row>
    <row r="555">
      <c r="A555" s="184">
        <v>43473.0</v>
      </c>
      <c r="B555" s="19" t="s">
        <v>292</v>
      </c>
      <c r="C555" s="19" t="s">
        <v>293</v>
      </c>
      <c r="D555" s="19" t="s">
        <v>414</v>
      </c>
      <c r="E555" s="50">
        <v>14.0</v>
      </c>
      <c r="F555" s="243">
        <f t="shared" si="2"/>
        <v>167.5</v>
      </c>
      <c r="G555" s="233">
        <v>-2345.0</v>
      </c>
      <c r="H555" s="230" t="s">
        <v>927</v>
      </c>
      <c r="I555" s="235">
        <f t="array" ref="I555">IFS(AND($B555&lt;&gt;"",$E555&lt;&gt;""),IF(INDEX(HistoricSummary!D:D,MATCH($C555,HistoricSummary!$A:$A,0),1)&lt;&gt;"",$E555*INDEX(HistoricSummary!D:D,MATCH($C555,HistoricSummary!$A:$A,0),1)+$G555,""),AND($B555&lt;&gt;"",$D555="COST",$G555&lt;0),$G555,TRUE,)</f>
        <v>265.44</v>
      </c>
      <c r="J555" s="235">
        <f t="array" ref="J555">IFS(AND($B555&lt;&gt;"",$E555&lt;&gt;""),IF(INDEX(HistoricSummary!E:E,MATCH($C555,HistoricSummary!$A:$A,0),1)&lt;&gt;"",$E555*INDEX(HistoricSummary!E:E,MATCH($C555,HistoricSummary!$A:$A,0),1)+$G555,""),AND($B555&lt;&gt;"",$D555="COST",$G555&lt;0),$G555,TRUE,)</f>
        <v>355.4556589</v>
      </c>
    </row>
    <row r="556">
      <c r="A556" s="184">
        <v>43469.0</v>
      </c>
      <c r="B556" s="19"/>
      <c r="C556" s="19"/>
      <c r="D556" s="19" t="s">
        <v>454</v>
      </c>
      <c r="E556" s="50"/>
      <c r="F556" s="243" t="str">
        <f t="shared" si="2"/>
        <v/>
      </c>
      <c r="G556" s="233">
        <v>-1500.0</v>
      </c>
      <c r="H556" s="230" t="s">
        <v>484</v>
      </c>
      <c r="I556" s="235" t="str">
        <f t="array" ref="I556">IFS(AND($B556&lt;&gt;"",$E556&lt;&gt;""),IF(INDEX(HistoricSummary!D:D,MATCH($C556,HistoricSummary!$A:$A,0),1)&lt;&gt;"",$E556*INDEX(HistoricSummary!D:D,MATCH($C556,HistoricSummary!$A:$A,0),1)+$G556,""),AND($B556&lt;&gt;"",$D556="COST",$G556&lt;0),$G556,TRUE,)</f>
        <v/>
      </c>
      <c r="J556" s="235" t="str">
        <f t="array" ref="J556">IFS(AND($B556&lt;&gt;"",$E556&lt;&gt;""),IF(INDEX(HistoricSummary!E:E,MATCH($C556,HistoricSummary!$A:$A,0),1)&lt;&gt;"",$E556*INDEX(HistoricSummary!E:E,MATCH($C556,HistoricSummary!$A:$A,0),1)+$G556,""),AND($B556&lt;&gt;"",$D556="COST",$G556&lt;0),$G556,TRUE,)</f>
        <v/>
      </c>
    </row>
    <row r="557">
      <c r="A557" s="184">
        <v>43467.0</v>
      </c>
      <c r="B557" s="19" t="s">
        <v>283</v>
      </c>
      <c r="C557" s="19" t="s">
        <v>286</v>
      </c>
      <c r="D557" s="19" t="s">
        <v>414</v>
      </c>
      <c r="E557" s="50">
        <v>300.0</v>
      </c>
      <c r="F557" s="243">
        <f t="shared" si="2"/>
        <v>6.82</v>
      </c>
      <c r="G557" s="233">
        <v>-2046.0</v>
      </c>
      <c r="H557" s="230" t="s">
        <v>928</v>
      </c>
      <c r="I557" s="235">
        <f t="array" ref="I557">IFS(AND($B557&lt;&gt;"",$E557&lt;&gt;""),IF(INDEX(HistoricSummary!D:D,MATCH($C557,HistoricSummary!$A:$A,0),1)&lt;&gt;"",$E557*INDEX(HistoricSummary!D:D,MATCH($C557,HistoricSummary!$A:$A,0),1)+$G557,""),AND($B557&lt;&gt;"",$D557="COST",$G557&lt;0),$G557,TRUE,)</f>
        <v>-98.1</v>
      </c>
      <c r="J557" s="235">
        <f t="array" ref="J557">IFS(AND($B557&lt;&gt;"",$E557&lt;&gt;""),IF(INDEX(HistoricSummary!E:E,MATCH($C557,HistoricSummary!$A:$A,0),1)&lt;&gt;"",$E557*INDEX(HistoricSummary!E:E,MATCH($C557,HistoricSummary!$A:$A,0),1)+$G557,""),AND($B557&lt;&gt;"",$D557="COST",$G557&lt;0),$G557,TRUE,)</f>
        <v>-110.5744186</v>
      </c>
    </row>
    <row r="558">
      <c r="A558" s="184">
        <v>43467.0</v>
      </c>
      <c r="B558" s="19" t="s">
        <v>302</v>
      </c>
      <c r="C558" s="19" t="s">
        <v>303</v>
      </c>
      <c r="D558" s="19" t="s">
        <v>414</v>
      </c>
      <c r="E558" s="50">
        <v>74.0</v>
      </c>
      <c r="F558" s="243">
        <f t="shared" si="2"/>
        <v>41.15</v>
      </c>
      <c r="G558" s="233">
        <v>-3045.1</v>
      </c>
      <c r="H558" s="230" t="s">
        <v>929</v>
      </c>
      <c r="I558" s="235">
        <f t="array" ref="I558">IFS(AND($B558&lt;&gt;"",$E558&lt;&gt;""),IF(INDEX(HistoricSummary!D:D,MATCH($C558,HistoricSummary!$A:$A,0),1)&lt;&gt;"",$E558*INDEX(HistoricSummary!D:D,MATCH($C558,HistoricSummary!$A:$A,0),1)+$G558,""),AND($B558&lt;&gt;"",$D558="COST",$G558&lt;0),$G558,TRUE,)</f>
        <v>1220.112</v>
      </c>
      <c r="J558" s="235">
        <f t="array" ref="J558">IFS(AND($B558&lt;&gt;"",$E558&lt;&gt;""),IF(INDEX(HistoricSummary!E:E,MATCH($C558,HistoricSummary!$A:$A,0),1)&lt;&gt;"",$E558*INDEX(HistoricSummary!E:E,MATCH($C558,HistoricSummary!$A:$A,0),1)+$G558,""),AND($B558&lt;&gt;"",$D558="COST",$G558&lt;0),$G558,TRUE,)</f>
        <v>879.2811938</v>
      </c>
    </row>
    <row r="559">
      <c r="A559" s="184">
        <v>43465.0</v>
      </c>
      <c r="B559" s="229"/>
      <c r="C559" s="230"/>
      <c r="D559" s="231" t="s">
        <v>432</v>
      </c>
      <c r="E559" s="231"/>
      <c r="F559" s="232"/>
      <c r="G559" s="233">
        <v>-534.69</v>
      </c>
      <c r="H559" s="230" t="s">
        <v>930</v>
      </c>
      <c r="I559" s="235" t="str">
        <f t="array" ref="I559">IFS(AND($B559&lt;&gt;"",$E559&lt;&gt;""),IF(INDEX(HistoricSummary!D:D,MATCH($C559,HistoricSummary!$A:$A,0),1)&lt;&gt;"",$E559*INDEX(HistoricSummary!D:D,MATCH($C559,HistoricSummary!$A:$A,0),1)+$G559,""),AND($B559&lt;&gt;"",$D559="COST",$G559&lt;0),$G559,TRUE,)</f>
        <v/>
      </c>
      <c r="J559" s="235" t="str">
        <f t="array" ref="J559">IFS(AND($B559&lt;&gt;"",$E559&lt;&gt;""),IF(INDEX(HistoricSummary!E:E,MATCH($C559,HistoricSummary!$A:$A,0),1)&lt;&gt;"",$E559*INDEX(HistoricSummary!E:E,MATCH($C559,HistoricSummary!$A:$A,0),1)+$G559,""),AND($B559&lt;&gt;"",$D559="COST",$G559&lt;0),$G559,TRUE,)</f>
        <v/>
      </c>
    </row>
    <row r="560">
      <c r="A560" s="184">
        <v>43462.0</v>
      </c>
      <c r="B560" s="229" t="s">
        <v>298</v>
      </c>
      <c r="C560" s="230" t="s">
        <v>867</v>
      </c>
      <c r="D560" s="231" t="s">
        <v>475</v>
      </c>
      <c r="E560" s="231"/>
      <c r="F560" s="232"/>
      <c r="G560" s="233">
        <v>4867.15</v>
      </c>
      <c r="H560" s="230" t="s">
        <v>931</v>
      </c>
      <c r="I560" s="235" t="str">
        <f t="array" ref="I560">IFS(AND($B560&lt;&gt;"",$E560&lt;&gt;""),IF(INDEX(HistoricSummary!D:D,MATCH($C560,HistoricSummary!$A:$A,0),1)&lt;&gt;"",$E560*INDEX(HistoricSummary!D:D,MATCH($C560,HistoricSummary!$A:$A,0),1)+$G560,""),AND($B560&lt;&gt;"",$D560="COST",$G560&lt;0),$G560,TRUE,)</f>
        <v/>
      </c>
      <c r="J560" s="235" t="str">
        <f t="array" ref="J560">IFS(AND($B560&lt;&gt;"",$E560&lt;&gt;""),IF(INDEX(HistoricSummary!E:E,MATCH($C560,HistoricSummary!$A:$A,0),1)&lt;&gt;"",$E560*INDEX(HistoricSummary!E:E,MATCH($C560,HistoricSummary!$A:$A,0),1)+$G560,""),AND($B560&lt;&gt;"",$D560="COST",$G560&lt;0),$G560,TRUE,)</f>
        <v/>
      </c>
    </row>
    <row r="561">
      <c r="A561" s="184">
        <v>43462.0</v>
      </c>
      <c r="B561" s="229" t="s">
        <v>298</v>
      </c>
      <c r="C561" s="230" t="s">
        <v>867</v>
      </c>
      <c r="D561" s="231" t="s">
        <v>475</v>
      </c>
      <c r="E561" s="231"/>
      <c r="F561" s="232"/>
      <c r="G561" s="233">
        <v>-618.49</v>
      </c>
      <c r="H561" s="230" t="s">
        <v>932</v>
      </c>
      <c r="I561" s="235" t="str">
        <f t="array" ref="I561">IFS(AND($B561&lt;&gt;"",$E561&lt;&gt;""),IF(INDEX(HistoricSummary!D:D,MATCH($C561,HistoricSummary!$A:$A,0),1)&lt;&gt;"",$E561*INDEX(HistoricSummary!D:D,MATCH($C561,HistoricSummary!$A:$A,0),1)+$G561,""),AND($B561&lt;&gt;"",$D561="COST",$G561&lt;0),$G561,TRUE,)</f>
        <v/>
      </c>
      <c r="J561" s="235" t="str">
        <f t="array" ref="J561">IFS(AND($B561&lt;&gt;"",$E561&lt;&gt;""),IF(INDEX(HistoricSummary!E:E,MATCH($C561,HistoricSummary!$A:$A,0),1)&lt;&gt;"",$E561*INDEX(HistoricSummary!E:E,MATCH($C561,HistoricSummary!$A:$A,0),1)+$G561,""),AND($B561&lt;&gt;"",$D561="COST",$G561&lt;0),$G561,TRUE,)</f>
        <v/>
      </c>
    </row>
    <row r="562">
      <c r="A562" s="184">
        <v>43461.0</v>
      </c>
      <c r="B562" s="19" t="s">
        <v>292</v>
      </c>
      <c r="C562" s="19" t="s">
        <v>293</v>
      </c>
      <c r="D562" s="19" t="s">
        <v>415</v>
      </c>
      <c r="E562" s="50">
        <v>-2.0</v>
      </c>
      <c r="F562" s="243">
        <f t="shared" ref="F562:F572" si="3">IF(E562,-G562/E562,"")</f>
        <v>166.98</v>
      </c>
      <c r="G562" s="233">
        <v>333.96</v>
      </c>
      <c r="H562" s="230" t="s">
        <v>933</v>
      </c>
      <c r="I562" s="235">
        <f t="array" ref="I562">IFS(AND($B562&lt;&gt;"",$E562&lt;&gt;""),IF(INDEX(HistoricSummary!D:D,MATCH($C562,HistoricSummary!$A:$A,0),1)&lt;&gt;"",$E562*INDEX(HistoricSummary!D:D,MATCH($C562,HistoricSummary!$A:$A,0),1)+$G562,""),AND($B562&lt;&gt;"",$D562="COST",$G562&lt;0),$G562,TRUE,)</f>
        <v>-38.96</v>
      </c>
      <c r="J562" s="235">
        <f t="array" ref="J562">IFS(AND($B562&lt;&gt;"",$E562&lt;&gt;""),IF(INDEX(HistoricSummary!E:E,MATCH($C562,HistoricSummary!$A:$A,0),1)&lt;&gt;"",$E562*INDEX(HistoricSummary!E:E,MATCH($C562,HistoricSummary!$A:$A,0),1)+$G562,""),AND($B562&lt;&gt;"",$D562="COST",$G562&lt;0),$G562,TRUE,)</f>
        <v>-51.81937984</v>
      </c>
    </row>
    <row r="563">
      <c r="A563" s="184">
        <v>43461.0</v>
      </c>
      <c r="B563" s="19" t="s">
        <v>292</v>
      </c>
      <c r="C563" s="19" t="s">
        <v>293</v>
      </c>
      <c r="D563" s="19" t="s">
        <v>415</v>
      </c>
      <c r="E563" s="50">
        <v>-5.0</v>
      </c>
      <c r="F563" s="243">
        <f t="shared" si="3"/>
        <v>166.98</v>
      </c>
      <c r="G563" s="233">
        <v>834.9</v>
      </c>
      <c r="H563" s="230" t="s">
        <v>934</v>
      </c>
      <c r="I563" s="235">
        <f t="array" ref="I563">IFS(AND($B563&lt;&gt;"",$E563&lt;&gt;""),IF(INDEX(HistoricSummary!D:D,MATCH($C563,HistoricSummary!$A:$A,0),1)&lt;&gt;"",$E563*INDEX(HistoricSummary!D:D,MATCH($C563,HistoricSummary!$A:$A,0),1)+$G563,""),AND($B563&lt;&gt;"",$D563="COST",$G563&lt;0),$G563,TRUE,)</f>
        <v>-97.4</v>
      </c>
      <c r="J563" s="235">
        <f t="array" ref="J563">IFS(AND($B563&lt;&gt;"",$E563&lt;&gt;""),IF(INDEX(HistoricSummary!E:E,MATCH($C563,HistoricSummary!$A:$A,0),1)&lt;&gt;"",$E563*INDEX(HistoricSummary!E:E,MATCH($C563,HistoricSummary!$A:$A,0),1)+$G563,""),AND($B563&lt;&gt;"",$D563="COST",$G563&lt;0),$G563,TRUE,)</f>
        <v>-129.5484496</v>
      </c>
    </row>
    <row r="564">
      <c r="A564" s="184">
        <v>43461.0</v>
      </c>
      <c r="B564" s="19" t="s">
        <v>292</v>
      </c>
      <c r="C564" s="19" t="s">
        <v>293</v>
      </c>
      <c r="D564" s="19" t="s">
        <v>415</v>
      </c>
      <c r="E564" s="50">
        <v>-9.0</v>
      </c>
      <c r="F564" s="243">
        <f t="shared" si="3"/>
        <v>166.95</v>
      </c>
      <c r="G564" s="233">
        <v>1502.55</v>
      </c>
      <c r="H564" s="230" t="s">
        <v>935</v>
      </c>
      <c r="I564" s="235">
        <f t="array" ref="I564">IFS(AND($B564&lt;&gt;"",$E564&lt;&gt;""),IF(INDEX(HistoricSummary!D:D,MATCH($C564,HistoricSummary!$A:$A,0),1)&lt;&gt;"",$E564*INDEX(HistoricSummary!D:D,MATCH($C564,HistoricSummary!$A:$A,0),1)+$G564,""),AND($B564&lt;&gt;"",$D564="COST",$G564&lt;0),$G564,TRUE,)</f>
        <v>-175.59</v>
      </c>
      <c r="J564" s="235">
        <f t="array" ref="J564">IFS(AND($B564&lt;&gt;"",$E564&lt;&gt;""),IF(INDEX(HistoricSummary!E:E,MATCH($C564,HistoricSummary!$A:$A,0),1)&lt;&gt;"",$E564*INDEX(HistoricSummary!E:E,MATCH($C564,HistoricSummary!$A:$A,0),1)+$G564,""),AND($B564&lt;&gt;"",$D564="COST",$G564&lt;0),$G564,TRUE,)</f>
        <v>-233.4572093</v>
      </c>
    </row>
    <row r="565">
      <c r="A565" s="184">
        <v>43461.0</v>
      </c>
      <c r="B565" s="19" t="s">
        <v>288</v>
      </c>
      <c r="C565" s="19" t="s">
        <v>289</v>
      </c>
      <c r="D565" s="19" t="s">
        <v>415</v>
      </c>
      <c r="E565" s="50">
        <v>-11.0</v>
      </c>
      <c r="F565" s="243">
        <f t="shared" si="3"/>
        <v>106.6</v>
      </c>
      <c r="G565" s="233">
        <v>1172.6</v>
      </c>
      <c r="H565" s="230" t="s">
        <v>936</v>
      </c>
      <c r="I565" s="235">
        <f t="array" ref="I565">IFS(AND($B565&lt;&gt;"",$E565&lt;&gt;""),IF(INDEX(HistoricSummary!D:D,MATCH($C565,HistoricSummary!$A:$A,0),1)&lt;&gt;"",$E565*INDEX(HistoricSummary!D:D,MATCH($C565,HistoricSummary!$A:$A,0),1)+$G565,""),AND($B565&lt;&gt;"",$D565="COST",$G565&lt;0),$G565,TRUE,)</f>
        <v>-480.48</v>
      </c>
      <c r="J565" s="235">
        <f t="array" ref="J565">IFS(AND($B565&lt;&gt;"",$E565&lt;&gt;""),IF(INDEX(HistoricSummary!E:E,MATCH($C565,HistoricSummary!$A:$A,0),1)&lt;&gt;"",$E565*INDEX(HistoricSummary!E:E,MATCH($C565,HistoricSummary!$A:$A,0),1)+$G565,""),AND($B565&lt;&gt;"",$D565="COST",$G565&lt;0),$G565,TRUE,)</f>
        <v>-418.3739147</v>
      </c>
    </row>
    <row r="566">
      <c r="A566" s="184">
        <v>43461.0</v>
      </c>
      <c r="B566" s="19" t="s">
        <v>298</v>
      </c>
      <c r="C566" s="19" t="s">
        <v>867</v>
      </c>
      <c r="D566" s="19" t="s">
        <v>432</v>
      </c>
      <c r="E566" s="50"/>
      <c r="F566" s="243" t="str">
        <f t="shared" si="3"/>
        <v/>
      </c>
      <c r="G566" s="233">
        <v>-2.28</v>
      </c>
      <c r="H566" s="230" t="s">
        <v>604</v>
      </c>
      <c r="I566" s="235">
        <f t="array" ref="I566">IFS(AND($B566&lt;&gt;"",$E566&lt;&gt;""),IF(INDEX(HistoricSummary!D:D,MATCH($C566,HistoricSummary!$A:$A,0),1)&lt;&gt;"",$E566*INDEX(HistoricSummary!D:D,MATCH($C566,HistoricSummary!$A:$A,0),1)+$G566,""),AND($B566&lt;&gt;"",$D566="COST",$G566&lt;0),$G566,TRUE,)</f>
        <v>-2.28</v>
      </c>
      <c r="J566" s="235">
        <f t="array" ref="J566">IFS(AND($B566&lt;&gt;"",$E566&lt;&gt;""),IF(INDEX(HistoricSummary!E:E,MATCH($C566,HistoricSummary!$A:$A,0),1)&lt;&gt;"",$E566*INDEX(HistoricSummary!E:E,MATCH($C566,HistoricSummary!$A:$A,0),1)+$G566,""),AND($B566&lt;&gt;"",$D566="COST",$G566&lt;0),$G566,TRUE,)</f>
        <v>-2.28</v>
      </c>
    </row>
    <row r="567">
      <c r="A567" s="184">
        <v>43461.0</v>
      </c>
      <c r="B567" s="19" t="s">
        <v>298</v>
      </c>
      <c r="C567" s="19" t="s">
        <v>867</v>
      </c>
      <c r="D567" s="19" t="s">
        <v>415</v>
      </c>
      <c r="E567" s="50">
        <v>-355.0</v>
      </c>
      <c r="F567" s="243">
        <f t="shared" si="3"/>
        <v>3.958028169</v>
      </c>
      <c r="G567" s="233">
        <v>1405.1</v>
      </c>
      <c r="H567" s="230" t="s">
        <v>937</v>
      </c>
      <c r="I567" s="235">
        <f t="array" ref="I567">IFS(AND($B567&lt;&gt;"",$E567&lt;&gt;""),IF(INDEX(HistoricSummary!D:D,MATCH($C567,HistoricSummary!$A:$A,0),1)&lt;&gt;"",$E567*INDEX(HistoricSummary!D:D,MATCH($C567,HistoricSummary!$A:$A,0),1)+$G567,""),AND($B567&lt;&gt;"",$D567="COST",$G567&lt;0),$G567,TRUE,)</f>
        <v>-350.304</v>
      </c>
      <c r="J567" s="235">
        <f t="array" ref="J567">IFS(AND($B567&lt;&gt;"",$E567&lt;&gt;""),IF(INDEX(HistoricSummary!E:E,MATCH($C567,HistoricSummary!$A:$A,0),1)&lt;&gt;"",$E567*INDEX(HistoricSummary!E:E,MATCH($C567,HistoricSummary!$A:$A,0),1)+$G567,""),AND($B567&lt;&gt;"",$D567="COST",$G567&lt;0),$G567,TRUE,)</f>
        <v>-441.0582364</v>
      </c>
    </row>
    <row r="568">
      <c r="A568" s="184">
        <v>43461.0</v>
      </c>
      <c r="B568" s="19" t="s">
        <v>298</v>
      </c>
      <c r="C568" s="19" t="s">
        <v>867</v>
      </c>
      <c r="D568" s="19" t="s">
        <v>432</v>
      </c>
      <c r="E568" s="50"/>
      <c r="F568" s="243" t="str">
        <f t="shared" si="3"/>
        <v/>
      </c>
      <c r="G568" s="233">
        <v>-0.55</v>
      </c>
      <c r="H568" s="230" t="s">
        <v>938</v>
      </c>
      <c r="I568" s="235">
        <f t="array" ref="I568">IFS(AND($B568&lt;&gt;"",$E568&lt;&gt;""),IF(INDEX(HistoricSummary!D:D,MATCH($C568,HistoricSummary!$A:$A,0),1)&lt;&gt;"",$E568*INDEX(HistoricSummary!D:D,MATCH($C568,HistoricSummary!$A:$A,0),1)+$G568,""),AND($B568&lt;&gt;"",$D568="COST",$G568&lt;0),$G568,TRUE,)</f>
        <v>-0.55</v>
      </c>
      <c r="J568" s="235">
        <f t="array" ref="J568">IFS(AND($B568&lt;&gt;"",$E568&lt;&gt;""),IF(INDEX(HistoricSummary!E:E,MATCH($C568,HistoricSummary!$A:$A,0),1)&lt;&gt;"",$E568*INDEX(HistoricSummary!E:E,MATCH($C568,HistoricSummary!$A:$A,0),1)+$G568,""),AND($B568&lt;&gt;"",$D568="COST",$G568&lt;0),$G568,TRUE,)</f>
        <v>-0.55</v>
      </c>
    </row>
    <row r="569">
      <c r="A569" s="184">
        <v>43461.0</v>
      </c>
      <c r="B569" s="19" t="s">
        <v>298</v>
      </c>
      <c r="C569" s="19" t="s">
        <v>867</v>
      </c>
      <c r="D569" s="19" t="s">
        <v>415</v>
      </c>
      <c r="E569" s="50">
        <v>-691.0</v>
      </c>
      <c r="F569" s="243">
        <f t="shared" si="3"/>
        <v>3.95577424</v>
      </c>
      <c r="G569" s="233">
        <v>2733.44</v>
      </c>
      <c r="H569" s="230" t="s">
        <v>939</v>
      </c>
      <c r="I569" s="235">
        <f t="array" ref="I569">IFS(AND($B569&lt;&gt;"",$E569&lt;&gt;""),IF(INDEX(HistoricSummary!D:D,MATCH($C569,HistoricSummary!$A:$A,0),1)&lt;&gt;"",$E569*INDEX(HistoricSummary!D:D,MATCH($C569,HistoricSummary!$A:$A,0),1)+$G569,""),AND($B569&lt;&gt;"",$D569="COST",$G569&lt;0),$G569,TRUE,)</f>
        <v>-683.4168</v>
      </c>
      <c r="J569" s="235">
        <f t="array" ref="J569">IFS(AND($B569&lt;&gt;"",$E569&lt;&gt;""),IF(INDEX(HistoricSummary!E:E,MATCH($C569,HistoricSummary!$A:$A,0),1)&lt;&gt;"",$E569*INDEX(HistoricSummary!E:E,MATCH($C569,HistoricSummary!$A:$A,0),1)+$G569,""),AND($B569&lt;&gt;"",$D569="COST",$G569&lt;0),$G569,TRUE,)</f>
        <v>-860.0680039</v>
      </c>
    </row>
    <row r="570">
      <c r="A570" s="184">
        <v>43455.0</v>
      </c>
      <c r="B570" s="19" t="s">
        <v>288</v>
      </c>
      <c r="C570" s="19" t="s">
        <v>289</v>
      </c>
      <c r="D570" s="19" t="s">
        <v>415</v>
      </c>
      <c r="E570" s="50">
        <v>-10.0</v>
      </c>
      <c r="F570" s="243">
        <f t="shared" si="3"/>
        <v>105.65</v>
      </c>
      <c r="G570" s="233">
        <v>1056.5</v>
      </c>
      <c r="H570" s="230" t="s">
        <v>940</v>
      </c>
      <c r="I570" s="235">
        <f t="array" ref="I570">IFS(AND($B570&lt;&gt;"",$E570&lt;&gt;""),IF(INDEX(HistoricSummary!D:D,MATCH($C570,HistoricSummary!$A:$A,0),1)&lt;&gt;"",$E570*INDEX(HistoricSummary!D:D,MATCH($C570,HistoricSummary!$A:$A,0),1)+$G570,""),AND($B570&lt;&gt;"",$D570="COST",$G570&lt;0),$G570,TRUE,)</f>
        <v>-446.3</v>
      </c>
      <c r="J570" s="235">
        <f t="array" ref="J570">IFS(AND($B570&lt;&gt;"",$E570&lt;&gt;""),IF(INDEX(HistoricSummary!E:E,MATCH($C570,HistoricSummary!$A:$A,0),1)&lt;&gt;"",$E570*INDEX(HistoricSummary!E:E,MATCH($C570,HistoricSummary!$A:$A,0),1)+$G570,""),AND($B570&lt;&gt;"",$D570="COST",$G570&lt;0),$G570,TRUE,)</f>
        <v>-389.8399225</v>
      </c>
    </row>
    <row r="571">
      <c r="A571" s="184">
        <v>43455.0</v>
      </c>
      <c r="B571" s="19" t="s">
        <v>292</v>
      </c>
      <c r="C571" s="19" t="s">
        <v>293</v>
      </c>
      <c r="D571" s="19" t="s">
        <v>415</v>
      </c>
      <c r="E571" s="50">
        <v>-10.0</v>
      </c>
      <c r="F571" s="243">
        <f t="shared" si="3"/>
        <v>166.55</v>
      </c>
      <c r="G571" s="233">
        <v>1665.5</v>
      </c>
      <c r="H571" s="230" t="s">
        <v>941</v>
      </c>
      <c r="I571" s="235">
        <f t="array" ref="I571">IFS(AND($B571&lt;&gt;"",$E571&lt;&gt;""),IF(INDEX(HistoricSummary!D:D,MATCH($C571,HistoricSummary!$A:$A,0),1)&lt;&gt;"",$E571*INDEX(HistoricSummary!D:D,MATCH($C571,HistoricSummary!$A:$A,0),1)+$G571,""),AND($B571&lt;&gt;"",$D571="COST",$G571&lt;0),$G571,TRUE,)</f>
        <v>-199.1</v>
      </c>
      <c r="J571" s="235">
        <f t="array" ref="J571">IFS(AND($B571&lt;&gt;"",$E571&lt;&gt;""),IF(INDEX(HistoricSummary!E:E,MATCH($C571,HistoricSummary!$A:$A,0),1)&lt;&gt;"",$E571*INDEX(HistoricSummary!E:E,MATCH($C571,HistoricSummary!$A:$A,0),1)+$G571,""),AND($B571&lt;&gt;"",$D571="COST",$G571&lt;0),$G571,TRUE,)</f>
        <v>-263.3968992</v>
      </c>
    </row>
    <row r="572">
      <c r="A572" s="184">
        <v>43454.0</v>
      </c>
      <c r="B572" s="19" t="s">
        <v>302</v>
      </c>
      <c r="C572" s="19" t="s">
        <v>303</v>
      </c>
      <c r="D572" s="19" t="s">
        <v>414</v>
      </c>
      <c r="E572" s="50">
        <v>100.0</v>
      </c>
      <c r="F572" s="243">
        <f t="shared" si="3"/>
        <v>41.63</v>
      </c>
      <c r="G572" s="233">
        <v>-4163.0</v>
      </c>
      <c r="H572" s="230" t="s">
        <v>942</v>
      </c>
      <c r="I572" s="235">
        <f t="array" ref="I572">IFS(AND($B572&lt;&gt;"",$E572&lt;&gt;""),IF(INDEX(HistoricSummary!D:D,MATCH($C572,HistoricSummary!$A:$A,0),1)&lt;&gt;"",$E572*INDEX(HistoricSummary!D:D,MATCH($C572,HistoricSummary!$A:$A,0),1)+$G572,""),AND($B572&lt;&gt;"",$D572="COST",$G572&lt;0),$G572,TRUE,)</f>
        <v>1600.8</v>
      </c>
      <c r="J572" s="235">
        <f t="array" ref="J572">IFS(AND($B572&lt;&gt;"",$E572&lt;&gt;""),IF(INDEX(HistoricSummary!E:E,MATCH($C572,HistoricSummary!$A:$A,0),1)&lt;&gt;"",$E572*INDEX(HistoricSummary!E:E,MATCH($C572,HistoricSummary!$A:$A,0),1)+$G572,""),AND($B572&lt;&gt;"",$D572="COST",$G572&lt;0),$G572,TRUE,)</f>
        <v>1140.217829</v>
      </c>
    </row>
    <row r="573">
      <c r="A573" s="184">
        <v>43454.0</v>
      </c>
      <c r="B573" s="19" t="s">
        <v>302</v>
      </c>
      <c r="C573" s="19" t="s">
        <v>303</v>
      </c>
      <c r="D573" s="19" t="s">
        <v>432</v>
      </c>
      <c r="E573" s="50"/>
      <c r="F573" s="232"/>
      <c r="G573" s="233">
        <v>-2.83</v>
      </c>
      <c r="H573" s="230" t="s">
        <v>943</v>
      </c>
      <c r="I573" s="235">
        <f t="array" ref="I573">IFS(AND($B573&lt;&gt;"",$E573&lt;&gt;""),IF(INDEX(HistoricSummary!D:D,MATCH($C573,HistoricSummary!$A:$A,0),1)&lt;&gt;"",$E573*INDEX(HistoricSummary!D:D,MATCH($C573,HistoricSummary!$A:$A,0),1)+$G573,""),AND($B573&lt;&gt;"",$D573="COST",$G573&lt;0),$G573,TRUE,)</f>
        <v>-2.83</v>
      </c>
      <c r="J573" s="235">
        <f t="array" ref="J573">IFS(AND($B573&lt;&gt;"",$E573&lt;&gt;""),IF(INDEX(HistoricSummary!E:E,MATCH($C573,HistoricSummary!$A:$A,0),1)&lt;&gt;"",$E573*INDEX(HistoricSummary!E:E,MATCH($C573,HistoricSummary!$A:$A,0),1)+$G573,""),AND($B573&lt;&gt;"",$D573="COST",$G573&lt;0),$G573,TRUE,)</f>
        <v>-2.83</v>
      </c>
    </row>
    <row r="574">
      <c r="A574" s="184">
        <v>43454.0</v>
      </c>
      <c r="B574" s="19" t="s">
        <v>298</v>
      </c>
      <c r="C574" s="19" t="s">
        <v>867</v>
      </c>
      <c r="D574" s="19" t="s">
        <v>432</v>
      </c>
      <c r="E574" s="50"/>
      <c r="F574" s="232"/>
      <c r="G574" s="233">
        <v>-2.43</v>
      </c>
      <c r="H574" s="230" t="s">
        <v>944</v>
      </c>
      <c r="I574" s="235">
        <f t="array" ref="I574">IFS(AND($B574&lt;&gt;"",$E574&lt;&gt;""),IF(INDEX(HistoricSummary!D:D,MATCH($C574,HistoricSummary!$A:$A,0),1)&lt;&gt;"",$E574*INDEX(HistoricSummary!D:D,MATCH($C574,HistoricSummary!$A:$A,0),1)+$G574,""),AND($B574&lt;&gt;"",$D574="COST",$G574&lt;0),$G574,TRUE,)</f>
        <v>-2.43</v>
      </c>
      <c r="J574" s="235">
        <f t="array" ref="J574">IFS(AND($B574&lt;&gt;"",$E574&lt;&gt;""),IF(INDEX(HistoricSummary!E:E,MATCH($C574,HistoricSummary!$A:$A,0),1)&lt;&gt;"",$E574*INDEX(HistoricSummary!E:E,MATCH($C574,HistoricSummary!$A:$A,0),1)+$G574,""),AND($B574&lt;&gt;"",$D574="COST",$G574&lt;0),$G574,TRUE,)</f>
        <v>-2.43</v>
      </c>
    </row>
    <row r="575">
      <c r="A575" s="184">
        <v>43454.0</v>
      </c>
      <c r="B575" s="19" t="s">
        <v>298</v>
      </c>
      <c r="C575" s="19" t="s">
        <v>867</v>
      </c>
      <c r="D575" s="19" t="s">
        <v>415</v>
      </c>
      <c r="E575" s="50">
        <v>-544.0</v>
      </c>
      <c r="F575" s="232">
        <v>3.971</v>
      </c>
      <c r="G575" s="233">
        <v>2160.24</v>
      </c>
      <c r="H575" s="230" t="s">
        <v>945</v>
      </c>
      <c r="I575" s="235">
        <f t="array" ref="I575">IFS(AND($B575&lt;&gt;"",$E575&lt;&gt;""),IF(INDEX(HistoricSummary!D:D,MATCH($C575,HistoricSummary!$A:$A,0),1)&lt;&gt;"",$E575*INDEX(HistoricSummary!D:D,MATCH($C575,HistoricSummary!$A:$A,0),1)+$G575,""),AND($B575&lt;&gt;"",$D575="COST",$G575&lt;0),$G575,TRUE,)</f>
        <v>-529.7312</v>
      </c>
      <c r="J575" s="235">
        <f t="array" ref="J575">IFS(AND($B575&lt;&gt;"",$E575&lt;&gt;""),IF(INDEX(HistoricSummary!E:E,MATCH($C575,HistoricSummary!$A:$A,0),1)&lt;&gt;"",$E575*INDEX(HistoricSummary!E:E,MATCH($C575,HistoricSummary!$A:$A,0),1)+$G575,""),AND($B575&lt;&gt;"",$D575="COST",$G575&lt;0),$G575,TRUE,)</f>
        <v>-668.8024806</v>
      </c>
    </row>
    <row r="576">
      <c r="A576" s="184">
        <v>43454.0</v>
      </c>
      <c r="B576" s="19" t="s">
        <v>298</v>
      </c>
      <c r="C576" s="19" t="s">
        <v>867</v>
      </c>
      <c r="D576" s="19" t="s">
        <v>432</v>
      </c>
      <c r="E576" s="50"/>
      <c r="F576" s="232"/>
      <c r="G576" s="233">
        <v>-3.41</v>
      </c>
      <c r="H576" s="230" t="s">
        <v>946</v>
      </c>
      <c r="I576" s="235">
        <f t="array" ref="I576">IFS(AND($B576&lt;&gt;"",$E576&lt;&gt;""),IF(INDEX(HistoricSummary!D:D,MATCH($C576,HistoricSummary!$A:$A,0),1)&lt;&gt;"",$E576*INDEX(HistoricSummary!D:D,MATCH($C576,HistoricSummary!$A:$A,0),1)+$G576,""),AND($B576&lt;&gt;"",$D576="COST",$G576&lt;0),$G576,TRUE,)</f>
        <v>-3.41</v>
      </c>
      <c r="J576" s="235">
        <f t="array" ref="J576">IFS(AND($B576&lt;&gt;"",$E576&lt;&gt;""),IF(INDEX(HistoricSummary!E:E,MATCH($C576,HistoricSummary!$A:$A,0),1)&lt;&gt;"",$E576*INDEX(HistoricSummary!E:E,MATCH($C576,HistoricSummary!$A:$A,0),1)+$G576,""),AND($B576&lt;&gt;"",$D576="COST",$G576&lt;0),$G576,TRUE,)</f>
        <v>-3.41</v>
      </c>
    </row>
    <row r="577">
      <c r="A577" s="184">
        <v>43454.0</v>
      </c>
      <c r="B577" s="19" t="s">
        <v>298</v>
      </c>
      <c r="C577" s="19" t="s">
        <v>867</v>
      </c>
      <c r="D577" s="19" t="s">
        <v>415</v>
      </c>
      <c r="E577" s="50">
        <v>-1760.0</v>
      </c>
      <c r="F577" s="232">
        <v>3.985</v>
      </c>
      <c r="G577" s="233">
        <v>7013.08</v>
      </c>
      <c r="H577" s="230" t="s">
        <v>947</v>
      </c>
      <c r="I577" s="235">
        <f t="array" ref="I577">IFS(AND($B577&lt;&gt;"",$E577&lt;&gt;""),IF(INDEX(HistoricSummary!D:D,MATCH($C577,HistoricSummary!$A:$A,0),1)&lt;&gt;"",$E577*INDEX(HistoricSummary!D:D,MATCH($C577,HistoricSummary!$A:$A,0),1)+$G577,""),AND($B577&lt;&gt;"",$D577="COST",$G577&lt;0),$G577,TRUE,)</f>
        <v>-1689.768</v>
      </c>
      <c r="J577" s="235">
        <f t="array" ref="J577">IFS(AND($B577&lt;&gt;"",$E577&lt;&gt;""),IF(INDEX(HistoricSummary!E:E,MATCH($C577,HistoricSummary!$A:$A,0),1)&lt;&gt;"",$E577*INDEX(HistoricSummary!E:E,MATCH($C577,HistoricSummary!$A:$A,0),1)+$G577,""),AND($B577&lt;&gt;"",$D577="COST",$G577&lt;0),$G577,TRUE,)</f>
        <v>-2139.704496</v>
      </c>
    </row>
    <row r="578">
      <c r="A578" s="184">
        <v>43453.0</v>
      </c>
      <c r="B578" s="19" t="s">
        <v>298</v>
      </c>
      <c r="C578" s="19" t="s">
        <v>867</v>
      </c>
      <c r="D578" s="19" t="s">
        <v>432</v>
      </c>
      <c r="E578" s="19"/>
      <c r="F578" s="232"/>
      <c r="G578" s="233">
        <v>-2.92</v>
      </c>
      <c r="H578" s="230" t="s">
        <v>948</v>
      </c>
      <c r="I578" s="235">
        <f t="array" ref="I578">IFS(AND($B578&lt;&gt;"",$E578&lt;&gt;""),IF(INDEX(HistoricSummary!D:D,MATCH($C578,HistoricSummary!$A:$A,0),1)&lt;&gt;"",$E578*INDEX(HistoricSummary!D:D,MATCH($C578,HistoricSummary!$A:$A,0),1)+$G578,""),AND($B578&lt;&gt;"",$D578="COST",$G578&lt;0),$G578,TRUE,)</f>
        <v>-2.92</v>
      </c>
      <c r="J578" s="235">
        <f t="array" ref="J578">IFS(AND($B578&lt;&gt;"",$E578&lt;&gt;""),IF(INDEX(HistoricSummary!E:E,MATCH($C578,HistoricSummary!$A:$A,0),1)&lt;&gt;"",$E578*INDEX(HistoricSummary!E:E,MATCH($C578,HistoricSummary!$A:$A,0),1)+$G578,""),AND($B578&lt;&gt;"",$D578="COST",$G578&lt;0),$G578,TRUE,)</f>
        <v>-2.92</v>
      </c>
    </row>
    <row r="579">
      <c r="A579" s="184">
        <v>43453.0</v>
      </c>
      <c r="B579" s="19" t="s">
        <v>298</v>
      </c>
      <c r="C579" s="19" t="s">
        <v>867</v>
      </c>
      <c r="D579" s="19" t="s">
        <v>415</v>
      </c>
      <c r="E579" s="50">
        <v>-1177.0</v>
      </c>
      <c r="F579" s="232">
        <v>3.919</v>
      </c>
      <c r="G579" s="233">
        <v>4613.0</v>
      </c>
      <c r="H579" s="230" t="s">
        <v>949</v>
      </c>
      <c r="I579" s="235">
        <f t="array" ref="I579">IFS(AND($B579&lt;&gt;"",$E579&lt;&gt;""),IF(INDEX(HistoricSummary!D:D,MATCH($C579,HistoricSummary!$A:$A,0),1)&lt;&gt;"",$E579*INDEX(HistoricSummary!D:D,MATCH($C579,HistoricSummary!$A:$A,0),1)+$G579,""),AND($B579&lt;&gt;"",$D579="COST",$G579&lt;0),$G579,TRUE,)</f>
        <v>-1207.0296</v>
      </c>
      <c r="J579" s="235">
        <f t="array" ref="J579">IFS(AND($B579&lt;&gt;"",$E579&lt;&gt;""),IF(INDEX(HistoricSummary!E:E,MATCH($C579,HistoricSummary!$A:$A,0),1)&lt;&gt;"",$E579*INDEX(HistoricSummary!E:E,MATCH($C579,HistoricSummary!$A:$A,0),1)+$G579,""),AND($B579&lt;&gt;"",$D579="COST",$G579&lt;0),$G579,TRUE,)</f>
        <v>-1507.924632</v>
      </c>
    </row>
    <row r="580">
      <c r="A580" s="184">
        <v>43452.0</v>
      </c>
      <c r="B580" s="19" t="s">
        <v>292</v>
      </c>
      <c r="C580" s="19" t="s">
        <v>293</v>
      </c>
      <c r="D580" s="19" t="s">
        <v>415</v>
      </c>
      <c r="E580" s="19">
        <v>-15.0</v>
      </c>
      <c r="F580" s="232">
        <v>166.3</v>
      </c>
      <c r="G580" s="233">
        <v>2494.5</v>
      </c>
      <c r="H580" s="230" t="s">
        <v>950</v>
      </c>
      <c r="I580" s="235">
        <f t="array" ref="I580">IFS(AND($B580&lt;&gt;"",$E580&lt;&gt;""),IF(INDEX(HistoricSummary!D:D,MATCH($C580,HistoricSummary!$A:$A,0),1)&lt;&gt;"",$E580*INDEX(HistoricSummary!D:D,MATCH($C580,HistoricSummary!$A:$A,0),1)+$G580,""),AND($B580&lt;&gt;"",$D580="COST",$G580&lt;0),$G580,TRUE,)</f>
        <v>-302.4</v>
      </c>
      <c r="J580" s="235">
        <f t="array" ref="J580">IFS(AND($B580&lt;&gt;"",$E580&lt;&gt;""),IF(INDEX(HistoricSummary!E:E,MATCH($C580,HistoricSummary!$A:$A,0),1)&lt;&gt;"",$E580*INDEX(HistoricSummary!E:E,MATCH($C580,HistoricSummary!$A:$A,0),1)+$G580,""),AND($B580&lt;&gt;"",$D580="COST",$G580&lt;0),$G580,TRUE,)</f>
        <v>-398.8453488</v>
      </c>
    </row>
    <row r="581">
      <c r="A581" s="184">
        <v>43452.0</v>
      </c>
      <c r="B581" s="19" t="s">
        <v>288</v>
      </c>
      <c r="C581" s="19" t="s">
        <v>289</v>
      </c>
      <c r="D581" s="19" t="s">
        <v>415</v>
      </c>
      <c r="E581" s="19">
        <v>-10.0</v>
      </c>
      <c r="F581" s="232">
        <v>104.83</v>
      </c>
      <c r="G581" s="233">
        <v>1048.3</v>
      </c>
      <c r="H581" s="230" t="s">
        <v>951</v>
      </c>
      <c r="I581" s="235">
        <f t="array" ref="I581">IFS(AND($B581&lt;&gt;"",$E581&lt;&gt;""),IF(INDEX(HistoricSummary!D:D,MATCH($C581,HistoricSummary!$A:$A,0),1)&lt;&gt;"",$E581*INDEX(HistoricSummary!D:D,MATCH($C581,HistoricSummary!$A:$A,0),1)+$G581,""),AND($B581&lt;&gt;"",$D581="COST",$G581&lt;0),$G581,TRUE,)</f>
        <v>-454.5</v>
      </c>
      <c r="J581" s="235">
        <f t="array" ref="J581">IFS(AND($B581&lt;&gt;"",$E581&lt;&gt;""),IF(INDEX(HistoricSummary!E:E,MATCH($C581,HistoricSummary!$A:$A,0),1)&lt;&gt;"",$E581*INDEX(HistoricSummary!E:E,MATCH($C581,HistoricSummary!$A:$A,0),1)+$G581,""),AND($B581&lt;&gt;"",$D581="COST",$G581&lt;0),$G581,TRUE,)</f>
        <v>-398.0399225</v>
      </c>
    </row>
    <row r="582">
      <c r="A582" s="184">
        <v>43451.0</v>
      </c>
      <c r="B582" s="229" t="s">
        <v>302</v>
      </c>
      <c r="C582" s="230" t="s">
        <v>303</v>
      </c>
      <c r="D582" s="231" t="s">
        <v>414</v>
      </c>
      <c r="E582" s="231">
        <v>48.0</v>
      </c>
      <c r="F582" s="232">
        <v>43.36</v>
      </c>
      <c r="G582" s="233">
        <v>-2081.28</v>
      </c>
      <c r="H582" s="230" t="s">
        <v>952</v>
      </c>
      <c r="I582" s="235">
        <f t="array" ref="I582">IFS(AND($B582&lt;&gt;"",$E582&lt;&gt;""),IF(INDEX(HistoricSummary!D:D,MATCH($C582,HistoricSummary!$A:$A,0),1)&lt;&gt;"",$E582*INDEX(HistoricSummary!D:D,MATCH($C582,HistoricSummary!$A:$A,0),1)+$G582,""),AND($B582&lt;&gt;"",$D582="COST",$G582&lt;0),$G582,TRUE,)</f>
        <v>685.344</v>
      </c>
      <c r="J582" s="235">
        <f t="array" ref="J582">IFS(AND($B582&lt;&gt;"",$E582&lt;&gt;""),IF(INDEX(HistoricSummary!E:E,MATCH($C582,HistoricSummary!$A:$A,0),1)&lt;&gt;"",$E582*INDEX(HistoricSummary!E:E,MATCH($C582,HistoricSummary!$A:$A,0),1)+$G582,""),AND($B582&lt;&gt;"",$D582="COST",$G582&lt;0),$G582,TRUE,)</f>
        <v>464.2645581</v>
      </c>
    </row>
    <row r="583">
      <c r="A583" s="184">
        <v>43451.0</v>
      </c>
      <c r="B583" s="229" t="s">
        <v>302</v>
      </c>
      <c r="C583" s="230" t="s">
        <v>303</v>
      </c>
      <c r="D583" s="231" t="s">
        <v>432</v>
      </c>
      <c r="E583" s="231"/>
      <c r="F583" s="232"/>
      <c r="G583" s="233">
        <v>-2.42</v>
      </c>
      <c r="H583" s="230" t="s">
        <v>953</v>
      </c>
      <c r="I583" s="235">
        <f t="array" ref="I583">IFS(AND($B583&lt;&gt;"",$E583&lt;&gt;""),IF(INDEX(HistoricSummary!D:D,MATCH($C583,HistoricSummary!$A:$A,0),1)&lt;&gt;"",$E583*INDEX(HistoricSummary!D:D,MATCH($C583,HistoricSummary!$A:$A,0),1)+$G583,""),AND($B583&lt;&gt;"",$D583="COST",$G583&lt;0),$G583,TRUE,)</f>
        <v>-2.42</v>
      </c>
      <c r="J583" s="235">
        <f t="array" ref="J583">IFS(AND($B583&lt;&gt;"",$E583&lt;&gt;""),IF(INDEX(HistoricSummary!E:E,MATCH($C583,HistoricSummary!$A:$A,0),1)&lt;&gt;"",$E583*INDEX(HistoricSummary!E:E,MATCH($C583,HistoricSummary!$A:$A,0),1)+$G583,""),AND($B583&lt;&gt;"",$D583="COST",$G583&lt;0),$G583,TRUE,)</f>
        <v>-2.42</v>
      </c>
    </row>
    <row r="584">
      <c r="A584" s="184">
        <v>43451.0</v>
      </c>
      <c r="B584" s="229" t="s">
        <v>302</v>
      </c>
      <c r="C584" s="230" t="s">
        <v>303</v>
      </c>
      <c r="D584" s="231" t="s">
        <v>414</v>
      </c>
      <c r="E584" s="231">
        <v>60.0</v>
      </c>
      <c r="F584" s="232">
        <v>43.37</v>
      </c>
      <c r="G584" s="233">
        <v>-2602.2</v>
      </c>
      <c r="H584" s="230" t="s">
        <v>954</v>
      </c>
      <c r="I584" s="235">
        <f t="array" ref="I584">IFS(AND($B584&lt;&gt;"",$E584&lt;&gt;""),IF(INDEX(HistoricSummary!D:D,MATCH($C584,HistoricSummary!$A:$A,0),1)&lt;&gt;"",$E584*INDEX(HistoricSummary!D:D,MATCH($C584,HistoricSummary!$A:$A,0),1)+$G584,""),AND($B584&lt;&gt;"",$D584="COST",$G584&lt;0),$G584,TRUE,)</f>
        <v>856.08</v>
      </c>
      <c r="J584" s="235">
        <f t="array" ref="J584">IFS(AND($B584&lt;&gt;"",$E584&lt;&gt;""),IF(INDEX(HistoricSummary!E:E,MATCH($C584,HistoricSummary!$A:$A,0),1)&lt;&gt;"",$E584*INDEX(HistoricSummary!E:E,MATCH($C584,HistoricSummary!$A:$A,0),1)+$G584,""),AND($B584&lt;&gt;"",$D584="COST",$G584&lt;0),$G584,TRUE,)</f>
        <v>579.7306977</v>
      </c>
    </row>
    <row r="585">
      <c r="A585" s="184">
        <v>43451.0</v>
      </c>
      <c r="B585" s="229" t="s">
        <v>302</v>
      </c>
      <c r="C585" s="230" t="s">
        <v>303</v>
      </c>
      <c r="D585" s="231" t="s">
        <v>432</v>
      </c>
      <c r="E585" s="231"/>
      <c r="F585" s="232"/>
      <c r="G585" s="233">
        <v>-2.52</v>
      </c>
      <c r="H585" s="230" t="s">
        <v>955</v>
      </c>
      <c r="I585" s="235">
        <f t="array" ref="I585">IFS(AND($B585&lt;&gt;"",$E585&lt;&gt;""),IF(INDEX(HistoricSummary!D:D,MATCH($C585,HistoricSummary!$A:$A,0),1)&lt;&gt;"",$E585*INDEX(HistoricSummary!D:D,MATCH($C585,HistoricSummary!$A:$A,0),1)+$G585,""),AND($B585&lt;&gt;"",$D585="COST",$G585&lt;0),$G585,TRUE,)</f>
        <v>-2.52</v>
      </c>
      <c r="J585" s="235">
        <f t="array" ref="J585">IFS(AND($B585&lt;&gt;"",$E585&lt;&gt;""),IF(INDEX(HistoricSummary!E:E,MATCH($C585,HistoricSummary!$A:$A,0),1)&lt;&gt;"",$E585*INDEX(HistoricSummary!E:E,MATCH($C585,HistoricSummary!$A:$A,0),1)+$G585,""),AND($B585&lt;&gt;"",$D585="COST",$G585&lt;0),$G585,TRUE,)</f>
        <v>-2.52</v>
      </c>
    </row>
    <row r="586">
      <c r="A586" s="184">
        <v>43451.0</v>
      </c>
      <c r="B586" s="229" t="s">
        <v>302</v>
      </c>
      <c r="C586" s="230" t="s">
        <v>303</v>
      </c>
      <c r="D586" s="231" t="s">
        <v>414</v>
      </c>
      <c r="E586" s="231">
        <v>88.0</v>
      </c>
      <c r="F586" s="232">
        <v>43.7</v>
      </c>
      <c r="G586" s="233">
        <v>-3845.6</v>
      </c>
      <c r="H586" s="230" t="s">
        <v>956</v>
      </c>
      <c r="I586" s="235">
        <f t="array" ref="I586">IFS(AND($B586&lt;&gt;"",$E586&lt;&gt;""),IF(INDEX(HistoricSummary!D:D,MATCH($C586,HistoricSummary!$A:$A,0),1)&lt;&gt;"",$E586*INDEX(HistoricSummary!D:D,MATCH($C586,HistoricSummary!$A:$A,0),1)+$G586,""),AND($B586&lt;&gt;"",$D586="COST",$G586&lt;0),$G586,TRUE,)</f>
        <v>1226.544</v>
      </c>
      <c r="J586" s="235">
        <f t="array" ref="J586">IFS(AND($B586&lt;&gt;"",$E586&lt;&gt;""),IF(INDEX(HistoricSummary!E:E,MATCH($C586,HistoricSummary!$A:$A,0),1)&lt;&gt;"",$E586*INDEX(HistoricSummary!E:E,MATCH($C586,HistoricSummary!$A:$A,0),1)+$G586,""),AND($B586&lt;&gt;"",$D586="COST",$G586&lt;0),$G586,TRUE,)</f>
        <v>821.2316899</v>
      </c>
    </row>
    <row r="587">
      <c r="A587" s="184">
        <v>43451.0</v>
      </c>
      <c r="B587" s="229" t="s">
        <v>302</v>
      </c>
      <c r="C587" s="230" t="s">
        <v>303</v>
      </c>
      <c r="D587" s="231" t="s">
        <v>432</v>
      </c>
      <c r="E587" s="231"/>
      <c r="F587" s="232"/>
      <c r="G587" s="233">
        <v>-2.77</v>
      </c>
      <c r="H587" s="230" t="s">
        <v>957</v>
      </c>
      <c r="I587" s="235">
        <f t="array" ref="I587">IFS(AND($B587&lt;&gt;"",$E587&lt;&gt;""),IF(INDEX(HistoricSummary!D:D,MATCH($C587,HistoricSummary!$A:$A,0),1)&lt;&gt;"",$E587*INDEX(HistoricSummary!D:D,MATCH($C587,HistoricSummary!$A:$A,0),1)+$G587,""),AND($B587&lt;&gt;"",$D587="COST",$G587&lt;0),$G587,TRUE,)</f>
        <v>-2.77</v>
      </c>
      <c r="J587" s="235">
        <f t="array" ref="J587">IFS(AND($B587&lt;&gt;"",$E587&lt;&gt;""),IF(INDEX(HistoricSummary!E:E,MATCH($C587,HistoricSummary!$A:$A,0),1)&lt;&gt;"",$E587*INDEX(HistoricSummary!E:E,MATCH($C587,HistoricSummary!$A:$A,0),1)+$G587,""),AND($B587&lt;&gt;"",$D587="COST",$G587&lt;0),$G587,TRUE,)</f>
        <v>-2.77</v>
      </c>
    </row>
    <row r="588">
      <c r="A588" s="184">
        <v>43448.0</v>
      </c>
      <c r="B588" s="229" t="s">
        <v>302</v>
      </c>
      <c r="C588" s="230" t="s">
        <v>303</v>
      </c>
      <c r="D588" s="231" t="s">
        <v>415</v>
      </c>
      <c r="E588" s="231">
        <v>-190.0</v>
      </c>
      <c r="F588" s="232">
        <v>44.39</v>
      </c>
      <c r="G588" s="233">
        <v>8434.1</v>
      </c>
      <c r="H588" s="230" t="s">
        <v>958</v>
      </c>
      <c r="I588" s="235">
        <f t="array" ref="I588">IFS(AND($B588&lt;&gt;"",$E588&lt;&gt;""),IF(INDEX(HistoricSummary!D:D,MATCH($C588,HistoricSummary!$A:$A,0),1)&lt;&gt;"",$E588*INDEX(HistoricSummary!D:D,MATCH($C588,HistoricSummary!$A:$A,0),1)+$G588,""),AND($B588&lt;&gt;"",$D588="COST",$G588&lt;0),$G588,TRUE,)</f>
        <v>-2517.12</v>
      </c>
      <c r="J588" s="235">
        <f t="array" ref="J588">IFS(AND($B588&lt;&gt;"",$E588&lt;&gt;""),IF(INDEX(HistoricSummary!E:E,MATCH($C588,HistoricSummary!$A:$A,0),1)&lt;&gt;"",$E588*INDEX(HistoricSummary!E:E,MATCH($C588,HistoricSummary!$A:$A,0),1)+$G588,""),AND($B588&lt;&gt;"",$D588="COST",$G588&lt;0),$G588,TRUE,)</f>
        <v>-1642.013876</v>
      </c>
    </row>
    <row r="589">
      <c r="A589" s="184">
        <v>43448.0</v>
      </c>
      <c r="B589" s="229" t="s">
        <v>302</v>
      </c>
      <c r="C589" s="230" t="s">
        <v>303</v>
      </c>
      <c r="D589" s="231" t="s">
        <v>432</v>
      </c>
      <c r="E589" s="231"/>
      <c r="F589" s="232"/>
      <c r="G589" s="233">
        <v>-3.69</v>
      </c>
      <c r="H589" s="230" t="s">
        <v>959</v>
      </c>
      <c r="I589" s="235">
        <f t="array" ref="I589">IFS(AND($B589&lt;&gt;"",$E589&lt;&gt;""),IF(INDEX(HistoricSummary!D:D,MATCH($C589,HistoricSummary!$A:$A,0),1)&lt;&gt;"",$E589*INDEX(HistoricSummary!D:D,MATCH($C589,HistoricSummary!$A:$A,0),1)+$G589,""),AND($B589&lt;&gt;"",$D589="COST",$G589&lt;0),$G589,TRUE,)</f>
        <v>-3.69</v>
      </c>
      <c r="J589" s="235">
        <f t="array" ref="J589">IFS(AND($B589&lt;&gt;"",$E589&lt;&gt;""),IF(INDEX(HistoricSummary!E:E,MATCH($C589,HistoricSummary!$A:$A,0),1)&lt;&gt;"",$E589*INDEX(HistoricSummary!E:E,MATCH($C589,HistoricSummary!$A:$A,0),1)+$G589,""),AND($B589&lt;&gt;"",$D589="COST",$G589&lt;0),$G589,TRUE,)</f>
        <v>-3.69</v>
      </c>
    </row>
    <row r="590">
      <c r="A590" s="184">
        <v>43441.0</v>
      </c>
      <c r="B590" s="229" t="s">
        <v>302</v>
      </c>
      <c r="C590" s="230" t="s">
        <v>303</v>
      </c>
      <c r="D590" s="231" t="s">
        <v>414</v>
      </c>
      <c r="E590" s="231">
        <v>91.0</v>
      </c>
      <c r="F590" s="232">
        <v>44.735</v>
      </c>
      <c r="G590" s="233">
        <v>-4070.88</v>
      </c>
      <c r="H590" s="230" t="s">
        <v>960</v>
      </c>
      <c r="I590" s="235">
        <f t="array" ref="I590">IFS(AND($B590&lt;&gt;"",$E590&lt;&gt;""),IF(INDEX(HistoricSummary!D:D,MATCH($C590,HistoricSummary!$A:$A,0),1)&lt;&gt;"",$E590*INDEX(HistoricSummary!D:D,MATCH($C590,HistoricSummary!$A:$A,0),1)+$G590,""),AND($B590&lt;&gt;"",$D590="COST",$G590&lt;0),$G590,TRUE,)</f>
        <v>1174.178</v>
      </c>
      <c r="J590" s="235">
        <f t="array" ref="J590">IFS(AND($B590&lt;&gt;"",$E590&lt;&gt;""),IF(INDEX(HistoricSummary!E:E,MATCH($C590,HistoricSummary!$A:$A,0),1)&lt;&gt;"",$E590*INDEX(HistoricSummary!E:E,MATCH($C590,HistoricSummary!$A:$A,0),1)+$G590,""),AND($B590&lt;&gt;"",$D590="COST",$G590&lt;0),$G590,TRUE,)</f>
        <v>755.0482248</v>
      </c>
    </row>
    <row r="591">
      <c r="A591" s="184">
        <v>43441.0</v>
      </c>
      <c r="B591" s="229" t="s">
        <v>283</v>
      </c>
      <c r="C591" s="230" t="s">
        <v>286</v>
      </c>
      <c r="D591" s="231" t="s">
        <v>414</v>
      </c>
      <c r="E591" s="231">
        <v>255.0</v>
      </c>
      <c r="F591" s="232">
        <v>7.357</v>
      </c>
      <c r="G591" s="233">
        <v>-1876.04</v>
      </c>
      <c r="H591" s="230" t="s">
        <v>961</v>
      </c>
      <c r="I591" s="235">
        <f t="array" ref="I591">IFS(AND($B591&lt;&gt;"",$E591&lt;&gt;""),IF(INDEX(HistoricSummary!D:D,MATCH($C591,HistoricSummary!$A:$A,0),1)&lt;&gt;"",$E591*INDEX(HistoricSummary!D:D,MATCH($C591,HistoricSummary!$A:$A,0),1)+$G591,""),AND($B591&lt;&gt;"",$D591="COST",$G591&lt;0),$G591,TRUE,)</f>
        <v>-220.325</v>
      </c>
      <c r="J591" s="235">
        <f t="array" ref="J591">IFS(AND($B591&lt;&gt;"",$E591&lt;&gt;""),IF(INDEX(HistoricSummary!E:E,MATCH($C591,HistoricSummary!$A:$A,0),1)&lt;&gt;"",$E591*INDEX(HistoricSummary!E:E,MATCH($C591,HistoricSummary!$A:$A,0),1)+$G591,""),AND($B591&lt;&gt;"",$D591="COST",$G591&lt;0),$G591,TRUE,)</f>
        <v>-230.9282558</v>
      </c>
    </row>
    <row r="592">
      <c r="A592" s="184">
        <v>43440.0</v>
      </c>
      <c r="B592" s="229" t="s">
        <v>298</v>
      </c>
      <c r="C592" s="19" t="s">
        <v>867</v>
      </c>
      <c r="D592" s="231" t="s">
        <v>432</v>
      </c>
      <c r="E592" s="231"/>
      <c r="F592" s="232"/>
      <c r="G592" s="233">
        <v>-2.31</v>
      </c>
      <c r="H592" s="230" t="s">
        <v>736</v>
      </c>
      <c r="I592" s="235">
        <f t="array" ref="I592">IFS(AND($B592&lt;&gt;"",$E592&lt;&gt;""),IF(INDEX(HistoricSummary!D:D,MATCH($C592,HistoricSummary!$A:$A,0),1)&lt;&gt;"",$E592*INDEX(HistoricSummary!D:D,MATCH($C592,HistoricSummary!$A:$A,0),1)+$G592,""),AND($B592&lt;&gt;"",$D592="COST",$G592&lt;0),$G592,TRUE,)</f>
        <v>-2.31</v>
      </c>
      <c r="J592" s="235">
        <f t="array" ref="J592">IFS(AND($B592&lt;&gt;"",$E592&lt;&gt;""),IF(INDEX(HistoricSummary!E:E,MATCH($C592,HistoricSummary!$A:$A,0),1)&lt;&gt;"",$E592*INDEX(HistoricSummary!E:E,MATCH($C592,HistoricSummary!$A:$A,0),1)+$G592,""),AND($B592&lt;&gt;"",$D592="COST",$G592&lt;0),$G592,TRUE,)</f>
        <v>-2.31</v>
      </c>
    </row>
    <row r="593">
      <c r="A593" s="184">
        <v>43440.0</v>
      </c>
      <c r="B593" s="229" t="s">
        <v>298</v>
      </c>
      <c r="C593" s="19" t="s">
        <v>867</v>
      </c>
      <c r="D593" s="231" t="s">
        <v>415</v>
      </c>
      <c r="E593" s="231">
        <v>-392.0</v>
      </c>
      <c r="F593" s="232">
        <v>3.935</v>
      </c>
      <c r="G593" s="233">
        <v>1542.58</v>
      </c>
      <c r="H593" s="230" t="s">
        <v>962</v>
      </c>
      <c r="I593" s="235">
        <f t="array" ref="I593">IFS(AND($B593&lt;&gt;"",$E593&lt;&gt;""),IF(INDEX(HistoricSummary!D:D,MATCH($C593,HistoricSummary!$A:$A,0),1)&lt;&gt;"",$E593*INDEX(HistoricSummary!D:D,MATCH($C593,HistoricSummary!$A:$A,0),1)+$G593,""),AND($B593&lt;&gt;"",$D593="COST",$G593&lt;0),$G593,TRUE,)</f>
        <v>-395.7816</v>
      </c>
      <c r="J593" s="235">
        <f t="array" ref="J593">IFS(AND($B593&lt;&gt;"",$E593&lt;&gt;""),IF(INDEX(HistoricSummary!E:E,MATCH($C593,HistoricSummary!$A:$A,0),1)&lt;&gt;"",$E593*INDEX(HistoricSummary!E:E,MATCH($C593,HistoricSummary!$A:$A,0),1)+$G593,""),AND($B593&lt;&gt;"",$D593="COST",$G593&lt;0),$G593,TRUE,)</f>
        <v>-495.9947287</v>
      </c>
    </row>
    <row r="594">
      <c r="A594" s="184">
        <v>43440.0</v>
      </c>
      <c r="B594" s="229" t="s">
        <v>302</v>
      </c>
      <c r="C594" s="230" t="s">
        <v>303</v>
      </c>
      <c r="D594" s="231" t="s">
        <v>414</v>
      </c>
      <c r="E594" s="231">
        <v>236.0</v>
      </c>
      <c r="F594" s="232">
        <v>44.578</v>
      </c>
      <c r="G594" s="233">
        <v>-10520.4</v>
      </c>
      <c r="H594" s="230" t="s">
        <v>963</v>
      </c>
      <c r="I594" s="235">
        <f t="array" ref="I594">IFS(AND($B594&lt;&gt;"",$E594&lt;&gt;""),IF(INDEX(HistoricSummary!D:D,MATCH($C594,HistoricSummary!$A:$A,0),1)&lt;&gt;"",$E594*INDEX(HistoricSummary!D:D,MATCH($C594,HistoricSummary!$A:$A,0),1)+$G594,""),AND($B594&lt;&gt;"",$D594="COST",$G594&lt;0),$G594,TRUE,)</f>
        <v>3082.168</v>
      </c>
      <c r="J594" s="235">
        <f t="array" ref="J594">IFS(AND($B594&lt;&gt;"",$E594&lt;&gt;""),IF(INDEX(HistoricSummary!E:E,MATCH($C594,HistoricSummary!$A:$A,0),1)&lt;&gt;"",$E594*INDEX(HistoricSummary!E:E,MATCH($C594,HistoricSummary!$A:$A,0),1)+$G594,""),AND($B594&lt;&gt;"",$D594="COST",$G594&lt;0),$G594,TRUE,)</f>
        <v>1995.194078</v>
      </c>
    </row>
    <row r="595">
      <c r="A595" s="184">
        <v>43438.0</v>
      </c>
      <c r="B595" s="229"/>
      <c r="C595" s="230"/>
      <c r="D595" s="231" t="s">
        <v>454</v>
      </c>
      <c r="E595" s="231"/>
      <c r="F595" s="232"/>
      <c r="G595" s="233">
        <v>-1500.0</v>
      </c>
      <c r="H595" s="230" t="s">
        <v>484</v>
      </c>
      <c r="I595" s="235" t="str">
        <f t="array" ref="I595">IFS(AND($B595&lt;&gt;"",$E595&lt;&gt;""),IF(INDEX(HistoricSummary!D:D,MATCH($C595,HistoricSummary!$A:$A,0),1)&lt;&gt;"",$E595*INDEX(HistoricSummary!D:D,MATCH($C595,HistoricSummary!$A:$A,0),1)+$G595,""),AND($B595&lt;&gt;"",$D595="COST",$G595&lt;0),$G595,TRUE,)</f>
        <v/>
      </c>
      <c r="J595" s="235" t="str">
        <f t="array" ref="J595">IFS(AND($B595&lt;&gt;"",$E595&lt;&gt;""),IF(INDEX(HistoricSummary!E:E,MATCH($C595,HistoricSummary!$A:$A,0),1)&lt;&gt;"",$E595*INDEX(HistoricSummary!E:E,MATCH($C595,HistoricSummary!$A:$A,0),1)+$G595,""),AND($B595&lt;&gt;"",$D595="COST",$G595&lt;0),$G595,TRUE,)</f>
        <v/>
      </c>
    </row>
    <row r="596">
      <c r="A596" s="184">
        <v>43434.0</v>
      </c>
      <c r="B596" s="229"/>
      <c r="C596" s="230"/>
      <c r="D596" s="231" t="s">
        <v>432</v>
      </c>
      <c r="E596" s="231"/>
      <c r="F596" s="232"/>
      <c r="G596" s="233">
        <v>-579.07</v>
      </c>
      <c r="H596" s="230" t="s">
        <v>964</v>
      </c>
      <c r="I596" s="235" t="str">
        <f t="array" ref="I596">IFS(AND($B596&lt;&gt;"",$E596&lt;&gt;""),IF(INDEX(HistoricSummary!D:D,MATCH($C596,HistoricSummary!$A:$A,0),1)&lt;&gt;"",$E596*INDEX(HistoricSummary!D:D,MATCH($C596,HistoricSummary!$A:$A,0),1)+$G596,""),AND($B596&lt;&gt;"",$D596="COST",$G596&lt;0),$G596,TRUE,)</f>
        <v/>
      </c>
      <c r="J596" s="235" t="str">
        <f t="array" ref="J596">IFS(AND($B596&lt;&gt;"",$E596&lt;&gt;""),IF(INDEX(HistoricSummary!E:E,MATCH($C596,HistoricSummary!$A:$A,0),1)&lt;&gt;"",$E596*INDEX(HistoricSummary!E:E,MATCH($C596,HistoricSummary!$A:$A,0),1)+$G596,""),AND($B596&lt;&gt;"",$D596="COST",$G596&lt;0),$G596,TRUE,)</f>
        <v/>
      </c>
    </row>
    <row r="597">
      <c r="A597" s="184">
        <v>43433.0</v>
      </c>
      <c r="B597" s="229" t="s">
        <v>292</v>
      </c>
      <c r="C597" s="230" t="s">
        <v>293</v>
      </c>
      <c r="D597" s="231" t="s">
        <v>475</v>
      </c>
      <c r="E597" s="231"/>
      <c r="F597" s="232"/>
      <c r="G597" s="233">
        <v>-204.87</v>
      </c>
      <c r="H597" s="230" t="s">
        <v>965</v>
      </c>
      <c r="I597" s="235" t="str">
        <f t="array" ref="I597">IFS(AND($B597&lt;&gt;"",$E597&lt;&gt;""),IF(INDEX(HistoricSummary!D:D,MATCH($C597,HistoricSummary!$A:$A,0),1)&lt;&gt;"",$E597*INDEX(HistoricSummary!D:D,MATCH($C597,HistoricSummary!$A:$A,0),1)+$G597,""),AND($B597&lt;&gt;"",$D597="COST",$G597&lt;0),$G597,TRUE,)</f>
        <v/>
      </c>
      <c r="J597" s="235" t="str">
        <f t="array" ref="J597">IFS(AND($B597&lt;&gt;"",$E597&lt;&gt;""),IF(INDEX(HistoricSummary!E:E,MATCH($C597,HistoricSummary!$A:$A,0),1)&lt;&gt;"",$E597*INDEX(HistoricSummary!E:E,MATCH($C597,HistoricSummary!$A:$A,0),1)+$G597,""),AND($B597&lt;&gt;"",$D597="COST",$G597&lt;0),$G597,TRUE,)</f>
        <v/>
      </c>
    </row>
    <row r="598">
      <c r="A598" s="184">
        <v>43433.0</v>
      </c>
      <c r="B598" s="229" t="s">
        <v>302</v>
      </c>
      <c r="C598" s="230" t="s">
        <v>303</v>
      </c>
      <c r="D598" s="231" t="s">
        <v>415</v>
      </c>
      <c r="E598" s="231">
        <v>-25.0</v>
      </c>
      <c r="F598" s="232">
        <v>45.7</v>
      </c>
      <c r="G598" s="233">
        <v>1142.5</v>
      </c>
      <c r="H598" s="230" t="s">
        <v>966</v>
      </c>
      <c r="I598" s="235">
        <f t="array" ref="I598">IFS(AND($B598&lt;&gt;"",$E598&lt;&gt;""),IF(INDEX(HistoricSummary!D:D,MATCH($C598,HistoricSummary!$A:$A,0),1)&lt;&gt;"",$E598*INDEX(HistoricSummary!D:D,MATCH($C598,HistoricSummary!$A:$A,0),1)+$G598,""),AND($B598&lt;&gt;"",$D598="COST",$G598&lt;0),$G598,TRUE,)</f>
        <v>-298.45</v>
      </c>
      <c r="J598" s="235">
        <f t="array" ref="J598">IFS(AND($B598&lt;&gt;"",$E598&lt;&gt;""),IF(INDEX(HistoricSummary!E:E,MATCH($C598,HistoricSummary!$A:$A,0),1)&lt;&gt;"",$E598*INDEX(HistoricSummary!E:E,MATCH($C598,HistoricSummary!$A:$A,0),1)+$G598,""),AND($B598&lt;&gt;"",$D598="COST",$G598&lt;0),$G598,TRUE,)</f>
        <v>-183.3044574</v>
      </c>
    </row>
    <row r="599">
      <c r="A599" s="184">
        <v>43433.0</v>
      </c>
      <c r="B599" s="229" t="s">
        <v>302</v>
      </c>
      <c r="C599" s="230" t="s">
        <v>303</v>
      </c>
      <c r="D599" s="231" t="s">
        <v>432</v>
      </c>
      <c r="E599" s="231"/>
      <c r="F599" s="232"/>
      <c r="G599" s="233">
        <v>-2.23</v>
      </c>
      <c r="H599" s="230" t="s">
        <v>967</v>
      </c>
      <c r="I599" s="235">
        <f t="array" ref="I599">IFS(AND($B599&lt;&gt;"",$E599&lt;&gt;""),IF(INDEX(HistoricSummary!D:D,MATCH($C599,HistoricSummary!$A:$A,0),1)&lt;&gt;"",$E599*INDEX(HistoricSummary!D:D,MATCH($C599,HistoricSummary!$A:$A,0),1)+$G599,""),AND($B599&lt;&gt;"",$D599="COST",$G599&lt;0),$G599,TRUE,)</f>
        <v>-2.23</v>
      </c>
      <c r="J599" s="235">
        <f t="array" ref="J599">IFS(AND($B599&lt;&gt;"",$E599&lt;&gt;""),IF(INDEX(HistoricSummary!E:E,MATCH($C599,HistoricSummary!$A:$A,0),1)&lt;&gt;"",$E599*INDEX(HistoricSummary!E:E,MATCH($C599,HistoricSummary!$A:$A,0),1)+$G599,""),AND($B599&lt;&gt;"",$D599="COST",$G599&lt;0),$G599,TRUE,)</f>
        <v>-2.23</v>
      </c>
    </row>
    <row r="600">
      <c r="A600" s="184">
        <v>43432.0</v>
      </c>
      <c r="B600" s="229" t="s">
        <v>292</v>
      </c>
      <c r="C600" s="230" t="s">
        <v>293</v>
      </c>
      <c r="D600" s="231" t="s">
        <v>475</v>
      </c>
      <c r="E600" s="231"/>
      <c r="F600" s="232"/>
      <c r="G600" s="233">
        <v>1663.14</v>
      </c>
      <c r="H600" s="230" t="s">
        <v>968</v>
      </c>
      <c r="I600" s="235" t="str">
        <f t="array" ref="I600">IFS(AND($B600&lt;&gt;"",$E600&lt;&gt;""),IF(INDEX(HistoricSummary!D:D,MATCH($C600,HistoricSummary!$A:$A,0),1)&lt;&gt;"",$E600*INDEX(HistoricSummary!D:D,MATCH($C600,HistoricSummary!$A:$A,0),1)+$G600,""),AND($B600&lt;&gt;"",$D600="COST",$G600&lt;0),$G600,TRUE,)</f>
        <v/>
      </c>
      <c r="J600" s="235" t="str">
        <f t="array" ref="J600">IFS(AND($B600&lt;&gt;"",$E600&lt;&gt;""),IF(INDEX(HistoricSummary!E:E,MATCH($C600,HistoricSummary!$A:$A,0),1)&lt;&gt;"",$E600*INDEX(HistoricSummary!E:E,MATCH($C600,HistoricSummary!$A:$A,0),1)+$G600,""),AND($B600&lt;&gt;"",$D600="COST",$G600&lt;0),$G600,TRUE,)</f>
        <v/>
      </c>
    </row>
    <row r="601">
      <c r="A601" s="184">
        <v>43430.0</v>
      </c>
      <c r="B601" s="229" t="s">
        <v>283</v>
      </c>
      <c r="C601" s="230" t="s">
        <v>286</v>
      </c>
      <c r="D601" s="231" t="s">
        <v>414</v>
      </c>
      <c r="E601" s="231">
        <v>214.0</v>
      </c>
      <c r="F601" s="232">
        <v>7.25</v>
      </c>
      <c r="G601" s="233">
        <v>-1551.5</v>
      </c>
      <c r="H601" s="230" t="s">
        <v>969</v>
      </c>
      <c r="I601" s="235">
        <f t="array" ref="I601">IFS(AND($B601&lt;&gt;"",$E601&lt;&gt;""),IF(INDEX(HistoricSummary!D:D,MATCH($C601,HistoricSummary!$A:$A,0),1)&lt;&gt;"",$E601*INDEX(HistoricSummary!D:D,MATCH($C601,HistoricSummary!$A:$A,0),1)+$G601,""),AND($B601&lt;&gt;"",$D601="COST",$G601&lt;0),$G601,TRUE,)</f>
        <v>-161.998</v>
      </c>
      <c r="J601" s="235">
        <f t="array" ref="J601">IFS(AND($B601&lt;&gt;"",$E601&lt;&gt;""),IF(INDEX(HistoricSummary!E:E,MATCH($C601,HistoricSummary!$A:$A,0),1)&lt;&gt;"",$E601*INDEX(HistoricSummary!E:E,MATCH($C601,HistoricSummary!$A:$A,0),1)+$G601,""),AND($B601&lt;&gt;"",$D601="COST",$G601&lt;0),$G601,TRUE,)</f>
        <v>-170.8964186</v>
      </c>
    </row>
    <row r="602">
      <c r="A602" s="184">
        <v>43430.0</v>
      </c>
      <c r="B602" s="229" t="s">
        <v>298</v>
      </c>
      <c r="C602" s="19" t="s">
        <v>867</v>
      </c>
      <c r="D602" s="231" t="s">
        <v>432</v>
      </c>
      <c r="E602" s="231"/>
      <c r="F602" s="232"/>
      <c r="G602" s="233">
        <v>-2.23</v>
      </c>
      <c r="H602" s="230" t="s">
        <v>829</v>
      </c>
      <c r="I602" s="235">
        <f t="array" ref="I602">IFS(AND($B602&lt;&gt;"",$E602&lt;&gt;""),IF(INDEX(HistoricSummary!D:D,MATCH($C602,HistoricSummary!$A:$A,0),1)&lt;&gt;"",$E602*INDEX(HistoricSummary!D:D,MATCH($C602,HistoricSummary!$A:$A,0),1)+$G602,""),AND($B602&lt;&gt;"",$D602="COST",$G602&lt;0),$G602,TRUE,)</f>
        <v>-2.23</v>
      </c>
      <c r="J602" s="235">
        <f t="array" ref="J602">IFS(AND($B602&lt;&gt;"",$E602&lt;&gt;""),IF(INDEX(HistoricSummary!E:E,MATCH($C602,HistoricSummary!$A:$A,0),1)&lt;&gt;"",$E602*INDEX(HistoricSummary!E:E,MATCH($C602,HistoricSummary!$A:$A,0),1)+$G602,""),AND($B602&lt;&gt;"",$D602="COST",$G602&lt;0),$G602,TRUE,)</f>
        <v>-2.23</v>
      </c>
    </row>
    <row r="603">
      <c r="A603" s="184">
        <v>43430.0</v>
      </c>
      <c r="B603" s="229" t="s">
        <v>298</v>
      </c>
      <c r="C603" s="19" t="s">
        <v>867</v>
      </c>
      <c r="D603" s="231" t="s">
        <v>415</v>
      </c>
      <c r="E603" s="231">
        <v>-300.0</v>
      </c>
      <c r="F603" s="232">
        <v>3.819</v>
      </c>
      <c r="G603" s="233">
        <v>1145.66</v>
      </c>
      <c r="H603" s="230" t="s">
        <v>970</v>
      </c>
      <c r="I603" s="235">
        <f t="array" ref="I603">IFS(AND($B603&lt;&gt;"",$E603&lt;&gt;""),IF(INDEX(HistoricSummary!D:D,MATCH($C603,HistoricSummary!$A:$A,0),1)&lt;&gt;"",$E603*INDEX(HistoricSummary!D:D,MATCH($C603,HistoricSummary!$A:$A,0),1)+$G603,""),AND($B603&lt;&gt;"",$D603="COST",$G603&lt;0),$G603,TRUE,)</f>
        <v>-337.78</v>
      </c>
      <c r="J603" s="235">
        <f t="array" ref="J603">IFS(AND($B603&lt;&gt;"",$E603&lt;&gt;""),IF(INDEX(HistoricSummary!E:E,MATCH($C603,HistoricSummary!$A:$A,0),1)&lt;&gt;"",$E603*INDEX(HistoricSummary!E:E,MATCH($C603,HistoricSummary!$A:$A,0),1)+$G603,""),AND($B603&lt;&gt;"",$D603="COST",$G603&lt;0),$G603,TRUE,)</f>
        <v>-414.4737209</v>
      </c>
    </row>
    <row r="604">
      <c r="A604" s="184">
        <v>43426.0</v>
      </c>
      <c r="B604" s="229" t="s">
        <v>298</v>
      </c>
      <c r="C604" s="230" t="s">
        <v>867</v>
      </c>
      <c r="D604" s="231" t="s">
        <v>432</v>
      </c>
      <c r="E604" s="231"/>
      <c r="F604" s="232"/>
      <c r="G604" s="233">
        <v>-0.01</v>
      </c>
      <c r="H604" s="230" t="s">
        <v>971</v>
      </c>
      <c r="I604" s="235">
        <f t="array" ref="I604">IFS(AND($B604&lt;&gt;"",$E604&lt;&gt;""),IF(INDEX(HistoricSummary!D:D,MATCH($C604,HistoricSummary!$A:$A,0),1)&lt;&gt;"",$E604*INDEX(HistoricSummary!D:D,MATCH($C604,HistoricSummary!$A:$A,0),1)+$G604,""),AND($B604&lt;&gt;"",$D604="COST",$G604&lt;0),$G604,TRUE,)</f>
        <v>-0.01</v>
      </c>
      <c r="J604" s="235">
        <f t="array" ref="J604">IFS(AND($B604&lt;&gt;"",$E604&lt;&gt;""),IF(INDEX(HistoricSummary!E:E,MATCH($C604,HistoricSummary!$A:$A,0),1)&lt;&gt;"",$E604*INDEX(HistoricSummary!E:E,MATCH($C604,HistoricSummary!$A:$A,0),1)+$G604,""),AND($B604&lt;&gt;"",$D604="COST",$G604&lt;0),$G604,TRUE,)</f>
        <v>-0.01</v>
      </c>
    </row>
    <row r="605">
      <c r="A605" s="184">
        <v>43426.0</v>
      </c>
      <c r="B605" s="229" t="s">
        <v>298</v>
      </c>
      <c r="C605" s="19" t="s">
        <v>867</v>
      </c>
      <c r="D605" s="231" t="s">
        <v>432</v>
      </c>
      <c r="E605" s="231"/>
      <c r="F605" s="232"/>
      <c r="G605" s="233">
        <v>-3.37</v>
      </c>
      <c r="H605" s="230" t="s">
        <v>972</v>
      </c>
      <c r="I605" s="235">
        <f t="array" ref="I605">IFS(AND($B605&lt;&gt;"",$E605&lt;&gt;""),IF(INDEX(HistoricSummary!D:D,MATCH($C605,HistoricSummary!$A:$A,0),1)&lt;&gt;"",$E605*INDEX(HistoricSummary!D:D,MATCH($C605,HistoricSummary!$A:$A,0),1)+$G605,""),AND($B605&lt;&gt;"",$D605="COST",$G605&lt;0),$G605,TRUE,)</f>
        <v>-3.37</v>
      </c>
      <c r="J605" s="235">
        <f t="array" ref="J605">IFS(AND($B605&lt;&gt;"",$E605&lt;&gt;""),IF(INDEX(HistoricSummary!E:E,MATCH($C605,HistoricSummary!$A:$A,0),1)&lt;&gt;"",$E605*INDEX(HistoricSummary!E:E,MATCH($C605,HistoricSummary!$A:$A,0),1)+$G605,""),AND($B605&lt;&gt;"",$D605="COST",$G605&lt;0),$G605,TRUE,)</f>
        <v>-3.37</v>
      </c>
    </row>
    <row r="606">
      <c r="A606" s="184">
        <v>43426.0</v>
      </c>
      <c r="B606" s="229" t="s">
        <v>298</v>
      </c>
      <c r="C606" s="19" t="s">
        <v>867</v>
      </c>
      <c r="D606" s="231" t="s">
        <v>415</v>
      </c>
      <c r="E606" s="231">
        <v>-1798.0</v>
      </c>
      <c r="F606" s="232">
        <v>3.797</v>
      </c>
      <c r="G606" s="233">
        <v>6827.2</v>
      </c>
      <c r="H606" s="230" t="s">
        <v>973</v>
      </c>
      <c r="I606" s="235">
        <f t="array" ref="I606">IFS(AND($B606&lt;&gt;"",$E606&lt;&gt;""),IF(INDEX(HistoricSummary!D:D,MATCH($C606,HistoricSummary!$A:$A,0),1)&lt;&gt;"",$E606*INDEX(HistoricSummary!D:D,MATCH($C606,HistoricSummary!$A:$A,0),1)+$G606,""),AND($B606&lt;&gt;"",$D606="COST",$G606&lt;0),$G606,TRUE,)</f>
        <v>-2063.5504</v>
      </c>
      <c r="J606" s="235">
        <f t="array" ref="J606">IFS(AND($B606&lt;&gt;"",$E606&lt;&gt;""),IF(INDEX(HistoricSummary!E:E,MATCH($C606,HistoricSummary!$A:$A,0),1)&lt;&gt;"",$E606*INDEX(HistoricSummary!E:E,MATCH($C606,HistoricSummary!$A:$A,0),1)+$G606,""),AND($B606&lt;&gt;"",$D606="COST",$G606&lt;0),$G606,TRUE,)</f>
        <v>-2523.201434</v>
      </c>
    </row>
    <row r="607">
      <c r="A607" s="184">
        <v>43426.0</v>
      </c>
      <c r="B607" s="229" t="s">
        <v>292</v>
      </c>
      <c r="C607" s="19" t="s">
        <v>293</v>
      </c>
      <c r="D607" s="231" t="s">
        <v>415</v>
      </c>
      <c r="E607" s="231">
        <v>-7.0</v>
      </c>
      <c r="F607" s="232">
        <v>162.69</v>
      </c>
      <c r="G607" s="233">
        <v>1138.83</v>
      </c>
      <c r="H607" s="230" t="s">
        <v>974</v>
      </c>
      <c r="I607" s="235">
        <f t="array" ref="I607">IFS(AND($B607&lt;&gt;"",$E607&lt;&gt;""),IF(INDEX(HistoricSummary!D:D,MATCH($C607,HistoricSummary!$A:$A,0),1)&lt;&gt;"",$E607*INDEX(HistoricSummary!D:D,MATCH($C607,HistoricSummary!$A:$A,0),1)+$G607,""),AND($B607&lt;&gt;"",$D607="COST",$G607&lt;0),$G607,TRUE,)</f>
        <v>-166.39</v>
      </c>
      <c r="J607" s="235">
        <f t="array" ref="J607">IFS(AND($B607&lt;&gt;"",$E607&lt;&gt;""),IF(INDEX(HistoricSummary!E:E,MATCH($C607,HistoricSummary!$A:$A,0),1)&lt;&gt;"",$E607*INDEX(HistoricSummary!E:E,MATCH($C607,HistoricSummary!$A:$A,0),1)+$G607,""),AND($B607&lt;&gt;"",$D607="COST",$G607&lt;0),$G607,TRUE,)</f>
        <v>-211.3978295</v>
      </c>
    </row>
    <row r="608">
      <c r="A608" s="184">
        <v>43426.0</v>
      </c>
      <c r="B608" s="229" t="s">
        <v>292</v>
      </c>
      <c r="C608" s="19" t="s">
        <v>293</v>
      </c>
      <c r="D608" s="231" t="s">
        <v>432</v>
      </c>
      <c r="E608" s="231"/>
      <c r="F608" s="232"/>
      <c r="G608" s="233">
        <v>-2.23</v>
      </c>
      <c r="H608" s="230" t="s">
        <v>922</v>
      </c>
      <c r="I608" s="235">
        <f t="array" ref="I608">IFS(AND($B608&lt;&gt;"",$E608&lt;&gt;""),IF(INDEX(HistoricSummary!D:D,MATCH($C608,HistoricSummary!$A:$A,0),1)&lt;&gt;"",$E608*INDEX(HistoricSummary!D:D,MATCH($C608,HistoricSummary!$A:$A,0),1)+$G608,""),AND($B608&lt;&gt;"",$D608="COST",$G608&lt;0),$G608,TRUE,)</f>
        <v>-2.23</v>
      </c>
      <c r="J608" s="235">
        <f t="array" ref="J608">IFS(AND($B608&lt;&gt;"",$E608&lt;&gt;""),IF(INDEX(HistoricSummary!E:E,MATCH($C608,HistoricSummary!$A:$A,0),1)&lt;&gt;"",$E608*INDEX(HistoricSummary!E:E,MATCH($C608,HistoricSummary!$A:$A,0),1)+$G608,""),AND($B608&lt;&gt;"",$D608="COST",$G608&lt;0),$G608,TRUE,)</f>
        <v>-2.23</v>
      </c>
    </row>
    <row r="609">
      <c r="A609" s="184">
        <v>43426.0</v>
      </c>
      <c r="B609" s="229" t="s">
        <v>288</v>
      </c>
      <c r="C609" s="230" t="s">
        <v>289</v>
      </c>
      <c r="D609" s="231" t="s">
        <v>415</v>
      </c>
      <c r="E609" s="231">
        <v>-1.0</v>
      </c>
      <c r="F609" s="232">
        <v>102.84</v>
      </c>
      <c r="G609" s="233">
        <v>102.84</v>
      </c>
      <c r="H609" s="230" t="s">
        <v>975</v>
      </c>
      <c r="I609" s="235">
        <f t="array" ref="I609">IFS(AND($B609&lt;&gt;"",$E609&lt;&gt;""),IF(INDEX(HistoricSummary!D:D,MATCH($C609,HistoricSummary!$A:$A,0),1)&lt;&gt;"",$E609*INDEX(HistoricSummary!D:D,MATCH($C609,HistoricSummary!$A:$A,0),1)+$G609,""),AND($B609&lt;&gt;"",$D609="COST",$G609&lt;0),$G609,TRUE,)</f>
        <v>-47.44</v>
      </c>
      <c r="J609" s="235">
        <f t="array" ref="J609">IFS(AND($B609&lt;&gt;"",$E609&lt;&gt;""),IF(INDEX(HistoricSummary!E:E,MATCH($C609,HistoricSummary!$A:$A,0),1)&lt;&gt;"",$E609*INDEX(HistoricSummary!E:E,MATCH($C609,HistoricSummary!$A:$A,0),1)+$G609,""),AND($B609&lt;&gt;"",$D609="COST",$G609&lt;0),$G609,TRUE,)</f>
        <v>-41.79399225</v>
      </c>
    </row>
    <row r="610">
      <c r="A610" s="184">
        <v>43419.0</v>
      </c>
      <c r="B610" s="229" t="s">
        <v>302</v>
      </c>
      <c r="C610" s="230" t="s">
        <v>303</v>
      </c>
      <c r="D610" s="231" t="s">
        <v>414</v>
      </c>
      <c r="E610" s="231">
        <v>60.0</v>
      </c>
      <c r="F610" s="232">
        <v>45.362</v>
      </c>
      <c r="G610" s="233">
        <v>-2721.72</v>
      </c>
      <c r="H610" s="230" t="s">
        <v>976</v>
      </c>
      <c r="I610" s="235">
        <f t="array" ref="I610">IFS(AND($B610&lt;&gt;"",$E610&lt;&gt;""),IF(INDEX(HistoricSummary!D:D,MATCH($C610,HistoricSummary!$A:$A,0),1)&lt;&gt;"",$E610*INDEX(HistoricSummary!D:D,MATCH($C610,HistoricSummary!$A:$A,0),1)+$G610,""),AND($B610&lt;&gt;"",$D610="COST",$G610&lt;0),$G610,TRUE,)</f>
        <v>736.56</v>
      </c>
      <c r="J610" s="235">
        <f t="array" ref="J610">IFS(AND($B610&lt;&gt;"",$E610&lt;&gt;""),IF(INDEX(HistoricSummary!E:E,MATCH($C610,HistoricSummary!$A:$A,0),1)&lt;&gt;"",$E610*INDEX(HistoricSummary!E:E,MATCH($C610,HistoricSummary!$A:$A,0),1)+$G610,""),AND($B610&lt;&gt;"",$D610="COST",$G610&lt;0),$G610,TRUE,)</f>
        <v>460.2106977</v>
      </c>
    </row>
    <row r="611">
      <c r="A611" s="184">
        <v>43419.0</v>
      </c>
      <c r="B611" s="229" t="s">
        <v>292</v>
      </c>
      <c r="C611" s="19" t="s">
        <v>293</v>
      </c>
      <c r="D611" s="231" t="s">
        <v>414</v>
      </c>
      <c r="E611" s="231">
        <v>7.0</v>
      </c>
      <c r="F611" s="232">
        <v>163.75</v>
      </c>
      <c r="G611" s="233">
        <v>-1146.25</v>
      </c>
      <c r="H611" s="230" t="s">
        <v>977</v>
      </c>
      <c r="I611" s="235">
        <f t="array" ref="I611">IFS(AND($B611&lt;&gt;"",$E611&lt;&gt;""),IF(INDEX(HistoricSummary!D:D,MATCH($C611,HistoricSummary!$A:$A,0),1)&lt;&gt;"",$E611*INDEX(HistoricSummary!D:D,MATCH($C611,HistoricSummary!$A:$A,0),1)+$G611,""),AND($B611&lt;&gt;"",$D611="COST",$G611&lt;0),$G611,TRUE,)</f>
        <v>158.97</v>
      </c>
      <c r="J611" s="235">
        <f t="array" ref="J611">IFS(AND($B611&lt;&gt;"",$E611&lt;&gt;""),IF(INDEX(HistoricSummary!E:E,MATCH($C611,HistoricSummary!$A:$A,0),1)&lt;&gt;"",$E611*INDEX(HistoricSummary!E:E,MATCH($C611,HistoricSummary!$A:$A,0),1)+$G611,""),AND($B611&lt;&gt;"",$D611="COST",$G611&lt;0),$G611,TRUE,)</f>
        <v>203.9778295</v>
      </c>
    </row>
    <row r="612">
      <c r="A612" s="184">
        <v>43417.0</v>
      </c>
      <c r="B612" s="229"/>
      <c r="C612" s="230"/>
      <c r="D612" s="231" t="s">
        <v>454</v>
      </c>
      <c r="E612" s="231"/>
      <c r="F612" s="232"/>
      <c r="G612" s="233">
        <v>-300.0</v>
      </c>
      <c r="H612" s="230" t="s">
        <v>581</v>
      </c>
      <c r="I612" s="235" t="str">
        <f t="array" ref="I612">IFS(AND($B612&lt;&gt;"",$E612&lt;&gt;""),IF(INDEX(HistoricSummary!D:D,MATCH($C612,HistoricSummary!$A:$A,0),1)&lt;&gt;"",$E612*INDEX(HistoricSummary!D:D,MATCH($C612,HistoricSummary!$A:$A,0),1)+$G612,""),AND($B612&lt;&gt;"",$D612="COST",$G612&lt;0),$G612,TRUE,)</f>
        <v/>
      </c>
      <c r="J612" s="235" t="str">
        <f t="array" ref="J612">IFS(AND($B612&lt;&gt;"",$E612&lt;&gt;""),IF(INDEX(HistoricSummary!E:E,MATCH($C612,HistoricSummary!$A:$A,0),1)&lt;&gt;"",$E612*INDEX(HistoricSummary!E:E,MATCH($C612,HistoricSummary!$A:$A,0),1)+$G612,""),AND($B612&lt;&gt;"",$D612="COST",$G612&lt;0),$G612,TRUE,)</f>
        <v/>
      </c>
    </row>
    <row r="613">
      <c r="A613" s="184">
        <v>43405.0</v>
      </c>
      <c r="B613" s="229" t="s">
        <v>302</v>
      </c>
      <c r="C613" s="230" t="s">
        <v>303</v>
      </c>
      <c r="D613" s="231" t="s">
        <v>414</v>
      </c>
      <c r="E613" s="231">
        <v>239.0</v>
      </c>
      <c r="F613" s="232">
        <v>45.493</v>
      </c>
      <c r="G613" s="233">
        <v>-10872.83</v>
      </c>
      <c r="H613" s="230" t="s">
        <v>978</v>
      </c>
      <c r="I613" s="235">
        <f t="array" ref="I613">IFS(AND($B613&lt;&gt;"",$E613&lt;&gt;""),IF(INDEX(HistoricSummary!D:D,MATCH($C613,HistoricSummary!$A:$A,0),1)&lt;&gt;"",$E613*INDEX(HistoricSummary!D:D,MATCH($C613,HistoricSummary!$A:$A,0),1)+$G613,""),AND($B613&lt;&gt;"",$D613="COST",$G613&lt;0),$G613,TRUE,)</f>
        <v>2902.652</v>
      </c>
      <c r="J613" s="235">
        <f t="array" ref="J613">IFS(AND($B613&lt;&gt;"",$E613&lt;&gt;""),IF(INDEX(HistoricSummary!E:E,MATCH($C613,HistoricSummary!$A:$A,0),1)&lt;&gt;"",$E613*INDEX(HistoricSummary!E:E,MATCH($C613,HistoricSummary!$A:$A,0),1)+$G613,""),AND($B613&lt;&gt;"",$D613="COST",$G613&lt;0),$G613,TRUE,)</f>
        <v>1801.860612</v>
      </c>
    </row>
    <row r="614">
      <c r="A614" s="184">
        <v>43405.0</v>
      </c>
      <c r="B614" s="229" t="s">
        <v>283</v>
      </c>
      <c r="C614" s="230" t="s">
        <v>286</v>
      </c>
      <c r="D614" s="231" t="s">
        <v>414</v>
      </c>
      <c r="E614" s="231">
        <v>326.0</v>
      </c>
      <c r="F614" s="232">
        <v>7.482</v>
      </c>
      <c r="G614" s="233">
        <v>-2439.13</v>
      </c>
      <c r="H614" s="230" t="s">
        <v>979</v>
      </c>
      <c r="I614" s="235">
        <f t="array" ref="I614">IFS(AND($B614&lt;&gt;"",$E614&lt;&gt;""),IF(INDEX(HistoricSummary!D:D,MATCH($C614,HistoricSummary!$A:$A,0),1)&lt;&gt;"",$E614*INDEX(HistoricSummary!D:D,MATCH($C614,HistoricSummary!$A:$A,0),1)+$G614,""),AND($B614&lt;&gt;"",$D614="COST",$G614&lt;0),$G614,TRUE,)</f>
        <v>-322.412</v>
      </c>
      <c r="J614" s="235">
        <f t="array" ref="J614">IFS(AND($B614&lt;&gt;"",$E614&lt;&gt;""),IF(INDEX(HistoricSummary!E:E,MATCH($C614,HistoricSummary!$A:$A,0),1)&lt;&gt;"",$E614*INDEX(HistoricSummary!E:E,MATCH($C614,HistoricSummary!$A:$A,0),1)+$G614,""),AND($B614&lt;&gt;"",$D614="COST",$G614&lt;0),$G614,TRUE,)</f>
        <v>-335.9675349</v>
      </c>
    </row>
    <row r="615">
      <c r="A615" s="184">
        <v>43405.0</v>
      </c>
      <c r="B615" s="229" t="s">
        <v>298</v>
      </c>
      <c r="C615" s="19" t="s">
        <v>867</v>
      </c>
      <c r="D615" s="231" t="s">
        <v>432</v>
      </c>
      <c r="E615" s="244"/>
      <c r="F615" s="232"/>
      <c r="G615" s="233">
        <v>-4.09</v>
      </c>
      <c r="H615" s="230" t="s">
        <v>980</v>
      </c>
      <c r="I615" s="235">
        <f t="array" ref="I615">IFS(AND($B615&lt;&gt;"",$E615&lt;&gt;""),IF(INDEX(HistoricSummary!D:D,MATCH($C615,HistoricSummary!$A:$A,0),1)&lt;&gt;"",$E615*INDEX(HistoricSummary!D:D,MATCH($C615,HistoricSummary!$A:$A,0),1)+$G615,""),AND($B615&lt;&gt;"",$D615="COST",$G615&lt;0),$G615,TRUE,)</f>
        <v>-4.09</v>
      </c>
      <c r="J615" s="235">
        <f t="array" ref="J615">IFS(AND($B615&lt;&gt;"",$E615&lt;&gt;""),IF(INDEX(HistoricSummary!E:E,MATCH($C615,HistoricSummary!$A:$A,0),1)&lt;&gt;"",$E615*INDEX(HistoricSummary!E:E,MATCH($C615,HistoricSummary!$A:$A,0),1)+$G615,""),AND($B615&lt;&gt;"",$D615="COST",$G615&lt;0),$G615,TRUE,)</f>
        <v>-4.09</v>
      </c>
    </row>
    <row r="616">
      <c r="A616" s="184">
        <v>43405.0</v>
      </c>
      <c r="B616" s="229" t="s">
        <v>298</v>
      </c>
      <c r="C616" s="19" t="s">
        <v>867</v>
      </c>
      <c r="D616" s="231" t="s">
        <v>414</v>
      </c>
      <c r="E616" s="231">
        <v>2786.0</v>
      </c>
      <c r="F616" s="232">
        <v>3.756</v>
      </c>
      <c r="G616" s="233">
        <v>-10463.08</v>
      </c>
      <c r="H616" s="230" t="s">
        <v>981</v>
      </c>
      <c r="I616" s="235">
        <f t="array" ref="I616">IFS(AND($B616&lt;&gt;"",$E616&lt;&gt;""),IF(INDEX(HistoricSummary!D:D,MATCH($C616,HistoricSummary!$A:$A,0),1)&lt;&gt;"",$E616*INDEX(HistoricSummary!D:D,MATCH($C616,HistoricSummary!$A:$A,0),1)+$G616,""),AND($B616&lt;&gt;"",$D616="COST",$G616&lt;0),$G616,TRUE,)</f>
        <v>3313.1328</v>
      </c>
      <c r="J616" s="235">
        <f t="array" ref="J616">IFS(AND($B616&lt;&gt;"",$E616&lt;&gt;""),IF(INDEX(HistoricSummary!E:E,MATCH($C616,HistoricSummary!$A:$A,0),1)&lt;&gt;"",$E616*INDEX(HistoricSummary!E:E,MATCH($C616,HistoricSummary!$A:$A,0),1)+$G616,""),AND($B616&lt;&gt;"",$D616="COST",$G616&lt;0),$G616,TRUE,)</f>
        <v>4025.361822</v>
      </c>
    </row>
    <row r="617">
      <c r="A617" s="184">
        <v>43405.0</v>
      </c>
      <c r="B617" s="229" t="s">
        <v>292</v>
      </c>
      <c r="C617" s="19" t="s">
        <v>293</v>
      </c>
      <c r="D617" s="231" t="s">
        <v>414</v>
      </c>
      <c r="E617" s="231">
        <v>16.0</v>
      </c>
      <c r="F617" s="232">
        <v>163.81</v>
      </c>
      <c r="G617" s="233">
        <v>-2620.96</v>
      </c>
      <c r="H617" s="230" t="s">
        <v>982</v>
      </c>
      <c r="I617" s="235">
        <f t="array" ref="I617">IFS(AND($B617&lt;&gt;"",$E617&lt;&gt;""),IF(INDEX(HistoricSummary!D:D,MATCH($C617,HistoricSummary!$A:$A,0),1)&lt;&gt;"",$E617*INDEX(HistoricSummary!D:D,MATCH($C617,HistoricSummary!$A:$A,0),1)+$G617,""),AND($B617&lt;&gt;"",$D617="COST",$G617&lt;0),$G617,TRUE,)</f>
        <v>362.4</v>
      </c>
      <c r="J617" s="235">
        <f t="array" ref="J617">IFS(AND($B617&lt;&gt;"",$E617&lt;&gt;""),IF(INDEX(HistoricSummary!E:E,MATCH($C617,HistoricSummary!$A:$A,0),1)&lt;&gt;"",$E617*INDEX(HistoricSummary!E:E,MATCH($C617,HistoricSummary!$A:$A,0),1)+$G617,""),AND($B617&lt;&gt;"",$D617="COST",$G617&lt;0),$G617,TRUE,)</f>
        <v>465.2750388</v>
      </c>
    </row>
    <row r="618">
      <c r="A618" s="184">
        <v>43404.0</v>
      </c>
      <c r="B618" s="229"/>
      <c r="C618" s="230"/>
      <c r="D618" s="231" t="s">
        <v>432</v>
      </c>
      <c r="E618" s="231"/>
      <c r="F618" s="232"/>
      <c r="G618" s="233">
        <v>-555.0</v>
      </c>
      <c r="H618" s="230" t="s">
        <v>983</v>
      </c>
      <c r="I618" s="235" t="str">
        <f t="array" ref="I618">IFS(AND($B618&lt;&gt;"",$E618&lt;&gt;""),IF(INDEX(HistoricSummary!D:D,MATCH($C618,HistoricSummary!$A:$A,0),1)&lt;&gt;"",$E618*INDEX(HistoricSummary!D:D,MATCH($C618,HistoricSummary!$A:$A,0),1)+$G618,""),AND($B618&lt;&gt;"",$D618="COST",$G618&lt;0),$G618,TRUE,)</f>
        <v/>
      </c>
      <c r="J618" s="235" t="str">
        <f t="array" ref="J618">IFS(AND($B618&lt;&gt;"",$E618&lt;&gt;""),IF(INDEX(HistoricSummary!E:E,MATCH($C618,HistoricSummary!$A:$A,0),1)&lt;&gt;"",$E618*INDEX(HistoricSummary!E:E,MATCH($C618,HistoricSummary!$A:$A,0),1)+$G618,""),AND($B618&lt;&gt;"",$D618="COST",$G618&lt;0),$G618,TRUE,)</f>
        <v/>
      </c>
    </row>
    <row r="619">
      <c r="A619" s="184">
        <v>43398.0</v>
      </c>
      <c r="B619" s="19"/>
      <c r="C619" s="19"/>
      <c r="D619" s="19" t="s">
        <v>454</v>
      </c>
      <c r="E619" s="19"/>
      <c r="F619" s="232"/>
      <c r="G619" s="233">
        <v>6060.0</v>
      </c>
      <c r="H619" s="19" t="s">
        <v>984</v>
      </c>
      <c r="I619" s="235" t="str">
        <f t="array" ref="I619">IFS(AND($B619&lt;&gt;"",$E619&lt;&gt;""),IF(INDEX(HistoricSummary!D:D,MATCH($C619,HistoricSummary!$A:$A,0),1)&lt;&gt;"",$E619*INDEX(HistoricSummary!D:D,MATCH($C619,HistoricSummary!$A:$A,0),1)+$G619,""),AND($B619&lt;&gt;"",$D619="COST",$G619&lt;0),$G619,TRUE,)</f>
        <v/>
      </c>
      <c r="J619" s="235" t="str">
        <f t="array" ref="J619">IFS(AND($B619&lt;&gt;"",$E619&lt;&gt;""),IF(INDEX(HistoricSummary!E:E,MATCH($C619,HistoricSummary!$A:$A,0),1)&lt;&gt;"",$E619*INDEX(HistoricSummary!E:E,MATCH($C619,HistoricSummary!$A:$A,0),1)+$G619,""),AND($B619&lt;&gt;"",$D619="COST",$G619&lt;0),$G619,TRUE,)</f>
        <v/>
      </c>
    </row>
    <row r="620">
      <c r="A620" s="184">
        <v>43385.0</v>
      </c>
      <c r="B620" s="19" t="s">
        <v>298</v>
      </c>
      <c r="C620" s="19" t="s">
        <v>867</v>
      </c>
      <c r="D620" s="19" t="s">
        <v>432</v>
      </c>
      <c r="E620" s="19"/>
      <c r="F620" s="232"/>
      <c r="G620" s="233">
        <v>-2.82</v>
      </c>
      <c r="H620" s="19" t="s">
        <v>985</v>
      </c>
      <c r="I620" s="235">
        <f t="array" ref="I620">IFS(AND($B620&lt;&gt;"",$E620&lt;&gt;""),IF(INDEX(HistoricSummary!D:D,MATCH($C620,HistoricSummary!$A:$A,0),1)&lt;&gt;"",$E620*INDEX(HistoricSummary!D:D,MATCH($C620,HistoricSummary!$A:$A,0),1)+$G620,""),AND($B620&lt;&gt;"",$D620="COST",$G620&lt;0),$G620,TRUE,)</f>
        <v>-2.82</v>
      </c>
      <c r="J620" s="235">
        <f t="array" ref="J620">IFS(AND($B620&lt;&gt;"",$E620&lt;&gt;""),IF(INDEX(HistoricSummary!E:E,MATCH($C620,HistoricSummary!$A:$A,0),1)&lt;&gt;"",$E620*INDEX(HistoricSummary!E:E,MATCH($C620,HistoricSummary!$A:$A,0),1)+$G620,""),AND($B620&lt;&gt;"",$D620="COST",$G620&lt;0),$G620,TRUE,)</f>
        <v>-2.82</v>
      </c>
    </row>
    <row r="621">
      <c r="A621" s="184">
        <v>43385.0</v>
      </c>
      <c r="B621" s="19" t="s">
        <v>298</v>
      </c>
      <c r="C621" s="19" t="s">
        <v>867</v>
      </c>
      <c r="D621" s="19" t="s">
        <v>415</v>
      </c>
      <c r="E621" s="50">
        <v>-1106.0</v>
      </c>
      <c r="F621" s="232">
        <v>3.708</v>
      </c>
      <c r="G621" s="233">
        <v>4101.58</v>
      </c>
      <c r="H621" s="19" t="s">
        <v>986</v>
      </c>
      <c r="I621" s="235">
        <f t="array" ref="I621">IFS(AND($B621&lt;&gt;"",$E621&lt;&gt;""),IF(INDEX(HistoricSummary!D:D,MATCH($C621,HistoricSummary!$A:$A,0),1)&lt;&gt;"",$E621*INDEX(HistoricSummary!D:D,MATCH($C621,HistoricSummary!$A:$A,0),1)+$G621,""),AND($B621&lt;&gt;"",$D621="COST",$G621&lt;0),$G621,TRUE,)</f>
        <v>-1367.3688</v>
      </c>
      <c r="J621" s="235">
        <f t="array" ref="J621">IFS(AND($B621&lt;&gt;"",$E621&lt;&gt;""),IF(INDEX(HistoricSummary!E:E,MATCH($C621,HistoricSummary!$A:$A,0),1)&lt;&gt;"",$E621*INDEX(HistoricSummary!E:E,MATCH($C621,HistoricSummary!$A:$A,0),1)+$G621,""),AND($B621&lt;&gt;"",$D621="COST",$G621&lt;0),$G621,TRUE,)</f>
        <v>-1650.112984</v>
      </c>
    </row>
    <row r="622">
      <c r="A622" s="184">
        <v>43385.0</v>
      </c>
      <c r="B622" s="19" t="s">
        <v>292</v>
      </c>
      <c r="C622" s="19" t="s">
        <v>293</v>
      </c>
      <c r="D622" s="19" t="s">
        <v>415</v>
      </c>
      <c r="E622" s="19">
        <v>-11.0</v>
      </c>
      <c r="F622" s="232">
        <v>160.47</v>
      </c>
      <c r="G622" s="233">
        <v>1765.17</v>
      </c>
      <c r="H622" s="19" t="s">
        <v>987</v>
      </c>
      <c r="I622" s="235">
        <f t="array" ref="I622">IFS(AND($B622&lt;&gt;"",$E622&lt;&gt;""),IF(INDEX(HistoricSummary!D:D,MATCH($C622,HistoricSummary!$A:$A,0),1)&lt;&gt;"",$E622*INDEX(HistoricSummary!D:D,MATCH($C622,HistoricSummary!$A:$A,0),1)+$G622,""),AND($B622&lt;&gt;"",$D622="COST",$G622&lt;0),$G622,TRUE,)</f>
        <v>-285.89</v>
      </c>
      <c r="J622" s="235">
        <f t="array" ref="J622">IFS(AND($B622&lt;&gt;"",$E622&lt;&gt;""),IF(INDEX(HistoricSummary!E:E,MATCH($C622,HistoricSummary!$A:$A,0),1)&lt;&gt;"",$E622*INDEX(HistoricSummary!E:E,MATCH($C622,HistoricSummary!$A:$A,0),1)+$G622,""),AND($B622&lt;&gt;"",$D622="COST",$G622&lt;0),$G622,TRUE,)</f>
        <v>-356.6165891</v>
      </c>
    </row>
    <row r="623">
      <c r="A623" s="184">
        <v>43385.0</v>
      </c>
      <c r="B623" s="19" t="s">
        <v>302</v>
      </c>
      <c r="C623" s="19" t="s">
        <v>303</v>
      </c>
      <c r="D623" s="19" t="s">
        <v>414</v>
      </c>
      <c r="E623" s="19">
        <v>55.0</v>
      </c>
      <c r="F623" s="232">
        <v>45.353</v>
      </c>
      <c r="G623" s="233">
        <v>-2494.42</v>
      </c>
      <c r="H623" s="19" t="s">
        <v>988</v>
      </c>
      <c r="I623" s="235">
        <f t="array" ref="I623">IFS(AND($B623&lt;&gt;"",$E623&lt;&gt;""),IF(INDEX(HistoricSummary!D:D,MATCH($C623,HistoricSummary!$A:$A,0),1)&lt;&gt;"",$E623*INDEX(HistoricSummary!D:D,MATCH($C623,HistoricSummary!$A:$A,0),1)+$G623,""),AND($B623&lt;&gt;"",$D623="COST",$G623&lt;0),$G623,TRUE,)</f>
        <v>675.67</v>
      </c>
      <c r="J623" s="235">
        <f t="array" ref="J623">IFS(AND($B623&lt;&gt;"",$E623&lt;&gt;""),IF(INDEX(HistoricSummary!E:E,MATCH($C623,HistoricSummary!$A:$A,0),1)&lt;&gt;"",$E623*INDEX(HistoricSummary!E:E,MATCH($C623,HistoricSummary!$A:$A,0),1)+$G623,""),AND($B623&lt;&gt;"",$D623="COST",$G623&lt;0),$G623,TRUE,)</f>
        <v>422.3498062</v>
      </c>
    </row>
    <row r="624">
      <c r="A624" s="184">
        <v>43385.0</v>
      </c>
      <c r="B624" s="19" t="s">
        <v>298</v>
      </c>
      <c r="C624" s="19" t="s">
        <v>867</v>
      </c>
      <c r="D624" s="19" t="s">
        <v>432</v>
      </c>
      <c r="E624" s="19"/>
      <c r="F624" s="232"/>
      <c r="G624" s="233">
        <v>-4.42</v>
      </c>
      <c r="H624" s="19" t="s">
        <v>925</v>
      </c>
      <c r="I624" s="235">
        <f t="array" ref="I624">IFS(AND($B624&lt;&gt;"",$E624&lt;&gt;""),IF(INDEX(HistoricSummary!D:D,MATCH($C624,HistoricSummary!$A:$A,0),1)&lt;&gt;"",$E624*INDEX(HistoricSummary!D:D,MATCH($C624,HistoricSummary!$A:$A,0),1)+$G624,""),AND($B624&lt;&gt;"",$D624="COST",$G624&lt;0),$G624,TRUE,)</f>
        <v>-4.42</v>
      </c>
      <c r="J624" s="235">
        <f t="array" ref="J624">IFS(AND($B624&lt;&gt;"",$E624&lt;&gt;""),IF(INDEX(HistoricSummary!E:E,MATCH($C624,HistoricSummary!$A:$A,0),1)&lt;&gt;"",$E624*INDEX(HistoricSummary!E:E,MATCH($C624,HistoricSummary!$A:$A,0),1)+$G624,""),AND($B624&lt;&gt;"",$D624="COST",$G624&lt;0),$G624,TRUE,)</f>
        <v>-4.42</v>
      </c>
    </row>
    <row r="625">
      <c r="A625" s="184">
        <v>43385.0</v>
      </c>
      <c r="B625" s="19" t="s">
        <v>298</v>
      </c>
      <c r="C625" s="19" t="s">
        <v>867</v>
      </c>
      <c r="D625" s="19" t="s">
        <v>415</v>
      </c>
      <c r="E625" s="50">
        <v>-3258.0</v>
      </c>
      <c r="F625" s="232">
        <v>3.707</v>
      </c>
      <c r="G625" s="233">
        <v>12076.62</v>
      </c>
      <c r="H625" s="19" t="s">
        <v>989</v>
      </c>
      <c r="I625" s="235">
        <f t="array" ref="I625">IFS(AND($B625&lt;&gt;"",$E625&lt;&gt;""),IF(INDEX(HistoricSummary!D:D,MATCH($C625,HistoricSummary!$A:$A,0),1)&lt;&gt;"",$E625*INDEX(HistoricSummary!D:D,MATCH($C625,HistoricSummary!$A:$A,0),1)+$G625,""),AND($B625&lt;&gt;"",$D625="COST",$G625&lt;0),$G625,TRUE,)</f>
        <v>-4033.5384</v>
      </c>
      <c r="J625" s="235">
        <f t="array" ref="J625">IFS(AND($B625&lt;&gt;"",$E625&lt;&gt;""),IF(INDEX(HistoricSummary!E:E,MATCH($C625,HistoricSummary!$A:$A,0),1)&lt;&gt;"",$E625*INDEX(HistoricSummary!E:E,MATCH($C625,HistoricSummary!$A:$A,0),1)+$G625,""),AND($B625&lt;&gt;"",$D625="COST",$G625&lt;0),$G625,TRUE,)</f>
        <v>-4866.432209</v>
      </c>
    </row>
    <row r="626">
      <c r="A626" s="184">
        <v>43385.0</v>
      </c>
      <c r="B626" s="19" t="s">
        <v>288</v>
      </c>
      <c r="C626" s="19" t="s">
        <v>289</v>
      </c>
      <c r="D626" s="19" t="s">
        <v>415</v>
      </c>
      <c r="E626" s="19">
        <v>-10.0</v>
      </c>
      <c r="F626" s="232">
        <v>100.61</v>
      </c>
      <c r="G626" s="233">
        <v>1006.1</v>
      </c>
      <c r="H626" s="19" t="s">
        <v>990</v>
      </c>
      <c r="I626" s="235">
        <f t="array" ref="I626">IFS(AND($B626&lt;&gt;"",$E626&lt;&gt;""),IF(INDEX(HistoricSummary!D:D,MATCH($C626,HistoricSummary!$A:$A,0),1)&lt;&gt;"",$E626*INDEX(HistoricSummary!D:D,MATCH($C626,HistoricSummary!$A:$A,0),1)+$G626,""),AND($B626&lt;&gt;"",$D626="COST",$G626&lt;0),$G626,TRUE,)</f>
        <v>-496.7</v>
      </c>
      <c r="J626" s="235">
        <f t="array" ref="J626">IFS(AND($B626&lt;&gt;"",$E626&lt;&gt;""),IF(INDEX(HistoricSummary!E:E,MATCH($C626,HistoricSummary!$A:$A,0),1)&lt;&gt;"",$E626*INDEX(HistoricSummary!E:E,MATCH($C626,HistoricSummary!$A:$A,0),1)+$G626,""),AND($B626&lt;&gt;"",$D626="COST",$G626&lt;0),$G626,TRUE,)</f>
        <v>-440.2399225</v>
      </c>
    </row>
    <row r="627">
      <c r="A627" s="184">
        <v>43385.0</v>
      </c>
      <c r="B627" s="19" t="s">
        <v>292</v>
      </c>
      <c r="C627" s="19" t="s">
        <v>293</v>
      </c>
      <c r="D627" s="19" t="s">
        <v>415</v>
      </c>
      <c r="E627" s="19">
        <v>-13.0</v>
      </c>
      <c r="F627" s="232">
        <v>160.39</v>
      </c>
      <c r="G627" s="233">
        <v>2085.07</v>
      </c>
      <c r="H627" s="19" t="s">
        <v>991</v>
      </c>
      <c r="I627" s="235">
        <f t="array" ref="I627">IFS(AND($B627&lt;&gt;"",$E627&lt;&gt;""),IF(INDEX(HistoricSummary!D:D,MATCH($C627,HistoricSummary!$A:$A,0),1)&lt;&gt;"",$E627*INDEX(HistoricSummary!D:D,MATCH($C627,HistoricSummary!$A:$A,0),1)+$G627,""),AND($B627&lt;&gt;"",$D627="COST",$G627&lt;0),$G627,TRUE,)</f>
        <v>-338.91</v>
      </c>
      <c r="J627" s="235">
        <f t="array" ref="J627">IFS(AND($B627&lt;&gt;"",$E627&lt;&gt;""),IF(INDEX(HistoricSummary!E:E,MATCH($C627,HistoricSummary!$A:$A,0),1)&lt;&gt;"",$E627*INDEX(HistoricSummary!E:E,MATCH($C627,HistoricSummary!$A:$A,0),1)+$G627,""),AND($B627&lt;&gt;"",$D627="COST",$G627&lt;0),$G627,TRUE,)</f>
        <v>-422.495969</v>
      </c>
    </row>
    <row r="628">
      <c r="A628" s="184">
        <v>43385.0</v>
      </c>
      <c r="B628" s="19" t="s">
        <v>283</v>
      </c>
      <c r="C628" s="19" t="s">
        <v>286</v>
      </c>
      <c r="D628" s="19" t="s">
        <v>415</v>
      </c>
      <c r="E628" s="19">
        <v>-32.0</v>
      </c>
      <c r="F628" s="232">
        <v>7.607</v>
      </c>
      <c r="G628" s="233">
        <v>243.42</v>
      </c>
      <c r="H628" s="19" t="s">
        <v>992</v>
      </c>
      <c r="I628" s="235">
        <f t="array" ref="I628">IFS(AND($B628&lt;&gt;"",$E628&lt;&gt;""),IF(INDEX(HistoricSummary!D:D,MATCH($C628,HistoricSummary!$A:$A,0),1)&lt;&gt;"",$E628*INDEX(HistoricSummary!D:D,MATCH($C628,HistoricSummary!$A:$A,0),1)+$G628,""),AND($B628&lt;&gt;"",$D628="COST",$G628&lt;0),$G628,TRUE,)</f>
        <v>35.644</v>
      </c>
      <c r="J628" s="235">
        <f t="array" ref="J628">IFS(AND($B628&lt;&gt;"",$E628&lt;&gt;""),IF(INDEX(HistoricSummary!E:E,MATCH($C628,HistoricSummary!$A:$A,0),1)&lt;&gt;"",$E628*INDEX(HistoricSummary!E:E,MATCH($C628,HistoricSummary!$A:$A,0),1)+$G628,""),AND($B628&lt;&gt;"",$D628="COST",$G628&lt;0),$G628,TRUE,)</f>
        <v>36.97460465</v>
      </c>
    </row>
    <row r="629">
      <c r="A629" s="184">
        <v>43385.0</v>
      </c>
      <c r="B629" s="19" t="s">
        <v>283</v>
      </c>
      <c r="C629" s="19" t="s">
        <v>286</v>
      </c>
      <c r="D629" s="19" t="s">
        <v>432</v>
      </c>
      <c r="E629" s="19"/>
      <c r="F629" s="232"/>
      <c r="G629" s="233">
        <v>-2.05</v>
      </c>
      <c r="H629" s="19" t="s">
        <v>993</v>
      </c>
      <c r="I629" s="235">
        <f t="array" ref="I629">IFS(AND($B629&lt;&gt;"",$E629&lt;&gt;""),IF(INDEX(HistoricSummary!D:D,MATCH($C629,HistoricSummary!$A:$A,0),1)&lt;&gt;"",$E629*INDEX(HistoricSummary!D:D,MATCH($C629,HistoricSummary!$A:$A,0),1)+$G629,""),AND($B629&lt;&gt;"",$D629="COST",$G629&lt;0),$G629,TRUE,)</f>
        <v>-2.05</v>
      </c>
      <c r="J629" s="235">
        <f t="array" ref="J629">IFS(AND($B629&lt;&gt;"",$E629&lt;&gt;""),IF(INDEX(HistoricSummary!E:E,MATCH($C629,HistoricSummary!$A:$A,0),1)&lt;&gt;"",$E629*INDEX(HistoricSummary!E:E,MATCH($C629,HistoricSummary!$A:$A,0),1)+$G629,""),AND($B629&lt;&gt;"",$D629="COST",$G629&lt;0),$G629,TRUE,)</f>
        <v>-2.05</v>
      </c>
    </row>
    <row r="630">
      <c r="A630" s="184">
        <v>43383.0</v>
      </c>
      <c r="B630" s="229" t="s">
        <v>302</v>
      </c>
      <c r="C630" s="230" t="s">
        <v>303</v>
      </c>
      <c r="D630" s="231" t="s">
        <v>475</v>
      </c>
      <c r="E630" s="231"/>
      <c r="F630" s="232"/>
      <c r="G630" s="233">
        <v>-136.05</v>
      </c>
      <c r="H630" s="230" t="s">
        <v>994</v>
      </c>
      <c r="I630" s="235" t="str">
        <f t="array" ref="I630">IFS(AND($B630&lt;&gt;"",$E630&lt;&gt;""),IF(INDEX(HistoricSummary!D:D,MATCH($C630,HistoricSummary!$A:$A,0),1)&lt;&gt;"",$E630*INDEX(HistoricSummary!D:D,MATCH($C630,HistoricSummary!$A:$A,0),1)+$G630,""),AND($B630&lt;&gt;"",$D630="COST",$G630&lt;0),$G630,TRUE,)</f>
        <v/>
      </c>
      <c r="J630" s="235" t="str">
        <f t="array" ref="J630">IFS(AND($B630&lt;&gt;"",$E630&lt;&gt;""),IF(INDEX(HistoricSummary!E:E,MATCH($C630,HistoricSummary!$A:$A,0),1)&lt;&gt;"",$E630*INDEX(HistoricSummary!E:E,MATCH($C630,HistoricSummary!$A:$A,0),1)+$G630,""),AND($B630&lt;&gt;"",$D630="COST",$G630&lt;0),$G630,TRUE,)</f>
        <v/>
      </c>
    </row>
    <row r="631">
      <c r="A631" s="184">
        <v>43383.0</v>
      </c>
      <c r="B631" s="19" t="s">
        <v>302</v>
      </c>
      <c r="C631" s="19" t="s">
        <v>303</v>
      </c>
      <c r="D631" s="19" t="s">
        <v>475</v>
      </c>
      <c r="E631" s="19"/>
      <c r="F631" s="232"/>
      <c r="G631" s="233">
        <v>1024.7</v>
      </c>
      <c r="H631" s="19" t="s">
        <v>995</v>
      </c>
      <c r="I631" s="235" t="str">
        <f t="array" ref="I631">IFS(AND($B631&lt;&gt;"",$E631&lt;&gt;""),IF(INDEX(HistoricSummary!D:D,MATCH($C631,HistoricSummary!$A:$A,0),1)&lt;&gt;"",$E631*INDEX(HistoricSummary!D:D,MATCH($C631,HistoricSummary!$A:$A,0),1)+$G631,""),AND($B631&lt;&gt;"",$D631="COST",$G631&lt;0),$G631,TRUE,)</f>
        <v/>
      </c>
      <c r="J631" s="235" t="str">
        <f t="array" ref="J631">IFS(AND($B631&lt;&gt;"",$E631&lt;&gt;""),IF(INDEX(HistoricSummary!E:E,MATCH($C631,HistoricSummary!$A:$A,0),1)&lt;&gt;"",$E631*INDEX(HistoricSummary!E:E,MATCH($C631,HistoricSummary!$A:$A,0),1)+$G631,""),AND($B631&lt;&gt;"",$D631="COST",$G631&lt;0),$G631,TRUE,)</f>
        <v/>
      </c>
    </row>
    <row r="632">
      <c r="A632" s="184">
        <v>43378.0</v>
      </c>
      <c r="B632" s="19" t="s">
        <v>288</v>
      </c>
      <c r="C632" s="19" t="s">
        <v>289</v>
      </c>
      <c r="D632" s="19" t="s">
        <v>415</v>
      </c>
      <c r="E632" s="19">
        <v>-9.0</v>
      </c>
      <c r="F632" s="232">
        <v>99.89</v>
      </c>
      <c r="G632" s="233">
        <v>899.01</v>
      </c>
      <c r="H632" s="19" t="s">
        <v>996</v>
      </c>
      <c r="I632" s="235">
        <f t="array" ref="I632">IFS(AND($B632&lt;&gt;"",$E632&lt;&gt;""),IF(INDEX(HistoricSummary!D:D,MATCH($C632,HistoricSummary!$A:$A,0),1)&lt;&gt;"",$E632*INDEX(HistoricSummary!D:D,MATCH($C632,HistoricSummary!$A:$A,0),1)+$G632,""),AND($B632&lt;&gt;"",$D632="COST",$G632&lt;0),$G632,TRUE,)</f>
        <v>-453.51</v>
      </c>
      <c r="J632" s="235">
        <f t="array" ref="J632">IFS(AND($B632&lt;&gt;"",$E632&lt;&gt;""),IF(INDEX(HistoricSummary!E:E,MATCH($C632,HistoricSummary!$A:$A,0),1)&lt;&gt;"",$E632*INDEX(HistoricSummary!E:E,MATCH($C632,HistoricSummary!$A:$A,0),1)+$G632,""),AND($B632&lt;&gt;"",$D632="COST",$G632&lt;0),$G632,TRUE,)</f>
        <v>-402.6959302</v>
      </c>
    </row>
    <row r="633">
      <c r="A633" s="184">
        <v>43377.0</v>
      </c>
      <c r="B633" s="19" t="s">
        <v>283</v>
      </c>
      <c r="C633" s="19" t="s">
        <v>286</v>
      </c>
      <c r="D633" s="19" t="s">
        <v>415</v>
      </c>
      <c r="E633" s="19">
        <v>-238.0</v>
      </c>
      <c r="F633" s="232">
        <v>7.784</v>
      </c>
      <c r="G633" s="233">
        <v>1852.59</v>
      </c>
      <c r="H633" s="19" t="s">
        <v>997</v>
      </c>
      <c r="I633" s="235">
        <f t="array" ref="I633">IFS(AND($B633&lt;&gt;"",$E633&lt;&gt;""),IF(INDEX(HistoricSummary!D:D,MATCH($C633,HistoricSummary!$A:$A,0),1)&lt;&gt;"",$E633*INDEX(HistoricSummary!D:D,MATCH($C633,HistoricSummary!$A:$A,0),1)+$G633,""),AND($B633&lt;&gt;"",$D633="COST",$G633&lt;0),$G633,TRUE,)</f>
        <v>307.256</v>
      </c>
      <c r="J633" s="235">
        <f t="array" ref="J633">IFS(AND($B633&lt;&gt;"",$E633&lt;&gt;""),IF(INDEX(HistoricSummary!E:E,MATCH($C633,HistoricSummary!$A:$A,0),1)&lt;&gt;"",$E633*INDEX(HistoricSummary!E:E,MATCH($C633,HistoricSummary!$A:$A,0),1)+$G633,""),AND($B633&lt;&gt;"",$D633="COST",$G633&lt;0),$G633,TRUE,)</f>
        <v>317.1523721</v>
      </c>
    </row>
    <row r="634">
      <c r="A634" s="184">
        <v>43377.0</v>
      </c>
      <c r="B634" s="19" t="s">
        <v>292</v>
      </c>
      <c r="C634" s="19" t="s">
        <v>293</v>
      </c>
      <c r="D634" s="19" t="s">
        <v>415</v>
      </c>
      <c r="E634" s="19">
        <v>-5.0</v>
      </c>
      <c r="F634" s="232">
        <v>161.06</v>
      </c>
      <c r="G634" s="233">
        <v>805.3</v>
      </c>
      <c r="H634" s="19" t="s">
        <v>998</v>
      </c>
      <c r="I634" s="235">
        <f t="array" ref="I634">IFS(AND($B634&lt;&gt;"",$E634&lt;&gt;""),IF(INDEX(HistoricSummary!D:D,MATCH($C634,HistoricSummary!$A:$A,0),1)&lt;&gt;"",$E634*INDEX(HistoricSummary!D:D,MATCH($C634,HistoricSummary!$A:$A,0),1)+$G634,""),AND($B634&lt;&gt;"",$D634="COST",$G634&lt;0),$G634,TRUE,)</f>
        <v>-127</v>
      </c>
      <c r="J634" s="235">
        <f t="array" ref="J634">IFS(AND($B634&lt;&gt;"",$E634&lt;&gt;""),IF(INDEX(HistoricSummary!E:E,MATCH($C634,HistoricSummary!$A:$A,0),1)&lt;&gt;"",$E634*INDEX(HistoricSummary!E:E,MATCH($C634,HistoricSummary!$A:$A,0),1)+$G634,""),AND($B634&lt;&gt;"",$D634="COST",$G634&lt;0),$G634,TRUE,)</f>
        <v>-159.1484496</v>
      </c>
    </row>
    <row r="635">
      <c r="A635" s="184">
        <v>43377.0</v>
      </c>
      <c r="B635" s="19" t="s">
        <v>298</v>
      </c>
      <c r="C635" s="19" t="s">
        <v>867</v>
      </c>
      <c r="D635" s="19" t="s">
        <v>432</v>
      </c>
      <c r="E635" s="19"/>
      <c r="F635" s="232"/>
      <c r="G635" s="233">
        <v>-3.76</v>
      </c>
      <c r="H635" s="19" t="s">
        <v>999</v>
      </c>
      <c r="I635" s="235">
        <f t="array" ref="I635">IFS(AND($B635&lt;&gt;"",$E635&lt;&gt;""),IF(INDEX(HistoricSummary!D:D,MATCH($C635,HistoricSummary!$A:$A,0),1)&lt;&gt;"",$E635*INDEX(HistoricSummary!D:D,MATCH($C635,HistoricSummary!$A:$A,0),1)+$G635,""),AND($B635&lt;&gt;"",$D635="COST",$G635&lt;0),$G635,TRUE,)</f>
        <v>-3.76</v>
      </c>
      <c r="J635" s="235">
        <f t="array" ref="J635">IFS(AND($B635&lt;&gt;"",$E635&lt;&gt;""),IF(INDEX(HistoricSummary!E:E,MATCH($C635,HistoricSummary!$A:$A,0),1)&lt;&gt;"",$E635*INDEX(HistoricSummary!E:E,MATCH($C635,HistoricSummary!$A:$A,0),1)+$G635,""),AND($B635&lt;&gt;"",$D635="COST",$G635&lt;0),$G635,TRUE,)</f>
        <v>-3.76</v>
      </c>
    </row>
    <row r="636">
      <c r="A636" s="184">
        <v>43377.0</v>
      </c>
      <c r="B636" s="19" t="s">
        <v>298</v>
      </c>
      <c r="C636" s="19" t="s">
        <v>867</v>
      </c>
      <c r="D636" s="19" t="s">
        <v>414</v>
      </c>
      <c r="E636" s="50">
        <v>2361.0</v>
      </c>
      <c r="F636" s="232">
        <v>3.731</v>
      </c>
      <c r="G636" s="233">
        <v>-8808.53</v>
      </c>
      <c r="H636" s="19" t="s">
        <v>1000</v>
      </c>
      <c r="I636" s="235">
        <f t="array" ref="I636">IFS(AND($B636&lt;&gt;"",$E636&lt;&gt;""),IF(INDEX(HistoricSummary!D:D,MATCH($C636,HistoricSummary!$A:$A,0),1)&lt;&gt;"",$E636*INDEX(HistoricSummary!D:D,MATCH($C636,HistoricSummary!$A:$A,0),1)+$G636,""),AND($B636&lt;&gt;"",$D636="COST",$G636&lt;0),$G636,TRUE,)</f>
        <v>2866.1428</v>
      </c>
      <c r="J636" s="235">
        <f t="array" ref="J636">IFS(AND($B636&lt;&gt;"",$E636&lt;&gt;""),IF(INDEX(HistoricSummary!E:E,MATCH($C636,HistoricSummary!$A:$A,0),1)&lt;&gt;"",$E636*INDEX(HistoricSummary!E:E,MATCH($C636,HistoricSummary!$A:$A,0),1)+$G636,""),AND($B636&lt;&gt;"",$D636="COST",$G636&lt;0),$G636,TRUE,)</f>
        <v>3469.722384</v>
      </c>
    </row>
    <row r="637">
      <c r="A637" s="184">
        <v>43373.0</v>
      </c>
      <c r="B637" s="229"/>
      <c r="C637" s="230"/>
      <c r="D637" s="231" t="s">
        <v>432</v>
      </c>
      <c r="E637" s="231"/>
      <c r="F637" s="232"/>
      <c r="G637" s="233">
        <v>-501.62</v>
      </c>
      <c r="H637" s="230" t="s">
        <v>1001</v>
      </c>
      <c r="I637" s="235" t="str">
        <f t="array" ref="I637">IFS(AND($B637&lt;&gt;"",$E637&lt;&gt;""),IF(INDEX(HistoricSummary!D:D,MATCH($C637,HistoricSummary!$A:$A,0),1)&lt;&gt;"",$E637*INDEX(HistoricSummary!D:D,MATCH($C637,HistoricSummary!$A:$A,0),1)+$G637,""),AND($B637&lt;&gt;"",$D637="COST",$G637&lt;0),$G637,TRUE,)</f>
        <v/>
      </c>
      <c r="J637" s="235" t="str">
        <f t="array" ref="J637">IFS(AND($B637&lt;&gt;"",$E637&lt;&gt;""),IF(INDEX(HistoricSummary!E:E,MATCH($C637,HistoricSummary!$A:$A,0),1)&lt;&gt;"",$E637*INDEX(HistoricSummary!E:E,MATCH($C637,HistoricSummary!$A:$A,0),1)+$G637,""),AND($B637&lt;&gt;"",$D637="COST",$G637&lt;0),$G637,TRUE,)</f>
        <v/>
      </c>
    </row>
    <row r="638">
      <c r="A638" s="184">
        <v>43369.0</v>
      </c>
      <c r="B638" s="19" t="s">
        <v>302</v>
      </c>
      <c r="C638" s="19" t="s">
        <v>303</v>
      </c>
      <c r="D638" s="19" t="s">
        <v>415</v>
      </c>
      <c r="E638" s="19">
        <v>-30.0</v>
      </c>
      <c r="F638" s="232">
        <v>47.288</v>
      </c>
      <c r="G638" s="233">
        <v>1418.64</v>
      </c>
      <c r="H638" s="19" t="s">
        <v>1002</v>
      </c>
      <c r="I638" s="235">
        <f t="array" ref="I638">IFS(AND($B638&lt;&gt;"",$E638&lt;&gt;""),IF(INDEX(HistoricSummary!D:D,MATCH($C638,HistoricSummary!$A:$A,0),1)&lt;&gt;"",$E638*INDEX(HistoricSummary!D:D,MATCH($C638,HistoricSummary!$A:$A,0),1)+$G638,""),AND($B638&lt;&gt;"",$D638="COST",$G638&lt;0),$G638,TRUE,)</f>
        <v>-310.5</v>
      </c>
      <c r="J638" s="235">
        <f t="array" ref="J638">IFS(AND($B638&lt;&gt;"",$E638&lt;&gt;""),IF(INDEX(HistoricSummary!E:E,MATCH($C638,HistoricSummary!$A:$A,0),1)&lt;&gt;"",$E638*INDEX(HistoricSummary!E:E,MATCH($C638,HistoricSummary!$A:$A,0),1)+$G638,""),AND($B638&lt;&gt;"",$D638="COST",$G638&lt;0),$G638,TRUE,)</f>
        <v>-172.3253488</v>
      </c>
    </row>
    <row r="639">
      <c r="A639" s="184">
        <v>43369.0</v>
      </c>
      <c r="B639" s="19" t="s">
        <v>283</v>
      </c>
      <c r="C639" s="19" t="s">
        <v>286</v>
      </c>
      <c r="D639" s="19" t="s">
        <v>415</v>
      </c>
      <c r="E639" s="19">
        <v>-225.0</v>
      </c>
      <c r="F639" s="232">
        <v>7.373</v>
      </c>
      <c r="G639" s="233">
        <v>1658.92</v>
      </c>
      <c r="H639" s="19" t="s">
        <v>1003</v>
      </c>
      <c r="I639" s="235">
        <f t="array" ref="I639">IFS(AND($B639&lt;&gt;"",$E639&lt;&gt;""),IF(INDEX(HistoricSummary!D:D,MATCH($C639,HistoricSummary!$A:$A,0),1)&lt;&gt;"",$E639*INDEX(HistoricSummary!D:D,MATCH($C639,HistoricSummary!$A:$A,0),1)+$G639,""),AND($B639&lt;&gt;"",$D639="COST",$G639&lt;0),$G639,TRUE,)</f>
        <v>197.995</v>
      </c>
      <c r="J639" s="235">
        <f t="array" ref="J639">IFS(AND($B639&lt;&gt;"",$E639&lt;&gt;""),IF(INDEX(HistoricSummary!E:E,MATCH($C639,HistoricSummary!$A:$A,0),1)&lt;&gt;"",$E639*INDEX(HistoricSummary!E:E,MATCH($C639,HistoricSummary!$A:$A,0),1)+$G639,""),AND($B639&lt;&gt;"",$D639="COST",$G639&lt;0),$G639,TRUE,)</f>
        <v>207.350814</v>
      </c>
    </row>
    <row r="640">
      <c r="A640" s="184">
        <v>43369.0</v>
      </c>
      <c r="B640" s="19" t="s">
        <v>288</v>
      </c>
      <c r="C640" s="19" t="s">
        <v>289</v>
      </c>
      <c r="D640" s="19" t="s">
        <v>415</v>
      </c>
      <c r="E640" s="19">
        <v>-12.0</v>
      </c>
      <c r="F640" s="232">
        <v>97.53</v>
      </c>
      <c r="G640" s="233">
        <v>1170.36</v>
      </c>
      <c r="H640" s="19" t="s">
        <v>1004</v>
      </c>
      <c r="I640" s="235">
        <f t="array" ref="I640">IFS(AND($B640&lt;&gt;"",$E640&lt;&gt;""),IF(INDEX(HistoricSummary!D:D,MATCH($C640,HistoricSummary!$A:$A,0),1)&lt;&gt;"",$E640*INDEX(HistoricSummary!D:D,MATCH($C640,HistoricSummary!$A:$A,0),1)+$G640,""),AND($B640&lt;&gt;"",$D640="COST",$G640&lt;0),$G640,TRUE,)</f>
        <v>-633</v>
      </c>
      <c r="J640" s="235">
        <f t="array" ref="J640">IFS(AND($B640&lt;&gt;"",$E640&lt;&gt;""),IF(INDEX(HistoricSummary!E:E,MATCH($C640,HistoricSummary!$A:$A,0),1)&lt;&gt;"",$E640*INDEX(HistoricSummary!E:E,MATCH($C640,HistoricSummary!$A:$A,0),1)+$G640,""),AND($B640&lt;&gt;"",$D640="COST",$G640&lt;0),$G640,TRUE,)</f>
        <v>-565.247907</v>
      </c>
    </row>
    <row r="641">
      <c r="A641" s="184">
        <v>43367.0</v>
      </c>
      <c r="B641" s="19" t="s">
        <v>302</v>
      </c>
      <c r="C641" s="19" t="s">
        <v>303</v>
      </c>
      <c r="D641" s="19" t="s">
        <v>415</v>
      </c>
      <c r="E641" s="19">
        <v>-30.0</v>
      </c>
      <c r="F641" s="232">
        <v>47.385</v>
      </c>
      <c r="G641" s="233">
        <v>1421.55</v>
      </c>
      <c r="H641" s="19" t="s">
        <v>1005</v>
      </c>
      <c r="I641" s="235">
        <f t="array" ref="I641">IFS(AND($B641&lt;&gt;"",$E641&lt;&gt;""),IF(INDEX(HistoricSummary!D:D,MATCH($C641,HistoricSummary!$A:$A,0),1)&lt;&gt;"",$E641*INDEX(HistoricSummary!D:D,MATCH($C641,HistoricSummary!$A:$A,0),1)+$G641,""),AND($B641&lt;&gt;"",$D641="COST",$G641&lt;0),$G641,TRUE,)</f>
        <v>-307.59</v>
      </c>
      <c r="J641" s="235">
        <f t="array" ref="J641">IFS(AND($B641&lt;&gt;"",$E641&lt;&gt;""),IF(INDEX(HistoricSummary!E:E,MATCH($C641,HistoricSummary!$A:$A,0),1)&lt;&gt;"",$E641*INDEX(HistoricSummary!E:E,MATCH($C641,HistoricSummary!$A:$A,0),1)+$G641,""),AND($B641&lt;&gt;"",$D641="COST",$G641&lt;0),$G641,TRUE,)</f>
        <v>-169.4153488</v>
      </c>
    </row>
    <row r="642">
      <c r="A642" s="184">
        <v>43363.0</v>
      </c>
      <c r="B642" s="19" t="s">
        <v>283</v>
      </c>
      <c r="C642" s="19" t="s">
        <v>286</v>
      </c>
      <c r="D642" s="19" t="s">
        <v>415</v>
      </c>
      <c r="E642" s="19">
        <v>-250.0</v>
      </c>
      <c r="F642" s="232">
        <v>7.261</v>
      </c>
      <c r="G642" s="233">
        <v>1815.25</v>
      </c>
      <c r="H642" s="19" t="s">
        <v>1006</v>
      </c>
      <c r="I642" s="235">
        <f t="array" ref="I642">IFS(AND($B642&lt;&gt;"",$E642&lt;&gt;""),IF(INDEX(HistoricSummary!D:D,MATCH($C642,HistoricSummary!$A:$A,0),1)&lt;&gt;"",$E642*INDEX(HistoricSummary!D:D,MATCH($C642,HistoricSummary!$A:$A,0),1)+$G642,""),AND($B642&lt;&gt;"",$D642="COST",$G642&lt;0),$G642,TRUE,)</f>
        <v>192</v>
      </c>
      <c r="J642" s="235">
        <f t="array" ref="J642">IFS(AND($B642&lt;&gt;"",$E642&lt;&gt;""),IF(INDEX(HistoricSummary!E:E,MATCH($C642,HistoricSummary!$A:$A,0),1)&lt;&gt;"",$E642*INDEX(HistoricSummary!E:E,MATCH($C642,HistoricSummary!$A:$A,0),1)+$G642,""),AND($B642&lt;&gt;"",$D642="COST",$G642&lt;0),$G642,TRUE,)</f>
        <v>202.3953488</v>
      </c>
    </row>
    <row r="643">
      <c r="A643" s="184">
        <v>43363.0</v>
      </c>
      <c r="B643" s="19" t="s">
        <v>302</v>
      </c>
      <c r="C643" s="19" t="s">
        <v>303</v>
      </c>
      <c r="D643" s="19" t="s">
        <v>415</v>
      </c>
      <c r="E643" s="19">
        <v>-45.0</v>
      </c>
      <c r="F643" s="232">
        <v>47.386</v>
      </c>
      <c r="G643" s="233">
        <v>2132.37</v>
      </c>
      <c r="H643" s="19" t="s">
        <v>1007</v>
      </c>
      <c r="I643" s="235">
        <f t="array" ref="I643">IFS(AND($B643&lt;&gt;"",$E643&lt;&gt;""),IF(INDEX(HistoricSummary!D:D,MATCH($C643,HistoricSummary!$A:$A,0),1)&lt;&gt;"",$E643*INDEX(HistoricSummary!D:D,MATCH($C643,HistoricSummary!$A:$A,0),1)+$G643,""),AND($B643&lt;&gt;"",$D643="COST",$G643&lt;0),$G643,TRUE,)</f>
        <v>-461.34</v>
      </c>
      <c r="J643" s="235">
        <f t="array" ref="J643">IFS(AND($B643&lt;&gt;"",$E643&lt;&gt;""),IF(INDEX(HistoricSummary!E:E,MATCH($C643,HistoricSummary!$A:$A,0),1)&lt;&gt;"",$E643*INDEX(HistoricSummary!E:E,MATCH($C643,HistoricSummary!$A:$A,0),1)+$G643,""),AND($B643&lt;&gt;"",$D643="COST",$G643&lt;0),$G643,TRUE,)</f>
        <v>-254.0780233</v>
      </c>
    </row>
    <row r="644">
      <c r="A644" s="184">
        <v>43363.0</v>
      </c>
      <c r="B644" s="19" t="s">
        <v>298</v>
      </c>
      <c r="C644" s="19" t="s">
        <v>867</v>
      </c>
      <c r="D644" s="19" t="s">
        <v>432</v>
      </c>
      <c r="E644" s="19"/>
      <c r="F644" s="232"/>
      <c r="G644" s="233">
        <v>-2.54</v>
      </c>
      <c r="H644" s="19" t="s">
        <v>1008</v>
      </c>
      <c r="I644" s="235">
        <f t="array" ref="I644">IFS(AND($B644&lt;&gt;"",$E644&lt;&gt;""),IF(INDEX(HistoricSummary!D:D,MATCH($C644,HistoricSummary!$A:$A,0),1)&lt;&gt;"",$E644*INDEX(HistoricSummary!D:D,MATCH($C644,HistoricSummary!$A:$A,0),1)+$G644,""),AND($B644&lt;&gt;"",$D644="COST",$G644&lt;0),$G644,TRUE,)</f>
        <v>-2.54</v>
      </c>
      <c r="J644" s="235">
        <f t="array" ref="J644">IFS(AND($B644&lt;&gt;"",$E644&lt;&gt;""),IF(INDEX(HistoricSummary!E:E,MATCH($C644,HistoricSummary!$A:$A,0),1)&lt;&gt;"",$E644*INDEX(HistoricSummary!E:E,MATCH($C644,HistoricSummary!$A:$A,0),1)+$G644,""),AND($B644&lt;&gt;"",$D644="COST",$G644&lt;0),$G644,TRUE,)</f>
        <v>-2.54</v>
      </c>
    </row>
    <row r="645">
      <c r="A645" s="184">
        <v>43363.0</v>
      </c>
      <c r="B645" s="19" t="s">
        <v>298</v>
      </c>
      <c r="C645" s="19" t="s">
        <v>867</v>
      </c>
      <c r="D645" s="19" t="s">
        <v>414</v>
      </c>
      <c r="E645" s="19">
        <v>717.0</v>
      </c>
      <c r="F645" s="232">
        <v>3.757</v>
      </c>
      <c r="G645" s="233">
        <v>-2693.88</v>
      </c>
      <c r="H645" s="19" t="s">
        <v>1009</v>
      </c>
      <c r="I645" s="235">
        <f t="array" ref="I645">IFS(AND($B645&lt;&gt;"",$E645&lt;&gt;""),IF(INDEX(HistoricSummary!D:D,MATCH($C645,HistoricSummary!$A:$A,0),1)&lt;&gt;"",$E645*INDEX(HistoricSummary!D:D,MATCH($C645,HistoricSummary!$A:$A,0),1)+$G645,""),AND($B645&lt;&gt;"",$D645="COST",$G645&lt;0),$G645,TRUE,)</f>
        <v>851.5416</v>
      </c>
      <c r="J645" s="235">
        <f t="array" ref="J645">IFS(AND($B645&lt;&gt;"",$E645&lt;&gt;""),IF(INDEX(HistoricSummary!E:E,MATCH($C645,HistoricSummary!$A:$A,0),1)&lt;&gt;"",$E645*INDEX(HistoricSummary!E:E,MATCH($C645,HistoricSummary!$A:$A,0),1)+$G645,""),AND($B645&lt;&gt;"",$D645="COST",$G645&lt;0),$G645,TRUE,)</f>
        <v>1034.839593</v>
      </c>
    </row>
    <row r="646">
      <c r="A646" s="184">
        <v>43361.0</v>
      </c>
      <c r="B646" s="19" t="s">
        <v>298</v>
      </c>
      <c r="C646" s="19" t="s">
        <v>867</v>
      </c>
      <c r="D646" s="19" t="s">
        <v>432</v>
      </c>
      <c r="E646" s="19"/>
      <c r="F646" s="232"/>
      <c r="G646" s="233">
        <v>-2.4</v>
      </c>
      <c r="H646" s="19" t="s">
        <v>897</v>
      </c>
      <c r="I646" s="235">
        <f t="array" ref="I646">IFS(AND($B646&lt;&gt;"",$E646&lt;&gt;""),IF(INDEX(HistoricSummary!D:D,MATCH($C646,HistoricSummary!$A:$A,0),1)&lt;&gt;"",$E646*INDEX(HistoricSummary!D:D,MATCH($C646,HistoricSummary!$A:$A,0),1)+$G646,""),AND($B646&lt;&gt;"",$D646="COST",$G646&lt;0),$G646,TRUE,)</f>
        <v>-2.4</v>
      </c>
      <c r="J646" s="235">
        <f t="array" ref="J646">IFS(AND($B646&lt;&gt;"",$E646&lt;&gt;""),IF(INDEX(HistoricSummary!E:E,MATCH($C646,HistoricSummary!$A:$A,0),1)&lt;&gt;"",$E646*INDEX(HistoricSummary!E:E,MATCH($C646,HistoricSummary!$A:$A,0),1)+$G646,""),AND($B646&lt;&gt;"",$D646="COST",$G646&lt;0),$G646,TRUE,)</f>
        <v>-2.4</v>
      </c>
    </row>
    <row r="647">
      <c r="A647" s="184">
        <v>43361.0</v>
      </c>
      <c r="B647" s="19" t="s">
        <v>298</v>
      </c>
      <c r="C647" s="19" t="s">
        <v>867</v>
      </c>
      <c r="D647" s="19" t="s">
        <v>414</v>
      </c>
      <c r="E647" s="19">
        <v>525.0</v>
      </c>
      <c r="F647" s="232">
        <v>3.811</v>
      </c>
      <c r="G647" s="233">
        <v>-2000.72</v>
      </c>
      <c r="H647" s="19" t="s">
        <v>1010</v>
      </c>
      <c r="I647" s="235">
        <f t="array" ref="I647">IFS(AND($B647&lt;&gt;"",$E647&lt;&gt;""),IF(INDEX(HistoricSummary!D:D,MATCH($C647,HistoricSummary!$A:$A,0),1)&lt;&gt;"",$E647*INDEX(HistoricSummary!D:D,MATCH($C647,HistoricSummary!$A:$A,0),1)+$G647,""),AND($B647&lt;&gt;"",$D647="COST",$G647&lt;0),$G647,TRUE,)</f>
        <v>595.3</v>
      </c>
      <c r="J647" s="235">
        <f t="array" ref="J647">IFS(AND($B647&lt;&gt;"",$E647&lt;&gt;""),IF(INDEX(HistoricSummary!E:E,MATCH($C647,HistoricSummary!$A:$A,0),1)&lt;&gt;"",$E647*INDEX(HistoricSummary!E:E,MATCH($C647,HistoricSummary!$A:$A,0),1)+$G647,""),AND($B647&lt;&gt;"",$D647="COST",$G647&lt;0),$G647,TRUE,)</f>
        <v>729.5140116</v>
      </c>
    </row>
    <row r="648">
      <c r="A648" s="184">
        <v>43357.0</v>
      </c>
      <c r="B648" s="19"/>
      <c r="C648" s="19"/>
      <c r="D648" s="19" t="s">
        <v>454</v>
      </c>
      <c r="E648" s="19"/>
      <c r="F648" s="232"/>
      <c r="G648" s="233">
        <v>440.0</v>
      </c>
      <c r="H648" s="19" t="s">
        <v>1011</v>
      </c>
      <c r="I648" s="235" t="str">
        <f t="array" ref="I648">IFS(AND($B648&lt;&gt;"",$E648&lt;&gt;""),IF(INDEX(HistoricSummary!D:D,MATCH($C648,HistoricSummary!$A:$A,0),1)&lt;&gt;"",$E648*INDEX(HistoricSummary!D:D,MATCH($C648,HistoricSummary!$A:$A,0),1)+$G648,""),AND($B648&lt;&gt;"",$D648="COST",$G648&lt;0),$G648,TRUE,)</f>
        <v/>
      </c>
      <c r="J648" s="235" t="str">
        <f t="array" ref="J648">IFS(AND($B648&lt;&gt;"",$E648&lt;&gt;""),IF(INDEX(HistoricSummary!E:E,MATCH($C648,HistoricSummary!$A:$A,0),1)&lt;&gt;"",$E648*INDEX(HistoricSummary!E:E,MATCH($C648,HistoricSummary!$A:$A,0),1)+$G648,""),AND($B648&lt;&gt;"",$D648="COST",$G648&lt;0),$G648,TRUE,)</f>
        <v/>
      </c>
    </row>
    <row r="649">
      <c r="A649" s="184">
        <v>43354.0</v>
      </c>
      <c r="B649" s="19"/>
      <c r="C649" s="19"/>
      <c r="D649" s="19" t="s">
        <v>454</v>
      </c>
      <c r="E649" s="19"/>
      <c r="F649" s="232"/>
      <c r="G649" s="233">
        <v>-500.0</v>
      </c>
      <c r="H649" s="19" t="s">
        <v>780</v>
      </c>
      <c r="I649" s="235" t="str">
        <f t="array" ref="I649">IFS(AND($B649&lt;&gt;"",$E649&lt;&gt;""),IF(INDEX(HistoricSummary!D:D,MATCH($C649,HistoricSummary!$A:$A,0),1)&lt;&gt;"",$E649*INDEX(HistoricSummary!D:D,MATCH($C649,HistoricSummary!$A:$A,0),1)+$G649,""),AND($B649&lt;&gt;"",$D649="COST",$G649&lt;0),$G649,TRUE,)</f>
        <v/>
      </c>
      <c r="J649" s="235" t="str">
        <f t="array" ref="J649">IFS(AND($B649&lt;&gt;"",$E649&lt;&gt;""),IF(INDEX(HistoricSummary!E:E,MATCH($C649,HistoricSummary!$A:$A,0),1)&lt;&gt;"",$E649*INDEX(HistoricSummary!E:E,MATCH($C649,HistoricSummary!$A:$A,0),1)+$G649,""),AND($B649&lt;&gt;"",$D649="COST",$G649&lt;0),$G649,TRUE,)</f>
        <v/>
      </c>
    </row>
    <row r="650">
      <c r="A650" s="184">
        <v>43349.0</v>
      </c>
      <c r="B650" s="19" t="s">
        <v>298</v>
      </c>
      <c r="C650" s="19" t="s">
        <v>867</v>
      </c>
      <c r="D650" s="19" t="s">
        <v>432</v>
      </c>
      <c r="E650" s="19"/>
      <c r="F650" s="232"/>
      <c r="G650" s="233">
        <v>-2.26</v>
      </c>
      <c r="H650" s="19" t="s">
        <v>806</v>
      </c>
      <c r="I650" s="235">
        <f t="array" ref="I650">IFS(AND($B650&lt;&gt;"",$E650&lt;&gt;""),IF(INDEX(HistoricSummary!D:D,MATCH($C650,HistoricSummary!$A:$A,0),1)&lt;&gt;"",$E650*INDEX(HistoricSummary!D:D,MATCH($C650,HistoricSummary!$A:$A,0),1)+$G650,""),AND($B650&lt;&gt;"",$D650="COST",$G650&lt;0),$G650,TRUE,)</f>
        <v>-2.26</v>
      </c>
      <c r="J650" s="235">
        <f t="array" ref="J650">IFS(AND($B650&lt;&gt;"",$E650&lt;&gt;""),IF(INDEX(HistoricSummary!E:E,MATCH($C650,HistoricSummary!$A:$A,0),1)&lt;&gt;"",$E650*INDEX(HistoricSummary!E:E,MATCH($C650,HistoricSummary!$A:$A,0),1)+$G650,""),AND($B650&lt;&gt;"",$D650="COST",$G650&lt;0),$G650,TRUE,)</f>
        <v>-2.26</v>
      </c>
    </row>
    <row r="651">
      <c r="A651" s="184">
        <v>43349.0</v>
      </c>
      <c r="B651" s="19" t="s">
        <v>298</v>
      </c>
      <c r="C651" s="19" t="s">
        <v>867</v>
      </c>
      <c r="D651" s="19" t="s">
        <v>414</v>
      </c>
      <c r="E651" s="19">
        <v>336.0</v>
      </c>
      <c r="F651" s="232">
        <v>3.874</v>
      </c>
      <c r="G651" s="233">
        <v>-1301.59</v>
      </c>
      <c r="H651" s="19" t="s">
        <v>1012</v>
      </c>
      <c r="I651" s="235">
        <f t="array" ref="I651">IFS(AND($B651&lt;&gt;"",$E651&lt;&gt;""),IF(INDEX(HistoricSummary!D:D,MATCH($C651,HistoricSummary!$A:$A,0),1)&lt;&gt;"",$E651*INDEX(HistoricSummary!D:D,MATCH($C651,HistoricSummary!$A:$A,0),1)+$G651,""),AND($B651&lt;&gt;"",$D651="COST",$G651&lt;0),$G651,TRUE,)</f>
        <v>359.8628</v>
      </c>
      <c r="J651" s="235">
        <f t="array" ref="J651">IFS(AND($B651&lt;&gt;"",$E651&lt;&gt;""),IF(INDEX(HistoricSummary!E:E,MATCH($C651,HistoricSummary!$A:$A,0),1)&lt;&gt;"",$E651*INDEX(HistoricSummary!E:E,MATCH($C651,HistoricSummary!$A:$A,0),1)+$G651,""),AND($B651&lt;&gt;"",$D651="COST",$G651&lt;0),$G651,TRUE,)</f>
        <v>445.7597674</v>
      </c>
    </row>
    <row r="652">
      <c r="A652" s="184">
        <v>43349.0</v>
      </c>
      <c r="B652" s="229" t="s">
        <v>298</v>
      </c>
      <c r="C652" s="230" t="s">
        <v>301</v>
      </c>
      <c r="D652" s="231" t="s">
        <v>475</v>
      </c>
      <c r="E652" s="231"/>
      <c r="F652" s="232"/>
      <c r="G652" s="233">
        <v>-12.85</v>
      </c>
      <c r="H652" s="230" t="s">
        <v>1013</v>
      </c>
      <c r="I652" s="235" t="str">
        <f t="array" ref="I652">IFS(AND($B652&lt;&gt;"",$E652&lt;&gt;""),IF(INDEX(HistoricSummary!D:D,MATCH($C652,HistoricSummary!$A:$A,0),1)&lt;&gt;"",$E652*INDEX(HistoricSummary!D:D,MATCH($C652,HistoricSummary!$A:$A,0),1)+$G652,""),AND($B652&lt;&gt;"",$D652="COST",$G652&lt;0),$G652,TRUE,)</f>
        <v/>
      </c>
      <c r="J652" s="235" t="str">
        <f t="array" ref="J652">IFS(AND($B652&lt;&gt;"",$E652&lt;&gt;""),IF(INDEX(HistoricSummary!E:E,MATCH($C652,HistoricSummary!$A:$A,0),1)&lt;&gt;"",$E652*INDEX(HistoricSummary!E:E,MATCH($C652,HistoricSummary!$A:$A,0),1)+$G652,""),AND($B652&lt;&gt;"",$D652="COST",$G652&lt;0),$G652,TRUE,)</f>
        <v/>
      </c>
    </row>
    <row r="653">
      <c r="A653" s="184">
        <v>43343.0</v>
      </c>
      <c r="B653" s="229"/>
      <c r="C653" s="230"/>
      <c r="D653" s="231" t="s">
        <v>432</v>
      </c>
      <c r="E653" s="231"/>
      <c r="F653" s="232"/>
      <c r="G653" s="233">
        <v>-573.99</v>
      </c>
      <c r="H653" s="230" t="s">
        <v>1014</v>
      </c>
      <c r="I653" s="235" t="str">
        <f t="array" ref="I653">IFS(AND($B653&lt;&gt;"",$E653&lt;&gt;""),IF(INDEX(HistoricSummary!D:D,MATCH($C653,HistoricSummary!$A:$A,0),1)&lt;&gt;"",$E653*INDEX(HistoricSummary!D:D,MATCH($C653,HistoricSummary!$A:$A,0),1)+$G653,""),AND($B653&lt;&gt;"",$D653="COST",$G653&lt;0),$G653,TRUE,)</f>
        <v/>
      </c>
      <c r="J653" s="235" t="str">
        <f t="array" ref="J653">IFS(AND($B653&lt;&gt;"",$E653&lt;&gt;""),IF(INDEX(HistoricSummary!E:E,MATCH($C653,HistoricSummary!$A:$A,0),1)&lt;&gt;"",$E653*INDEX(HistoricSummary!E:E,MATCH($C653,HistoricSummary!$A:$A,0),1)+$G653,""),AND($B653&lt;&gt;"",$D653="COST",$G653&lt;0),$G653,TRUE,)</f>
        <v/>
      </c>
    </row>
    <row r="654">
      <c r="A654" s="184">
        <v>43342.0</v>
      </c>
      <c r="B654" s="19" t="s">
        <v>288</v>
      </c>
      <c r="C654" s="19" t="s">
        <v>289</v>
      </c>
      <c r="D654" s="19" t="s">
        <v>414</v>
      </c>
      <c r="E654" s="19">
        <v>12.0</v>
      </c>
      <c r="F654" s="232">
        <v>98.34</v>
      </c>
      <c r="G654" s="233">
        <v>-1180.08</v>
      </c>
      <c r="H654" s="19" t="s">
        <v>1015</v>
      </c>
      <c r="I654" s="235">
        <f t="array" ref="I654">IFS(AND($B654&lt;&gt;"",$E654&lt;&gt;""),IF(INDEX(HistoricSummary!D:D,MATCH($C654,HistoricSummary!$A:$A,0),1)&lt;&gt;"",$E654*INDEX(HistoricSummary!D:D,MATCH($C654,HistoricSummary!$A:$A,0),1)+$G654,""),AND($B654&lt;&gt;"",$D654="COST",$G654&lt;0),$G654,TRUE,)</f>
        <v>623.28</v>
      </c>
      <c r="J654" s="235">
        <f t="array" ref="J654">IFS(AND($B654&lt;&gt;"",$E654&lt;&gt;""),IF(INDEX(HistoricSummary!E:E,MATCH($C654,HistoricSummary!$A:$A,0),1)&lt;&gt;"",$E654*INDEX(HistoricSummary!E:E,MATCH($C654,HistoricSummary!$A:$A,0),1)+$G654,""),AND($B654&lt;&gt;"",$D654="COST",$G654&lt;0),$G654,TRUE,)</f>
        <v>555.527907</v>
      </c>
    </row>
    <row r="655">
      <c r="A655" s="184">
        <v>43341.0</v>
      </c>
      <c r="B655" s="19" t="s">
        <v>283</v>
      </c>
      <c r="C655" s="19" t="s">
        <v>286</v>
      </c>
      <c r="D655" s="19" t="s">
        <v>414</v>
      </c>
      <c r="E655" s="19">
        <v>305.0</v>
      </c>
      <c r="F655" s="232">
        <v>7.26</v>
      </c>
      <c r="G655" s="233">
        <v>-2214.3</v>
      </c>
      <c r="H655" s="19" t="s">
        <v>1016</v>
      </c>
      <c r="I655" s="235">
        <f t="array" ref="I655">IFS(AND($B655&lt;&gt;"",$E655&lt;&gt;""),IF(INDEX(HistoricSummary!D:D,MATCH($C655,HistoricSummary!$A:$A,0),1)&lt;&gt;"",$E655*INDEX(HistoricSummary!D:D,MATCH($C655,HistoricSummary!$A:$A,0),1)+$G655,""),AND($B655&lt;&gt;"",$D655="COST",$G655&lt;0),$G655,TRUE,)</f>
        <v>-233.935</v>
      </c>
      <c r="J655" s="235">
        <f t="array" ref="J655">IFS(AND($B655&lt;&gt;"",$E655&lt;&gt;""),IF(INDEX(HistoricSummary!E:E,MATCH($C655,HistoricSummary!$A:$A,0),1)&lt;&gt;"",$E655*INDEX(HistoricSummary!E:E,MATCH($C655,HistoricSummary!$A:$A,0),1)+$G655,""),AND($B655&lt;&gt;"",$D655="COST",$G655&lt;0),$G655,TRUE,)</f>
        <v>-246.6173256</v>
      </c>
    </row>
    <row r="656">
      <c r="A656" s="184">
        <v>43341.0</v>
      </c>
      <c r="B656" s="19" t="s">
        <v>292</v>
      </c>
      <c r="C656" s="19" t="s">
        <v>293</v>
      </c>
      <c r="D656" s="19" t="s">
        <v>414</v>
      </c>
      <c r="E656" s="19">
        <v>8.0</v>
      </c>
      <c r="F656" s="232">
        <v>162.34</v>
      </c>
      <c r="G656" s="233">
        <v>-1298.72</v>
      </c>
      <c r="H656" s="19" t="s">
        <v>1017</v>
      </c>
      <c r="I656" s="235">
        <f t="array" ref="I656">IFS(AND($B656&lt;&gt;"",$E656&lt;&gt;""),IF(INDEX(HistoricSummary!D:D,MATCH($C656,HistoricSummary!$A:$A,0),1)&lt;&gt;"",$E656*INDEX(HistoricSummary!D:D,MATCH($C656,HistoricSummary!$A:$A,0),1)+$G656,""),AND($B656&lt;&gt;"",$D656="COST",$G656&lt;0),$G656,TRUE,)</f>
        <v>192.96</v>
      </c>
      <c r="J656" s="235">
        <f t="array" ref="J656">IFS(AND($B656&lt;&gt;"",$E656&lt;&gt;""),IF(INDEX(HistoricSummary!E:E,MATCH($C656,HistoricSummary!$A:$A,0),1)&lt;&gt;"",$E656*INDEX(HistoricSummary!E:E,MATCH($C656,HistoricSummary!$A:$A,0),1)+$G656,""),AND($B656&lt;&gt;"",$D656="COST",$G656&lt;0),$G656,TRUE,)</f>
        <v>244.3975194</v>
      </c>
    </row>
    <row r="657">
      <c r="A657" s="184">
        <v>43341.0</v>
      </c>
      <c r="B657" s="19" t="s">
        <v>298</v>
      </c>
      <c r="C657" s="19" t="s">
        <v>867</v>
      </c>
      <c r="D657" s="19" t="s">
        <v>432</v>
      </c>
      <c r="E657" s="19"/>
      <c r="F657" s="232"/>
      <c r="G657" s="233">
        <v>-2.39</v>
      </c>
      <c r="H657" s="19" t="s">
        <v>1018</v>
      </c>
      <c r="I657" s="235">
        <f t="array" ref="I657">IFS(AND($B657&lt;&gt;"",$E657&lt;&gt;""),IF(INDEX(HistoricSummary!D:D,MATCH($C657,HistoricSummary!$A:$A,0),1)&lt;&gt;"",$E657*INDEX(HistoricSummary!D:D,MATCH($C657,HistoricSummary!$A:$A,0),1)+$G657,""),AND($B657&lt;&gt;"",$D657="COST",$G657&lt;0),$G657,TRUE,)</f>
        <v>-2.39</v>
      </c>
      <c r="J657" s="235">
        <f t="array" ref="J657">IFS(AND($B657&lt;&gt;"",$E657&lt;&gt;""),IF(INDEX(HistoricSummary!E:E,MATCH($C657,HistoricSummary!$A:$A,0),1)&lt;&gt;"",$E657*INDEX(HistoricSummary!E:E,MATCH($C657,HistoricSummary!$A:$A,0),1)+$G657,""),AND($B657&lt;&gt;"",$D657="COST",$G657&lt;0),$G657,TRUE,)</f>
        <v>-2.39</v>
      </c>
    </row>
    <row r="658">
      <c r="A658" s="184">
        <v>43341.0</v>
      </c>
      <c r="B658" s="19" t="s">
        <v>298</v>
      </c>
      <c r="C658" s="19" t="s">
        <v>867</v>
      </c>
      <c r="D658" s="19" t="s">
        <v>414</v>
      </c>
      <c r="E658" s="19">
        <v>500.0</v>
      </c>
      <c r="F658" s="232">
        <v>3.891</v>
      </c>
      <c r="G658" s="233">
        <v>-1945.61</v>
      </c>
      <c r="H658" s="19" t="s">
        <v>1019</v>
      </c>
      <c r="I658" s="235">
        <f t="array" ref="I658">IFS(AND($B658&lt;&gt;"",$E658&lt;&gt;""),IF(INDEX(HistoricSummary!D:D,MATCH($C658,HistoricSummary!$A:$A,0),1)&lt;&gt;"",$E658*INDEX(HistoricSummary!D:D,MATCH($C658,HistoricSummary!$A:$A,0),1)+$G658,""),AND($B658&lt;&gt;"",$D658="COST",$G658&lt;0),$G658,TRUE,)</f>
        <v>526.79</v>
      </c>
      <c r="J658" s="235">
        <f t="array" ref="J658">IFS(AND($B658&lt;&gt;"",$E658&lt;&gt;""),IF(INDEX(HistoricSummary!E:E,MATCH($C658,HistoricSummary!$A:$A,0),1)&lt;&gt;"",$E658*INDEX(HistoricSummary!E:E,MATCH($C658,HistoricSummary!$A:$A,0),1)+$G658,""),AND($B658&lt;&gt;"",$D658="COST",$G658&lt;0),$G658,TRUE,)</f>
        <v>654.6128682</v>
      </c>
    </row>
    <row r="659">
      <c r="A659" s="184">
        <v>43341.0</v>
      </c>
      <c r="B659" s="19" t="s">
        <v>298</v>
      </c>
      <c r="C659" s="19" t="s">
        <v>867</v>
      </c>
      <c r="D659" s="19" t="s">
        <v>432</v>
      </c>
      <c r="E659" s="19"/>
      <c r="F659" s="232"/>
      <c r="G659" s="233">
        <v>-3.15</v>
      </c>
      <c r="H659" s="19" t="s">
        <v>1020</v>
      </c>
      <c r="I659" s="235">
        <f t="array" ref="I659">IFS(AND($B659&lt;&gt;"",$E659&lt;&gt;""),IF(INDEX(HistoricSummary!D:D,MATCH($C659,HistoricSummary!$A:$A,0),1)&lt;&gt;"",$E659*INDEX(HistoricSummary!D:D,MATCH($C659,HistoricSummary!$A:$A,0),1)+$G659,""),AND($B659&lt;&gt;"",$D659="COST",$G659&lt;0),$G659,TRUE,)</f>
        <v>-3.15</v>
      </c>
      <c r="J659" s="235">
        <f t="array" ref="J659">IFS(AND($B659&lt;&gt;"",$E659&lt;&gt;""),IF(INDEX(HistoricSummary!E:E,MATCH($C659,HistoricSummary!$A:$A,0),1)&lt;&gt;"",$E659*INDEX(HistoricSummary!E:E,MATCH($C659,HistoricSummary!$A:$A,0),1)+$G659,""),AND($B659&lt;&gt;"",$D659="COST",$G659&lt;0),$G659,TRUE,)</f>
        <v>-3.15</v>
      </c>
    </row>
    <row r="660">
      <c r="A660" s="184">
        <v>43341.0</v>
      </c>
      <c r="B660" s="19" t="s">
        <v>298</v>
      </c>
      <c r="C660" s="19" t="s">
        <v>867</v>
      </c>
      <c r="D660" s="19" t="s">
        <v>414</v>
      </c>
      <c r="E660" s="50">
        <v>1478.0</v>
      </c>
      <c r="F660" s="232">
        <v>3.885</v>
      </c>
      <c r="G660" s="233">
        <v>-5742.57</v>
      </c>
      <c r="H660" s="19" t="s">
        <v>1021</v>
      </c>
      <c r="I660" s="235">
        <f t="array" ref="I660">IFS(AND($B660&lt;&gt;"",$E660&lt;&gt;""),IF(INDEX(HistoricSummary!D:D,MATCH($C660,HistoricSummary!$A:$A,0),1)&lt;&gt;"",$E660*INDEX(HistoricSummary!D:D,MATCH($C660,HistoricSummary!$A:$A,0),1)+$G660,""),AND($B660&lt;&gt;"",$D660="COST",$G660&lt;0),$G660,TRUE,)</f>
        <v>1565.8444</v>
      </c>
      <c r="J660" s="235">
        <f t="array" ref="J660">IFS(AND($B660&lt;&gt;"",$E660&lt;&gt;""),IF(INDEX(HistoricSummary!E:E,MATCH($C660,HistoricSummary!$A:$A,0),1)&lt;&gt;"",$E660*INDEX(HistoricSummary!E:E,MATCH($C660,HistoricSummary!$A:$A,0),1)+$G660,""),AND($B660&lt;&gt;"",$D660="COST",$G660&lt;0),$G660,TRUE,)</f>
        <v>1943.688798</v>
      </c>
    </row>
    <row r="661">
      <c r="A661" s="184">
        <v>43341.0</v>
      </c>
      <c r="B661" s="19" t="s">
        <v>292</v>
      </c>
      <c r="C661" s="19" t="s">
        <v>293</v>
      </c>
      <c r="D661" s="19" t="s">
        <v>414</v>
      </c>
      <c r="E661" s="19">
        <v>8.0</v>
      </c>
      <c r="F661" s="232">
        <v>162.14</v>
      </c>
      <c r="G661" s="233">
        <v>-1297.12</v>
      </c>
      <c r="H661" s="19" t="s">
        <v>1022</v>
      </c>
      <c r="I661" s="235">
        <f t="array" ref="I661">IFS(AND($B661&lt;&gt;"",$E661&lt;&gt;""),IF(INDEX(HistoricSummary!D:D,MATCH($C661,HistoricSummary!$A:$A,0),1)&lt;&gt;"",$E661*INDEX(HistoricSummary!D:D,MATCH($C661,HistoricSummary!$A:$A,0),1)+$G661,""),AND($B661&lt;&gt;"",$D661="COST",$G661&lt;0),$G661,TRUE,)</f>
        <v>194.56</v>
      </c>
      <c r="J661" s="235">
        <f t="array" ref="J661">IFS(AND($B661&lt;&gt;"",$E661&lt;&gt;""),IF(INDEX(HistoricSummary!E:E,MATCH($C661,HistoricSummary!$A:$A,0),1)&lt;&gt;"",$E661*INDEX(HistoricSummary!E:E,MATCH($C661,HistoricSummary!$A:$A,0),1)+$G661,""),AND($B661&lt;&gt;"",$D661="COST",$G661&lt;0),$G661,TRUE,)</f>
        <v>245.9975194</v>
      </c>
    </row>
    <row r="662">
      <c r="A662" s="184">
        <v>43340.0</v>
      </c>
      <c r="B662" s="229" t="s">
        <v>298</v>
      </c>
      <c r="C662" s="230" t="s">
        <v>867</v>
      </c>
      <c r="D662" s="231" t="s">
        <v>432</v>
      </c>
      <c r="E662" s="231"/>
      <c r="F662" s="232"/>
      <c r="G662" s="233">
        <v>-2.25</v>
      </c>
      <c r="H662" s="230" t="s">
        <v>819</v>
      </c>
      <c r="I662" s="235">
        <f t="array" ref="I662">IFS(AND($B662&lt;&gt;"",$E662&lt;&gt;""),IF(INDEX(HistoricSummary!D:D,MATCH($C662,HistoricSummary!$A:$A,0),1)&lt;&gt;"",$E662*INDEX(HistoricSummary!D:D,MATCH($C662,HistoricSummary!$A:$A,0),1)+$G662,""),AND($B662&lt;&gt;"",$D662="COST",$G662&lt;0),$G662,TRUE,)</f>
        <v>-2.25</v>
      </c>
      <c r="J662" s="235">
        <f t="array" ref="J662">IFS(AND($B662&lt;&gt;"",$E662&lt;&gt;""),IF(INDEX(HistoricSummary!E:E,MATCH($C662,HistoricSummary!$A:$A,0),1)&lt;&gt;"",$E662*INDEX(HistoricSummary!E:E,MATCH($C662,HistoricSummary!$A:$A,0),1)+$G662,""),AND($B662&lt;&gt;"",$D662="COST",$G662&lt;0),$G662,TRUE,)</f>
        <v>-2.25</v>
      </c>
    </row>
    <row r="663">
      <c r="A663" s="184">
        <v>43340.0</v>
      </c>
      <c r="B663" s="229" t="s">
        <v>298</v>
      </c>
      <c r="C663" s="230" t="s">
        <v>867</v>
      </c>
      <c r="D663" s="231" t="s">
        <v>414</v>
      </c>
      <c r="E663" s="231">
        <v>1154.0</v>
      </c>
      <c r="F663" s="232">
        <v>3.9</v>
      </c>
      <c r="G663" s="233">
        <v>-4501.07</v>
      </c>
      <c r="H663" s="230" t="s">
        <v>1023</v>
      </c>
      <c r="I663" s="235">
        <f t="array" ref="I663">IFS(AND($B663&lt;&gt;"",$E663&lt;&gt;""),IF(INDEX(HistoricSummary!D:D,MATCH($C663,HistoricSummary!$A:$A,0),1)&lt;&gt;"",$E663*INDEX(HistoricSummary!D:D,MATCH($C663,HistoricSummary!$A:$A,0),1)+$G663,""),AND($B663&lt;&gt;"",$D663="COST",$G663&lt;0),$G663,TRUE,)</f>
        <v>1205.2292</v>
      </c>
      <c r="J663" s="235">
        <f t="array" ref="J663">IFS(AND($B663&lt;&gt;"",$E663&lt;&gt;""),IF(INDEX(HistoricSummary!E:E,MATCH($C663,HistoricSummary!$A:$A,0),1)&lt;&gt;"",$E663*INDEX(HistoricSummary!E:E,MATCH($C663,HistoricSummary!$A:$A,0),1)+$G663,""),AND($B663&lt;&gt;"",$D663="COST",$G663&lt;0),$G663,TRUE,)</f>
        <v>1500.24438</v>
      </c>
    </row>
    <row r="664">
      <c r="A664" s="184">
        <v>43339.0</v>
      </c>
      <c r="B664" s="19" t="s">
        <v>302</v>
      </c>
      <c r="C664" s="19" t="s">
        <v>303</v>
      </c>
      <c r="D664" s="19" t="s">
        <v>414</v>
      </c>
      <c r="E664" s="19">
        <v>84.0</v>
      </c>
      <c r="F664" s="232">
        <v>47.252</v>
      </c>
      <c r="G664" s="233">
        <v>-3969.17</v>
      </c>
      <c r="H664" s="19" t="s">
        <v>1024</v>
      </c>
      <c r="I664" s="235">
        <f t="array" ref="I664">IFS(AND($B664&lt;&gt;"",$E664&lt;&gt;""),IF(INDEX(HistoricSummary!D:D,MATCH($C664,HistoricSummary!$A:$A,0),1)&lt;&gt;"",$E664*INDEX(HistoricSummary!D:D,MATCH($C664,HistoricSummary!$A:$A,0),1)+$G664,""),AND($B664&lt;&gt;"",$D664="COST",$G664&lt;0),$G664,TRUE,)</f>
        <v>872.422</v>
      </c>
      <c r="J664" s="235">
        <f t="array" ref="J664">IFS(AND($B664&lt;&gt;"",$E664&lt;&gt;""),IF(INDEX(HistoricSummary!E:E,MATCH($C664,HistoricSummary!$A:$A,0),1)&lt;&gt;"",$E664*INDEX(HistoricSummary!E:E,MATCH($C664,HistoricSummary!$A:$A,0),1)+$G664,""),AND($B664&lt;&gt;"",$D664="COST",$G664&lt;0),$G664,TRUE,)</f>
        <v>485.5329767</v>
      </c>
    </row>
    <row r="665">
      <c r="A665" s="184">
        <v>43339.0</v>
      </c>
      <c r="B665" s="19" t="s">
        <v>283</v>
      </c>
      <c r="C665" s="19" t="s">
        <v>286</v>
      </c>
      <c r="D665" s="19" t="s">
        <v>414</v>
      </c>
      <c r="E665" s="19">
        <v>443.0</v>
      </c>
      <c r="F665" s="232">
        <v>7.358</v>
      </c>
      <c r="G665" s="233">
        <v>-3259.59</v>
      </c>
      <c r="H665" s="19" t="s">
        <v>1025</v>
      </c>
      <c r="I665" s="235">
        <f t="array" ref="I665">IFS(AND($B665&lt;&gt;"",$E665&lt;&gt;""),IF(INDEX(HistoricSummary!D:D,MATCH($C665,HistoricSummary!$A:$A,0),1)&lt;&gt;"",$E665*INDEX(HistoricSummary!D:D,MATCH($C665,HistoricSummary!$A:$A,0),1)+$G665,""),AND($B665&lt;&gt;"",$D665="COST",$G665&lt;0),$G665,TRUE,)</f>
        <v>-383.191</v>
      </c>
      <c r="J665" s="235">
        <f t="array" ref="J665">IFS(AND($B665&lt;&gt;"",$E665&lt;&gt;""),IF(INDEX(HistoricSummary!E:E,MATCH($C665,HistoricSummary!$A:$A,0),1)&lt;&gt;"",$E665*INDEX(HistoricSummary!E:E,MATCH($C665,HistoricSummary!$A:$A,0),1)+$G665,""),AND($B665&lt;&gt;"",$D665="COST",$G665&lt;0),$G665,TRUE,)</f>
        <v>-401.6115581</v>
      </c>
    </row>
    <row r="666">
      <c r="A666" s="184">
        <v>43339.0</v>
      </c>
      <c r="B666" s="19" t="s">
        <v>292</v>
      </c>
      <c r="C666" s="19" t="s">
        <v>293</v>
      </c>
      <c r="D666" s="19" t="s">
        <v>414</v>
      </c>
      <c r="E666" s="19">
        <v>19.0</v>
      </c>
      <c r="F666" s="232">
        <v>163.99</v>
      </c>
      <c r="G666" s="233">
        <v>-3115.81</v>
      </c>
      <c r="H666" s="19" t="s">
        <v>1026</v>
      </c>
      <c r="I666" s="235">
        <f t="array" ref="I666">IFS(AND($B666&lt;&gt;"",$E666&lt;&gt;""),IF(INDEX(HistoricSummary!D:D,MATCH($C666,HistoricSummary!$A:$A,0),1)&lt;&gt;"",$E666*INDEX(HistoricSummary!D:D,MATCH($C666,HistoricSummary!$A:$A,0),1)+$G666,""),AND($B666&lt;&gt;"",$D666="COST",$G666&lt;0),$G666,TRUE,)</f>
        <v>426.93</v>
      </c>
      <c r="J666" s="235">
        <f t="array" ref="J666">IFS(AND($B666&lt;&gt;"",$E666&lt;&gt;""),IF(INDEX(HistoricSummary!E:E,MATCH($C666,HistoricSummary!$A:$A,0),1)&lt;&gt;"",$E666*INDEX(HistoricSummary!E:E,MATCH($C666,HistoricSummary!$A:$A,0),1)+$G666,""),AND($B666&lt;&gt;"",$D666="COST",$G666&lt;0),$G666,TRUE,)</f>
        <v>549.0941085</v>
      </c>
    </row>
    <row r="667">
      <c r="A667" s="184">
        <v>43339.0</v>
      </c>
      <c r="B667" s="19" t="s">
        <v>288</v>
      </c>
      <c r="C667" s="19" t="s">
        <v>289</v>
      </c>
      <c r="D667" s="19" t="s">
        <v>414</v>
      </c>
      <c r="E667" s="19">
        <v>31.0</v>
      </c>
      <c r="F667" s="232">
        <v>99.36</v>
      </c>
      <c r="G667" s="233">
        <v>-3080.16</v>
      </c>
      <c r="H667" s="19" t="s">
        <v>1027</v>
      </c>
      <c r="I667" s="235">
        <f t="array" ref="I667">IFS(AND($B667&lt;&gt;"",$E667&lt;&gt;""),IF(INDEX(HistoricSummary!D:D,MATCH($C667,HistoricSummary!$A:$A,0),1)&lt;&gt;"",$E667*INDEX(HistoricSummary!D:D,MATCH($C667,HistoricSummary!$A:$A,0),1)+$G667,""),AND($B667&lt;&gt;"",$D667="COST",$G667&lt;0),$G667,TRUE,)</f>
        <v>1578.52</v>
      </c>
      <c r="J667" s="235">
        <f t="array" ref="J667">IFS(AND($B667&lt;&gt;"",$E667&lt;&gt;""),IF(INDEX(HistoricSummary!E:E,MATCH($C667,HistoricSummary!$A:$A,0),1)&lt;&gt;"",$E667*INDEX(HistoricSummary!E:E,MATCH($C667,HistoricSummary!$A:$A,0),1)+$G667,""),AND($B667&lt;&gt;"",$D667="COST",$G667&lt;0),$G667,TRUE,)</f>
        <v>1403.49376</v>
      </c>
    </row>
    <row r="668">
      <c r="A668" s="184">
        <v>43312.0</v>
      </c>
      <c r="B668" s="229" t="s">
        <v>298</v>
      </c>
      <c r="C668" s="230" t="s">
        <v>867</v>
      </c>
      <c r="D668" s="231" t="s">
        <v>432</v>
      </c>
      <c r="E668" s="231"/>
      <c r="F668" s="232"/>
      <c r="G668" s="233">
        <v>-4.46</v>
      </c>
      <c r="H668" s="230" t="s">
        <v>1028</v>
      </c>
      <c r="I668" s="235">
        <f t="array" ref="I668">IFS(AND($B668&lt;&gt;"",$E668&lt;&gt;""),IF(INDEX(HistoricSummary!D:D,MATCH($C668,HistoricSummary!$A:$A,0),1)&lt;&gt;"",$E668*INDEX(HistoricSummary!D:D,MATCH($C668,HistoricSummary!$A:$A,0),1)+$G668,""),AND($B668&lt;&gt;"",$D668="COST",$G668&lt;0),$G668,TRUE,)</f>
        <v>-4.46</v>
      </c>
      <c r="J668" s="235">
        <f t="array" ref="J668">IFS(AND($B668&lt;&gt;"",$E668&lt;&gt;""),IF(INDEX(HistoricSummary!E:E,MATCH($C668,HistoricSummary!$A:$A,0),1)&lt;&gt;"",$E668*INDEX(HistoricSummary!E:E,MATCH($C668,HistoricSummary!$A:$A,0),1)+$G668,""),AND($B668&lt;&gt;"",$D668="COST",$G668&lt;0),$G668,TRUE,)</f>
        <v>-4.46</v>
      </c>
    </row>
    <row r="669">
      <c r="A669" s="184">
        <v>43312.0</v>
      </c>
      <c r="B669" s="229" t="s">
        <v>298</v>
      </c>
      <c r="C669" s="230" t="s">
        <v>867</v>
      </c>
      <c r="D669" s="231" t="s">
        <v>414</v>
      </c>
      <c r="E669" s="231">
        <v>4074.0</v>
      </c>
      <c r="F669" s="232">
        <v>3.83</v>
      </c>
      <c r="G669" s="233">
        <v>-15602.16</v>
      </c>
      <c r="H669" s="230" t="s">
        <v>1029</v>
      </c>
      <c r="I669" s="235">
        <f t="array" ref="I669">IFS(AND($B669&lt;&gt;"",$E669&lt;&gt;""),IF(INDEX(HistoricSummary!D:D,MATCH($C669,HistoricSummary!$A:$A,0),1)&lt;&gt;"",$E669*INDEX(HistoricSummary!D:D,MATCH($C669,HistoricSummary!$A:$A,0),1)+$G669,""),AND($B669&lt;&gt;"",$D669="COST",$G669&lt;0),$G669,TRUE,)</f>
        <v>4542.9552</v>
      </c>
      <c r="J669" s="235">
        <f t="array" ref="J669">IFS(AND($B669&lt;&gt;"",$E669&lt;&gt;""),IF(INDEX(HistoricSummary!E:E,MATCH($C669,HistoricSummary!$A:$A,0),1)&lt;&gt;"",$E669*INDEX(HistoricSummary!E:E,MATCH($C669,HistoricSummary!$A:$A,0),1)+$G669,""),AND($B669&lt;&gt;"",$D669="COST",$G669&lt;0),$G669,TRUE,)</f>
        <v>5584.45593</v>
      </c>
    </row>
    <row r="670">
      <c r="A670" s="184">
        <v>43312.0</v>
      </c>
      <c r="B670" s="229"/>
      <c r="C670" s="230"/>
      <c r="D670" s="231" t="s">
        <v>432</v>
      </c>
      <c r="E670" s="231"/>
      <c r="F670" s="232"/>
      <c r="G670" s="233">
        <v>-467.55</v>
      </c>
      <c r="H670" s="230" t="s">
        <v>1030</v>
      </c>
      <c r="I670" s="235" t="str">
        <f t="array" ref="I670">IFS(AND($B670&lt;&gt;"",$E670&lt;&gt;""),IF(INDEX(HistoricSummary!D:D,MATCH($C670,HistoricSummary!$A:$A,0),1)&lt;&gt;"",$E670*INDEX(HistoricSummary!D:D,MATCH($C670,HistoricSummary!$A:$A,0),1)+$G670,""),AND($B670&lt;&gt;"",$D670="COST",$G670&lt;0),$G670,TRUE,)</f>
        <v/>
      </c>
      <c r="J670" s="235" t="str">
        <f t="array" ref="J670">IFS(AND($B670&lt;&gt;"",$E670&lt;&gt;""),IF(INDEX(HistoricSummary!E:E,MATCH($C670,HistoricSummary!$A:$A,0),1)&lt;&gt;"",$E670*INDEX(HistoricSummary!E:E,MATCH($C670,HistoricSummary!$A:$A,0),1)+$G670,""),AND($B670&lt;&gt;"",$D670="COST",$G670&lt;0),$G670,TRUE,)</f>
        <v/>
      </c>
    </row>
    <row r="671">
      <c r="A671" s="184">
        <v>43312.0</v>
      </c>
      <c r="B671" s="19" t="s">
        <v>302</v>
      </c>
      <c r="C671" s="19" t="s">
        <v>303</v>
      </c>
      <c r="D671" s="19" t="s">
        <v>414</v>
      </c>
      <c r="E671" s="19">
        <v>226.0</v>
      </c>
      <c r="F671" s="232">
        <v>45.477</v>
      </c>
      <c r="G671" s="233">
        <v>-10277.8</v>
      </c>
      <c r="H671" s="19" t="s">
        <v>1031</v>
      </c>
      <c r="I671" s="235">
        <f t="array" ref="I671">IFS(AND($B671&lt;&gt;"",$E671&lt;&gt;""),IF(INDEX(HistoricSummary!D:D,MATCH($C671,HistoricSummary!$A:$A,0),1)&lt;&gt;"",$E671*INDEX(HistoricSummary!D:D,MATCH($C671,HistoricSummary!$A:$A,0),1)+$G671,""),AND($B671&lt;&gt;"",$D671="COST",$G671&lt;0),$G671,TRUE,)</f>
        <v>2748.388</v>
      </c>
      <c r="J671" s="235">
        <f t="array" ref="J671">IFS(AND($B671&lt;&gt;"",$E671&lt;&gt;""),IF(INDEX(HistoricSummary!E:E,MATCH($C671,HistoricSummary!$A:$A,0),1)&lt;&gt;"",$E671*INDEX(HistoricSummary!E:E,MATCH($C671,HistoricSummary!$A:$A,0),1)+$G671,""),AND($B671&lt;&gt;"",$D671="COST",$G671&lt;0),$G671,TRUE,)</f>
        <v>1707.472295</v>
      </c>
    </row>
    <row r="672">
      <c r="A672" s="184">
        <v>43312.0</v>
      </c>
      <c r="B672" s="19" t="s">
        <v>283</v>
      </c>
      <c r="C672" s="19" t="s">
        <v>286</v>
      </c>
      <c r="D672" s="19" t="s">
        <v>414</v>
      </c>
      <c r="E672" s="19">
        <v>203.0</v>
      </c>
      <c r="F672" s="232">
        <v>7.404</v>
      </c>
      <c r="G672" s="233">
        <v>-1503.01</v>
      </c>
      <c r="H672" s="19" t="s">
        <v>1032</v>
      </c>
      <c r="I672" s="235">
        <f t="array" ref="I672">IFS(AND($B672&lt;&gt;"",$E672&lt;&gt;""),IF(INDEX(HistoricSummary!D:D,MATCH($C672,HistoricSummary!$A:$A,0),1)&lt;&gt;"",$E672*INDEX(HistoricSummary!D:D,MATCH($C672,HistoricSummary!$A:$A,0),1)+$G672,""),AND($B672&lt;&gt;"",$D672="COST",$G672&lt;0),$G672,TRUE,)</f>
        <v>-184.931</v>
      </c>
      <c r="J672" s="235">
        <f t="array" ref="J672">IFS(AND($B672&lt;&gt;"",$E672&lt;&gt;""),IF(INDEX(HistoricSummary!E:E,MATCH($C672,HistoricSummary!$A:$A,0),1)&lt;&gt;"",$E672*INDEX(HistoricSummary!E:E,MATCH($C672,HistoricSummary!$A:$A,0),1)+$G672,""),AND($B672&lt;&gt;"",$D672="COST",$G672&lt;0),$G672,TRUE,)</f>
        <v>-193.3720233</v>
      </c>
    </row>
    <row r="673">
      <c r="A673" s="184">
        <v>43312.0</v>
      </c>
      <c r="B673" s="19" t="s">
        <v>292</v>
      </c>
      <c r="C673" s="19" t="s">
        <v>293</v>
      </c>
      <c r="D673" s="19" t="s">
        <v>414</v>
      </c>
      <c r="E673" s="19">
        <v>36.0</v>
      </c>
      <c r="F673" s="232">
        <v>160.27</v>
      </c>
      <c r="G673" s="233">
        <v>-5769.72</v>
      </c>
      <c r="H673" s="19" t="s">
        <v>1033</v>
      </c>
      <c r="I673" s="235">
        <f t="array" ref="I673">IFS(AND($B673&lt;&gt;"",$E673&lt;&gt;""),IF(INDEX(HistoricSummary!D:D,MATCH($C673,HistoricSummary!$A:$A,0),1)&lt;&gt;"",$E673*INDEX(HistoricSummary!D:D,MATCH($C673,HistoricSummary!$A:$A,0),1)+$G673,""),AND($B673&lt;&gt;"",$D673="COST",$G673&lt;0),$G673,TRUE,)</f>
        <v>942.84</v>
      </c>
      <c r="J673" s="235">
        <f t="array" ref="J673">IFS(AND($B673&lt;&gt;"",$E673&lt;&gt;""),IF(INDEX(HistoricSummary!E:E,MATCH($C673,HistoricSummary!$A:$A,0),1)&lt;&gt;"",$E673*INDEX(HistoricSummary!E:E,MATCH($C673,HistoricSummary!$A:$A,0),1)+$G673,""),AND($B673&lt;&gt;"",$D673="COST",$G673&lt;0),$G673,TRUE,)</f>
        <v>1174.308837</v>
      </c>
    </row>
    <row r="674">
      <c r="A674" s="184">
        <v>43312.0</v>
      </c>
      <c r="B674" s="19" t="s">
        <v>288</v>
      </c>
      <c r="C674" s="19" t="s">
        <v>289</v>
      </c>
      <c r="D674" s="19" t="s">
        <v>414</v>
      </c>
      <c r="E674" s="19">
        <v>29.0</v>
      </c>
      <c r="F674" s="232">
        <v>99.77</v>
      </c>
      <c r="G674" s="233">
        <v>-2893.33</v>
      </c>
      <c r="H674" s="19" t="s">
        <v>1034</v>
      </c>
      <c r="I674" s="235">
        <f t="array" ref="I674">IFS(AND($B674&lt;&gt;"",$E674&lt;&gt;""),IF(INDEX(HistoricSummary!D:D,MATCH($C674,HistoricSummary!$A:$A,0),1)&lt;&gt;"",$E674*INDEX(HistoricSummary!D:D,MATCH($C674,HistoricSummary!$A:$A,0),1)+$G674,""),AND($B674&lt;&gt;"",$D674="COST",$G674&lt;0),$G674,TRUE,)</f>
        <v>1464.79</v>
      </c>
      <c r="J674" s="235">
        <f t="array" ref="J674">IFS(AND($B674&lt;&gt;"",$E674&lt;&gt;""),IF(INDEX(HistoricSummary!E:E,MATCH($C674,HistoricSummary!$A:$A,0),1)&lt;&gt;"",$E674*INDEX(HistoricSummary!E:E,MATCH($C674,HistoricSummary!$A:$A,0),1)+$G674,""),AND($B674&lt;&gt;"",$D674="COST",$G674&lt;0),$G674,TRUE,)</f>
        <v>1301.055775</v>
      </c>
    </row>
    <row r="675">
      <c r="A675" s="184">
        <v>43304.0</v>
      </c>
      <c r="B675" s="19" t="s">
        <v>298</v>
      </c>
      <c r="C675" s="19" t="s">
        <v>867</v>
      </c>
      <c r="D675" s="19" t="s">
        <v>432</v>
      </c>
      <c r="E675" s="50"/>
      <c r="F675" s="232"/>
      <c r="G675" s="233">
        <v>-25.99</v>
      </c>
      <c r="H675" s="19" t="s">
        <v>1035</v>
      </c>
      <c r="I675" s="235">
        <f t="array" ref="I675">IFS(AND($B675&lt;&gt;"",$E675&lt;&gt;""),IF(INDEX(HistoricSummary!D:D,MATCH($C675,HistoricSummary!$A:$A,0),1)&lt;&gt;"",$E675*INDEX(HistoricSummary!D:D,MATCH($C675,HistoricSummary!$A:$A,0),1)+$G675,""),AND($B675&lt;&gt;"",$D675="COST",$G675&lt;0),$G675,TRUE,)</f>
        <v>-25.99</v>
      </c>
      <c r="J675" s="235">
        <f t="array" ref="J675">IFS(AND($B675&lt;&gt;"",$E675&lt;&gt;""),IF(INDEX(HistoricSummary!E:E,MATCH($C675,HistoricSummary!$A:$A,0),1)&lt;&gt;"",$E675*INDEX(HistoricSummary!E:E,MATCH($C675,HistoricSummary!$A:$A,0),1)+$G675,""),AND($B675&lt;&gt;"",$D675="COST",$G675&lt;0),$G675,TRUE,)</f>
        <v>-25.99</v>
      </c>
    </row>
    <row r="676">
      <c r="A676" s="184">
        <v>43304.0</v>
      </c>
      <c r="B676" s="19" t="s">
        <v>298</v>
      </c>
      <c r="C676" s="19" t="s">
        <v>867</v>
      </c>
      <c r="D676" s="19" t="s">
        <v>414</v>
      </c>
      <c r="E676" s="50">
        <v>31102.0</v>
      </c>
      <c r="F676" s="232">
        <v>3.857</v>
      </c>
      <c r="G676" s="233">
        <v>-119971.61</v>
      </c>
      <c r="H676" s="19" t="s">
        <v>1036</v>
      </c>
      <c r="I676" s="235">
        <f t="array" ref="I676">IFS(AND($B676&lt;&gt;"",$E676&lt;&gt;""),IF(INDEX(HistoricSummary!D:D,MATCH($C676,HistoricSummary!$A:$A,0),1)&lt;&gt;"",$E676*INDEX(HistoricSummary!D:D,MATCH($C676,HistoricSummary!$A:$A,0),1)+$G676,""),AND($B676&lt;&gt;"",$D676="COST",$G676&lt;0),$G676,TRUE,)</f>
        <v>33821.5596</v>
      </c>
      <c r="J676" s="235">
        <f t="array" ref="J676">IFS(AND($B676&lt;&gt;"",$E676&lt;&gt;""),IF(INDEX(HistoricSummary!E:E,MATCH($C676,HistoricSummary!$A:$A,0),1)&lt;&gt;"",$E676*INDEX(HistoricSummary!E:E,MATCH($C676,HistoricSummary!$A:$A,0),1)+$G676,""),AND($B676&lt;&gt;"",$D676="COST",$G676&lt;0),$G676,TRUE,)</f>
        <v>41772.65329</v>
      </c>
    </row>
    <row r="677">
      <c r="A677" s="184">
        <v>43304.0</v>
      </c>
      <c r="B677" s="19" t="s">
        <v>302</v>
      </c>
      <c r="C677" s="19" t="s">
        <v>303</v>
      </c>
      <c r="D677" s="19" t="s">
        <v>414</v>
      </c>
      <c r="E677" s="50">
        <v>1926.0</v>
      </c>
      <c r="F677" s="232">
        <v>45.323</v>
      </c>
      <c r="G677" s="233">
        <v>-87292.1</v>
      </c>
      <c r="H677" s="19" t="s">
        <v>1037</v>
      </c>
      <c r="I677" s="235">
        <f t="array" ref="I677">IFS(AND($B677&lt;&gt;"",$E677&lt;&gt;""),IF(INDEX(HistoricSummary!D:D,MATCH($C677,HistoricSummary!$A:$A,0),1)&lt;&gt;"",$E677*INDEX(HistoricSummary!D:D,MATCH($C677,HistoricSummary!$A:$A,0),1)+$G677,""),AND($B677&lt;&gt;"",$D677="COST",$G677&lt;0),$G677,TRUE,)</f>
        <v>23718.688</v>
      </c>
      <c r="J677" s="235">
        <f t="array" ref="J677">IFS(AND($B677&lt;&gt;"",$E677&lt;&gt;""),IF(INDEX(HistoricSummary!E:E,MATCH($C677,HistoricSummary!$A:$A,0),1)&lt;&gt;"",$E677*INDEX(HistoricSummary!E:E,MATCH($C677,HistoricSummary!$A:$A,0),1)+$G677,""),AND($B677&lt;&gt;"",$D677="COST",$G677&lt;0),$G677,TRUE,)</f>
        <v>14847.8754</v>
      </c>
    </row>
    <row r="678">
      <c r="A678" s="184">
        <v>43304.0</v>
      </c>
      <c r="B678" s="19" t="s">
        <v>292</v>
      </c>
      <c r="C678" s="19" t="s">
        <v>293</v>
      </c>
      <c r="D678" s="19" t="s">
        <v>414</v>
      </c>
      <c r="E678" s="50">
        <v>273.0</v>
      </c>
      <c r="F678" s="232">
        <v>160.85</v>
      </c>
      <c r="G678" s="233">
        <v>-43912.05</v>
      </c>
      <c r="H678" s="19" t="s">
        <v>1038</v>
      </c>
      <c r="I678" s="235">
        <f t="array" ref="I678">IFS(AND($B678&lt;&gt;"",$E678&lt;&gt;""),IF(INDEX(HistoricSummary!D:D,MATCH($C678,HistoricSummary!$A:$A,0),1)&lt;&gt;"",$E678*INDEX(HistoricSummary!D:D,MATCH($C678,HistoricSummary!$A:$A,0),1)+$G678,""),AND($B678&lt;&gt;"",$D678="COST",$G678&lt;0),$G678,TRUE,)</f>
        <v>6991.53</v>
      </c>
      <c r="J678" s="235">
        <f t="array" ref="J678">IFS(AND($B678&lt;&gt;"",$E678&lt;&gt;""),IF(INDEX(HistoricSummary!E:E,MATCH($C678,HistoricSummary!$A:$A,0),1)&lt;&gt;"",$E678*INDEX(HistoricSummary!E:E,MATCH($C678,HistoricSummary!$A:$A,0),1)+$G678,""),AND($B678&lt;&gt;"",$D678="COST",$G678&lt;0),$G678,TRUE,)</f>
        <v>8746.835349</v>
      </c>
    </row>
    <row r="679">
      <c r="A679" s="184">
        <v>43297.0</v>
      </c>
      <c r="B679" s="19" t="s">
        <v>283</v>
      </c>
      <c r="C679" s="19" t="s">
        <v>286</v>
      </c>
      <c r="D679" s="19" t="s">
        <v>414</v>
      </c>
      <c r="E679" s="50">
        <v>3336.0</v>
      </c>
      <c r="F679" s="232">
        <v>7.303</v>
      </c>
      <c r="G679" s="233">
        <v>-24362.81</v>
      </c>
      <c r="H679" s="19" t="s">
        <v>1039</v>
      </c>
      <c r="I679" s="235">
        <f t="array" ref="I679">IFS(AND($B679&lt;&gt;"",$E679&lt;&gt;""),IF(INDEX(HistoricSummary!D:D,MATCH($C679,HistoricSummary!$A:$A,0),1)&lt;&gt;"",$E679*INDEX(HistoricSummary!D:D,MATCH($C679,HistoricSummary!$A:$A,0),1)+$G679,""),AND($B679&lt;&gt;"",$D679="COST",$G679&lt;0),$G679,TRUE,)</f>
        <v>-2702.162</v>
      </c>
      <c r="J679" s="235">
        <f t="array" ref="J679">IFS(AND($B679&lt;&gt;"",$E679&lt;&gt;""),IF(INDEX(HistoricSummary!E:E,MATCH($C679,HistoricSummary!$A:$A,0),1)&lt;&gt;"",$E679*INDEX(HistoricSummary!E:E,MATCH($C679,HistoricSummary!$A:$A,0),1)+$G679,""),AND($B679&lt;&gt;"",$D679="COST",$G679&lt;0),$G679,TRUE,)</f>
        <v>-2840.877535</v>
      </c>
    </row>
    <row r="680">
      <c r="A680" s="184">
        <v>43297.0</v>
      </c>
      <c r="B680" s="19" t="s">
        <v>288</v>
      </c>
      <c r="C680" s="19" t="s">
        <v>289</v>
      </c>
      <c r="D680" s="19" t="s">
        <v>414</v>
      </c>
      <c r="E680" s="19">
        <v>235.0</v>
      </c>
      <c r="F680" s="232">
        <v>101.75</v>
      </c>
      <c r="G680" s="233">
        <v>-23911.25</v>
      </c>
      <c r="H680" s="19" t="s">
        <v>1040</v>
      </c>
      <c r="I680" s="235">
        <f t="array" ref="I680">IFS(AND($B680&lt;&gt;"",$E680&lt;&gt;""),IF(INDEX(HistoricSummary!D:D,MATCH($C680,HistoricSummary!$A:$A,0),1)&lt;&gt;"",$E680*INDEX(HistoricSummary!D:D,MATCH($C680,HistoricSummary!$A:$A,0),1)+$G680,""),AND($B680&lt;&gt;"",$D680="COST",$G680&lt;0),$G680,TRUE,)</f>
        <v>11404.55</v>
      </c>
      <c r="J680" s="235">
        <f t="array" ref="J680">IFS(AND($B680&lt;&gt;"",$E680&lt;&gt;""),IF(INDEX(HistoricSummary!E:E,MATCH($C680,HistoricSummary!$A:$A,0),1)&lt;&gt;"",$E680*INDEX(HistoricSummary!E:E,MATCH($C680,HistoricSummary!$A:$A,0),1)+$G680,""),AND($B680&lt;&gt;"",$D680="COST",$G680&lt;0),$G680,TRUE,)</f>
        <v>10077.73818</v>
      </c>
    </row>
    <row r="681">
      <c r="A681" s="184">
        <v>43291.0</v>
      </c>
      <c r="B681" s="19"/>
      <c r="C681" s="19"/>
      <c r="D681" s="19" t="s">
        <v>454</v>
      </c>
      <c r="F681" s="232"/>
      <c r="G681" s="233">
        <v>108000.0</v>
      </c>
      <c r="H681" s="19" t="s">
        <v>1041</v>
      </c>
      <c r="I681" s="235" t="str">
        <f t="array" ref="I681">IFS(AND($B681&lt;&gt;"",$E681&lt;&gt;""),IF(INDEX(HistoricSummary!D:D,MATCH($C681,HistoricSummary!$A:$A,0),1)&lt;&gt;"",$E681*INDEX(HistoricSummary!D:D,MATCH($C681,HistoricSummary!$A:$A,0),1)+$G681,""),AND($B681&lt;&gt;"",$D681="COST",$G681&lt;0),$G681,TRUE,)</f>
        <v/>
      </c>
      <c r="J681" s="235" t="str">
        <f t="array" ref="J681">IFS(AND($B681&lt;&gt;"",$E681&lt;&gt;""),IF(INDEX(HistoricSummary!E:E,MATCH($C681,HistoricSummary!$A:$A,0),1)&lt;&gt;"",$E681*INDEX(HistoricSummary!E:E,MATCH($C681,HistoricSummary!$A:$A,0),1)+$G681,""),AND($B681&lt;&gt;"",$D681="COST",$G681&lt;0),$G681,TRUE,)</f>
        <v/>
      </c>
    </row>
    <row r="682">
      <c r="A682" s="184">
        <v>43286.0</v>
      </c>
      <c r="B682" s="229" t="s">
        <v>302</v>
      </c>
      <c r="C682" s="230" t="s">
        <v>303</v>
      </c>
      <c r="D682" s="231" t="s">
        <v>475</v>
      </c>
      <c r="E682" s="231"/>
      <c r="F682" s="232"/>
      <c r="G682" s="233">
        <v>-72.97</v>
      </c>
      <c r="H682" s="230" t="s">
        <v>1042</v>
      </c>
      <c r="I682" s="235" t="str">
        <f t="array" ref="I682">IFS(AND($B682&lt;&gt;"",$E682&lt;&gt;""),IF(INDEX(HistoricSummary!D:D,MATCH($C682,HistoricSummary!$A:$A,0),1)&lt;&gt;"",$E682*INDEX(HistoricSummary!D:D,MATCH($C682,HistoricSummary!$A:$A,0),1)+$G682,""),AND($B682&lt;&gt;"",$D682="COST",$G682&lt;0),$G682,TRUE,)</f>
        <v/>
      </c>
      <c r="J682" s="235" t="str">
        <f t="array" ref="J682">IFS(AND($B682&lt;&gt;"",$E682&lt;&gt;""),IF(INDEX(HistoricSummary!E:E,MATCH($C682,HistoricSummary!$A:$A,0),1)&lt;&gt;"",$E682*INDEX(HistoricSummary!E:E,MATCH($C682,HistoricSummary!$A:$A,0),1)+$G682,""),AND($B682&lt;&gt;"",$D682="COST",$G682&lt;0),$G682,TRUE,)</f>
        <v/>
      </c>
    </row>
    <row r="683">
      <c r="A683" s="184">
        <v>43286.0</v>
      </c>
      <c r="B683" s="19" t="s">
        <v>302</v>
      </c>
      <c r="C683" s="19" t="s">
        <v>303</v>
      </c>
      <c r="D683" s="19" t="s">
        <v>475</v>
      </c>
      <c r="F683" s="232"/>
      <c r="G683" s="233">
        <v>501.26</v>
      </c>
      <c r="H683" s="19" t="s">
        <v>1043</v>
      </c>
      <c r="I683" s="235" t="str">
        <f t="array" ref="I683">IFS(AND($B683&lt;&gt;"",$E683&lt;&gt;""),IF(INDEX(HistoricSummary!D:D,MATCH($C683,HistoricSummary!$A:$A,0),1)&lt;&gt;"",$E683*INDEX(HistoricSummary!D:D,MATCH($C683,HistoricSummary!$A:$A,0),1)+$G683,""),AND($B683&lt;&gt;"",$D683="COST",$G683&lt;0),$G683,TRUE,)</f>
        <v/>
      </c>
      <c r="J683" s="235" t="str">
        <f t="array" ref="J683">IFS(AND($B683&lt;&gt;"",$E683&lt;&gt;""),IF(INDEX(HistoricSummary!E:E,MATCH($C683,HistoricSummary!$A:$A,0),1)&lt;&gt;"",$E683*INDEX(HistoricSummary!E:E,MATCH($C683,HistoricSummary!$A:$A,0),1)+$G683,""),AND($B683&lt;&gt;"",$D683="COST",$G683&lt;0),$G683,TRUE,)</f>
        <v/>
      </c>
    </row>
    <row r="684">
      <c r="A684" s="184">
        <v>43281.0</v>
      </c>
      <c r="B684" s="229"/>
      <c r="C684" s="230"/>
      <c r="D684" s="231" t="s">
        <v>432</v>
      </c>
      <c r="E684" s="231"/>
      <c r="F684" s="232"/>
      <c r="G684" s="233">
        <v>-276.19</v>
      </c>
      <c r="H684" s="230" t="s">
        <v>1044</v>
      </c>
      <c r="I684" s="235" t="str">
        <f t="array" ref="I684">IFS(AND($B684&lt;&gt;"",$E684&lt;&gt;""),IF(INDEX(HistoricSummary!D:D,MATCH($C684,HistoricSummary!$A:$A,0),1)&lt;&gt;"",$E684*INDEX(HistoricSummary!D:D,MATCH($C684,HistoricSummary!$A:$A,0),1)+$G684,""),AND($B684&lt;&gt;"",$D684="COST",$G684&lt;0),$G684,TRUE,)</f>
        <v/>
      </c>
      <c r="J684" s="235" t="str">
        <f t="array" ref="J684">IFS(AND($B684&lt;&gt;"",$E684&lt;&gt;""),IF(INDEX(HistoricSummary!E:E,MATCH($C684,HistoricSummary!$A:$A,0),1)&lt;&gt;"",$E684*INDEX(HistoricSummary!E:E,MATCH($C684,HistoricSummary!$A:$A,0),1)+$G684,""),AND($B684&lt;&gt;"",$D684="COST",$G684&lt;0),$G684,TRUE,)</f>
        <v/>
      </c>
    </row>
    <row r="685">
      <c r="A685" s="184">
        <v>43280.0</v>
      </c>
      <c r="B685" s="229"/>
      <c r="C685" s="230"/>
      <c r="D685" s="231" t="s">
        <v>432</v>
      </c>
      <c r="E685" s="231"/>
      <c r="F685" s="232"/>
      <c r="G685" s="233">
        <v>-0.04</v>
      </c>
      <c r="H685" s="230" t="s">
        <v>1045</v>
      </c>
      <c r="I685" s="235" t="str">
        <f t="array" ref="I685">IFS(AND($B685&lt;&gt;"",$E685&lt;&gt;""),IF(INDEX(HistoricSummary!D:D,MATCH($C685,HistoricSummary!$A:$A,0),1)&lt;&gt;"",$E685*INDEX(HistoricSummary!D:D,MATCH($C685,HistoricSummary!$A:$A,0),1)+$G685,""),AND($B685&lt;&gt;"",$D685="COST",$G685&lt;0),$G685,TRUE,)</f>
        <v/>
      </c>
      <c r="J685" s="235" t="str">
        <f t="array" ref="J685">IFS(AND($B685&lt;&gt;"",$E685&lt;&gt;""),IF(INDEX(HistoricSummary!E:E,MATCH($C685,HistoricSummary!$A:$A,0),1)&lt;&gt;"",$E685*INDEX(HistoricSummary!E:E,MATCH($C685,HistoricSummary!$A:$A,0),1)+$G685,""),AND($B685&lt;&gt;"",$D685="COST",$G685&lt;0),$G685,TRUE,)</f>
        <v/>
      </c>
    </row>
    <row r="686">
      <c r="A686" s="184">
        <v>43279.0</v>
      </c>
      <c r="B686" s="229" t="s">
        <v>298</v>
      </c>
      <c r="C686" s="230" t="s">
        <v>867</v>
      </c>
      <c r="D686" s="231" t="s">
        <v>475</v>
      </c>
      <c r="E686" s="231"/>
      <c r="F686" s="232"/>
      <c r="G686" s="233">
        <v>-329.67</v>
      </c>
      <c r="H686" s="230" t="s">
        <v>1046</v>
      </c>
      <c r="I686" s="235" t="str">
        <f t="array" ref="I686">IFS(AND($B686&lt;&gt;"",$E686&lt;&gt;""),IF(INDEX(HistoricSummary!D:D,MATCH($C686,HistoricSummary!$A:$A,0),1)&lt;&gt;"",$E686*INDEX(HistoricSummary!D:D,MATCH($C686,HistoricSummary!$A:$A,0),1)+$G686,""),AND($B686&lt;&gt;"",$D686="COST",$G686&lt;0),$G686,TRUE,)</f>
        <v/>
      </c>
      <c r="J686" s="235" t="str">
        <f t="array" ref="J686">IFS(AND($B686&lt;&gt;"",$E686&lt;&gt;""),IF(INDEX(HistoricSummary!E:E,MATCH($C686,HistoricSummary!$A:$A,0),1)&lt;&gt;"",$E686*INDEX(HistoricSummary!E:E,MATCH($C686,HistoricSummary!$A:$A,0),1)+$G686,""),AND($B686&lt;&gt;"",$D686="COST",$G686&lt;0),$G686,TRUE,)</f>
        <v/>
      </c>
    </row>
    <row r="687">
      <c r="A687" s="184">
        <v>43278.0</v>
      </c>
      <c r="B687" s="229" t="s">
        <v>298</v>
      </c>
      <c r="C687" s="230" t="s">
        <v>867</v>
      </c>
      <c r="D687" s="231" t="s">
        <v>475</v>
      </c>
      <c r="E687" s="231"/>
      <c r="F687" s="232"/>
      <c r="G687" s="233">
        <v>2415.73</v>
      </c>
      <c r="H687" s="230" t="s">
        <v>1047</v>
      </c>
      <c r="I687" s="235" t="str">
        <f t="array" ref="I687">IFS(AND($B687&lt;&gt;"",$E687&lt;&gt;""),IF(INDEX(HistoricSummary!D:D,MATCH($C687,HistoricSummary!$A:$A,0),1)&lt;&gt;"",$E687*INDEX(HistoricSummary!D:D,MATCH($C687,HistoricSummary!$A:$A,0),1)+$G687,""),AND($B687&lt;&gt;"",$D687="COST",$G687&lt;0),$G687,TRUE,)</f>
        <v/>
      </c>
      <c r="J687" s="235" t="str">
        <f t="array" ref="J687">IFS(AND($B687&lt;&gt;"",$E687&lt;&gt;""),IF(INDEX(HistoricSummary!E:E,MATCH($C687,HistoricSummary!$A:$A,0),1)&lt;&gt;"",$E687*INDEX(HistoricSummary!E:E,MATCH($C687,HistoricSummary!$A:$A,0),1)+$G687,""),AND($B687&lt;&gt;"",$D687="COST",$G687&lt;0),$G687,TRUE,)</f>
        <v/>
      </c>
    </row>
    <row r="688">
      <c r="A688" s="184">
        <v>43259.0</v>
      </c>
      <c r="B688" s="19" t="s">
        <v>283</v>
      </c>
      <c r="C688" s="49" t="s">
        <v>286</v>
      </c>
      <c r="D688" s="19" t="s">
        <v>414</v>
      </c>
      <c r="E688" s="19">
        <v>897.0</v>
      </c>
      <c r="F688" s="232">
        <v>7.768</v>
      </c>
      <c r="G688" s="233">
        <v>-6967.9</v>
      </c>
      <c r="H688" s="19" t="s">
        <v>1048</v>
      </c>
      <c r="I688" s="235">
        <f t="array" ref="I688">IFS(AND($B688&lt;&gt;"",$E688&lt;&gt;""),IF(INDEX(HistoricSummary!D:D,MATCH($C688,HistoricSummary!$A:$A,0),1)&lt;&gt;"",$E688*INDEX(HistoricSummary!D:D,MATCH($C688,HistoricSummary!$A:$A,0),1)+$G688,""),AND($B688&lt;&gt;"",$D688="COST",$G688&lt;0),$G688,TRUE,)</f>
        <v>-1143.679</v>
      </c>
      <c r="J688" s="235">
        <f t="array" ref="J688">IFS(AND($B688&lt;&gt;"",$E688&lt;&gt;""),IF(INDEX(HistoricSummary!E:E,MATCH($C688,HistoricSummary!$A:$A,0),1)&lt;&gt;"",$E688*INDEX(HistoricSummary!E:E,MATCH($C688,HistoricSummary!$A:$A,0),1)+$G688,""),AND($B688&lt;&gt;"",$D688="COST",$G688&lt;0),$G688,TRUE,)</f>
        <v>-1180.977512</v>
      </c>
    </row>
    <row r="689">
      <c r="A689" s="184">
        <v>43259.0</v>
      </c>
      <c r="B689" s="19" t="s">
        <v>288</v>
      </c>
      <c r="C689" s="49" t="s">
        <v>289</v>
      </c>
      <c r="D689" s="19" t="s">
        <v>414</v>
      </c>
      <c r="E689" s="19">
        <v>68.0</v>
      </c>
      <c r="F689" s="232">
        <v>105.33</v>
      </c>
      <c r="G689" s="233">
        <v>-7162.44</v>
      </c>
      <c r="H689" s="19" t="s">
        <v>1049</v>
      </c>
      <c r="I689" s="235">
        <f t="array" ref="I689">IFS(AND($B689&lt;&gt;"",$E689&lt;&gt;""),IF(INDEX(HistoricSummary!D:D,MATCH($C689,HistoricSummary!$A:$A,0),1)&lt;&gt;"",$E689*INDEX(HistoricSummary!D:D,MATCH($C689,HistoricSummary!$A:$A,0),1)+$G689,""),AND($B689&lt;&gt;"",$D689="COST",$G689&lt;0),$G689,TRUE,)</f>
        <v>3056.6</v>
      </c>
      <c r="J689" s="235">
        <f t="array" ref="J689">IFS(AND($B689&lt;&gt;"",$E689&lt;&gt;""),IF(INDEX(HistoricSummary!E:E,MATCH($C689,HistoricSummary!$A:$A,0),1)&lt;&gt;"",$E689*INDEX(HistoricSummary!E:E,MATCH($C689,HistoricSummary!$A:$A,0),1)+$G689,""),AND($B689&lt;&gt;"",$D689="COST",$G689&lt;0),$G689,TRUE,)</f>
        <v>2672.671473</v>
      </c>
    </row>
    <row r="690">
      <c r="A690" s="184">
        <v>43259.0</v>
      </c>
      <c r="B690" s="19" t="s">
        <v>302</v>
      </c>
      <c r="C690" s="49" t="s">
        <v>303</v>
      </c>
      <c r="D690" s="19" t="s">
        <v>414</v>
      </c>
      <c r="E690" s="19">
        <v>630.0</v>
      </c>
      <c r="F690" s="232">
        <v>44.718</v>
      </c>
      <c r="G690" s="233">
        <v>-28172.34</v>
      </c>
      <c r="H690" s="19" t="s">
        <v>1050</v>
      </c>
      <c r="I690" s="235">
        <f t="array" ref="I690">IFS(AND($B690&lt;&gt;"",$E690&lt;&gt;""),IF(INDEX(HistoricSummary!D:D,MATCH($C690,HistoricSummary!$A:$A,0),1)&lt;&gt;"",$E690*INDEX(HistoricSummary!D:D,MATCH($C690,HistoricSummary!$A:$A,0),1)+$G690,""),AND($B690&lt;&gt;"",$D690="COST",$G690&lt;0),$G690,TRUE,)</f>
        <v>8139.6</v>
      </c>
      <c r="J690" s="235">
        <f t="array" ref="J690">IFS(AND($B690&lt;&gt;"",$E690&lt;&gt;""),IF(INDEX(HistoricSummary!E:E,MATCH($C690,HistoricSummary!$A:$A,0),1)&lt;&gt;"",$E690*INDEX(HistoricSummary!E:E,MATCH($C690,HistoricSummary!$A:$A,0),1)+$G690,""),AND($B690&lt;&gt;"",$D690="COST",$G690&lt;0),$G690,TRUE,)</f>
        <v>5237.932326</v>
      </c>
    </row>
    <row r="691">
      <c r="A691" s="184">
        <v>43259.0</v>
      </c>
      <c r="B691" s="19" t="s">
        <v>298</v>
      </c>
      <c r="C691" s="19" t="s">
        <v>867</v>
      </c>
      <c r="D691" s="19" t="s">
        <v>432</v>
      </c>
      <c r="E691" s="19"/>
      <c r="F691" s="232"/>
      <c r="G691" s="233">
        <v>-10.09</v>
      </c>
      <c r="H691" s="19" t="s">
        <v>1051</v>
      </c>
      <c r="I691" s="235">
        <f t="array" ref="I691">IFS(AND($B691&lt;&gt;"",$E691&lt;&gt;""),IF(INDEX(HistoricSummary!D:D,MATCH($C691,HistoricSummary!$A:$A,0),1)&lt;&gt;"",$E691*INDEX(HistoricSummary!D:D,MATCH($C691,HistoricSummary!$A:$A,0),1)+$G691,""),AND($B691&lt;&gt;"",$D691="COST",$G691&lt;0),$G691,TRUE,)</f>
        <v>-10.09</v>
      </c>
      <c r="J691" s="235">
        <f t="array" ref="J691">IFS(AND($B691&lt;&gt;"",$E691&lt;&gt;""),IF(INDEX(HistoricSummary!E:E,MATCH($C691,HistoricSummary!$A:$A,0),1)&lt;&gt;"",$E691*INDEX(HistoricSummary!E:E,MATCH($C691,HistoricSummary!$A:$A,0),1)+$G691,""),AND($B691&lt;&gt;"",$D691="COST",$G691&lt;0),$G691,TRUE,)</f>
        <v>-10.09</v>
      </c>
    </row>
    <row r="692">
      <c r="A692" s="184">
        <v>43259.0</v>
      </c>
      <c r="B692" s="19" t="s">
        <v>298</v>
      </c>
      <c r="C692" s="19" t="s">
        <v>867</v>
      </c>
      <c r="D692" s="19" t="s">
        <v>414</v>
      </c>
      <c r="E692" s="50">
        <v>10452.0</v>
      </c>
      <c r="F692" s="232">
        <v>3.869</v>
      </c>
      <c r="G692" s="233">
        <v>-40435.8</v>
      </c>
      <c r="H692" s="19" t="s">
        <v>1052</v>
      </c>
      <c r="I692" s="235">
        <f t="array" ref="I692">IFS(AND($B692&lt;&gt;"",$E692&lt;&gt;""),IF(INDEX(HistoricSummary!D:D,MATCH($C692,HistoricSummary!$A:$A,0),1)&lt;&gt;"",$E692*INDEX(HistoricSummary!D:D,MATCH($C692,HistoricSummary!$A:$A,0),1)+$G692,""),AND($B692&lt;&gt;"",$D692="COST",$G692&lt;0),$G692,TRUE,)</f>
        <v>11247.2496</v>
      </c>
      <c r="J692" s="235">
        <f t="array" ref="J692">IFS(AND($B692&lt;&gt;"",$E692&lt;&gt;""),IF(INDEX(HistoricSummary!E:E,MATCH($C692,HistoricSummary!$A:$A,0),1)&lt;&gt;"",$E692*INDEX(HistoricSummary!E:E,MATCH($C692,HistoricSummary!$A:$A,0),1)+$G692,""),AND($B692&lt;&gt;"",$D692="COST",$G692&lt;0),$G692,TRUE,)</f>
        <v>13919.25884</v>
      </c>
    </row>
    <row r="693">
      <c r="A693" s="184">
        <v>43259.0</v>
      </c>
      <c r="B693" s="19" t="s">
        <v>292</v>
      </c>
      <c r="C693" s="19" t="s">
        <v>293</v>
      </c>
      <c r="D693" s="19" t="s">
        <v>414</v>
      </c>
      <c r="E693" s="19">
        <v>93.0</v>
      </c>
      <c r="F693" s="232">
        <v>159.71</v>
      </c>
      <c r="G693" s="233">
        <v>-14853.03</v>
      </c>
      <c r="H693" s="19" t="s">
        <v>1053</v>
      </c>
      <c r="I693" s="235">
        <f t="array" ref="I693">IFS(AND($B693&lt;&gt;"",$E693&lt;&gt;""),IF(INDEX(HistoricSummary!D:D,MATCH($C693,HistoricSummary!$A:$A,0),1)&lt;&gt;"",$E693*INDEX(HistoricSummary!D:D,MATCH($C693,HistoricSummary!$A:$A,0),1)+$G693,""),AND($B693&lt;&gt;"",$D693="COST",$G693&lt;0),$G693,TRUE,)</f>
        <v>2487.75</v>
      </c>
      <c r="J693" s="235">
        <f t="array" ref="J693">IFS(AND($B693&lt;&gt;"",$E693&lt;&gt;""),IF(INDEX(HistoricSummary!E:E,MATCH($C693,HistoricSummary!$A:$A,0),1)&lt;&gt;"",$E693*INDEX(HistoricSummary!E:E,MATCH($C693,HistoricSummary!$A:$A,0),1)+$G693,""),AND($B693&lt;&gt;"",$D693="COST",$G693&lt;0),$G693,TRUE,)</f>
        <v>3085.711163</v>
      </c>
    </row>
    <row r="694">
      <c r="A694" s="184">
        <v>43258.0</v>
      </c>
      <c r="B694" s="19"/>
      <c r="C694" s="49"/>
      <c r="D694" s="19" t="s">
        <v>454</v>
      </c>
      <c r="E694" s="19"/>
      <c r="F694" s="232"/>
      <c r="G694" s="233">
        <v>25000.0</v>
      </c>
      <c r="H694" s="19" t="s">
        <v>1054</v>
      </c>
      <c r="I694" s="235" t="str">
        <f t="array" ref="I694">IFS(AND($B694&lt;&gt;"",$E694&lt;&gt;""),IF(INDEX(HistoricSummary!D:D,MATCH($C694,HistoricSummary!$A:$A,0),1)&lt;&gt;"",$E694*INDEX(HistoricSummary!D:D,MATCH($C694,HistoricSummary!$A:$A,0),1)+$G694,""),AND($B694&lt;&gt;"",$D694="COST",$G694&lt;0),$G694,TRUE,)</f>
        <v/>
      </c>
      <c r="J694" s="235" t="str">
        <f t="array" ref="J694">IFS(AND($B694&lt;&gt;"",$E694&lt;&gt;""),IF(INDEX(HistoricSummary!E:E,MATCH($C694,HistoricSummary!$A:$A,0),1)&lt;&gt;"",$E694*INDEX(HistoricSummary!E:E,MATCH($C694,HistoricSummary!$A:$A,0),1)+$G694,""),AND($B694&lt;&gt;"",$D694="COST",$G694&lt;0),$G694,TRUE,)</f>
        <v/>
      </c>
    </row>
    <row r="695">
      <c r="A695" s="184">
        <v>43256.0</v>
      </c>
      <c r="B695" s="19" t="s">
        <v>283</v>
      </c>
      <c r="C695" s="49" t="s">
        <v>286</v>
      </c>
      <c r="D695" s="19" t="s">
        <v>414</v>
      </c>
      <c r="E695" s="19">
        <v>163.0</v>
      </c>
      <c r="F695" s="232">
        <v>7.8</v>
      </c>
      <c r="G695" s="233">
        <v>-1271.4</v>
      </c>
      <c r="H695" s="19" t="s">
        <v>1055</v>
      </c>
      <c r="I695" s="235">
        <f t="array" ref="I695">IFS(AND($B695&lt;&gt;"",$E695&lt;&gt;""),IF(INDEX(HistoricSummary!D:D,MATCH($C695,HistoricSummary!$A:$A,0),1)&lt;&gt;"",$E695*INDEX(HistoricSummary!D:D,MATCH($C695,HistoricSummary!$A:$A,0),1)+$G695,""),AND($B695&lt;&gt;"",$D695="COST",$G695&lt;0),$G695,TRUE,)</f>
        <v>-213.041</v>
      </c>
      <c r="J695" s="235">
        <f t="array" ref="J695">IFS(AND($B695&lt;&gt;"",$E695&lt;&gt;""),IF(INDEX(HistoricSummary!E:E,MATCH($C695,HistoricSummary!$A:$A,0),1)&lt;&gt;"",$E695*INDEX(HistoricSummary!E:E,MATCH($C695,HistoricSummary!$A:$A,0),1)+$G695,""),AND($B695&lt;&gt;"",$D695="COST",$G695&lt;0),$G695,TRUE,)</f>
        <v>-219.8187674</v>
      </c>
    </row>
    <row r="696">
      <c r="A696" s="184">
        <v>43255.0</v>
      </c>
      <c r="B696" s="19" t="s">
        <v>298</v>
      </c>
      <c r="C696" s="19" t="s">
        <v>867</v>
      </c>
      <c r="D696" s="19" t="s">
        <v>432</v>
      </c>
      <c r="F696" s="232"/>
      <c r="G696" s="233">
        <v>-3.82</v>
      </c>
      <c r="H696" s="19" t="s">
        <v>1056</v>
      </c>
      <c r="I696" s="235">
        <f t="array" ref="I696">IFS(AND($B696&lt;&gt;"",$E696&lt;&gt;""),IF(INDEX(HistoricSummary!D:D,MATCH($C696,HistoricSummary!$A:$A,0),1)&lt;&gt;"",$E696*INDEX(HistoricSummary!D:D,MATCH($C696,HistoricSummary!$A:$A,0),1)+$G696,""),AND($B696&lt;&gt;"",$D696="COST",$G696&lt;0),$G696,TRUE,)</f>
        <v>-3.82</v>
      </c>
      <c r="J696" s="235">
        <f t="array" ref="J696">IFS(AND($B696&lt;&gt;"",$E696&lt;&gt;""),IF(INDEX(HistoricSummary!E:E,MATCH($C696,HistoricSummary!$A:$A,0),1)&lt;&gt;"",$E696*INDEX(HistoricSummary!E:E,MATCH($C696,HistoricSummary!$A:$A,0),1)+$G696,""),AND($B696&lt;&gt;"",$D696="COST",$G696&lt;0),$G696,TRUE,)</f>
        <v>-3.82</v>
      </c>
    </row>
    <row r="697">
      <c r="A697" s="184">
        <v>43255.0</v>
      </c>
      <c r="B697" s="19" t="s">
        <v>298</v>
      </c>
      <c r="C697" s="19" t="s">
        <v>867</v>
      </c>
      <c r="D697" s="19" t="s">
        <v>414</v>
      </c>
      <c r="E697" s="50">
        <v>2338.0</v>
      </c>
      <c r="F697" s="232">
        <v>3.882</v>
      </c>
      <c r="G697" s="233">
        <v>-9076.29</v>
      </c>
      <c r="H697" s="19" t="s">
        <v>1057</v>
      </c>
      <c r="I697" s="235">
        <f t="array" ref="I697">IFS(AND($B697&lt;&gt;"",$E697&lt;&gt;""),IF(INDEX(HistoricSummary!D:D,MATCH($C697,HistoricSummary!$A:$A,0),1)&lt;&gt;"",$E697*INDEX(HistoricSummary!D:D,MATCH($C697,HistoricSummary!$A:$A,0),1)+$G697,""),AND($B697&lt;&gt;"",$D697="COST",$G697&lt;0),$G697,TRUE,)</f>
        <v>2484.6524</v>
      </c>
      <c r="J697" s="235">
        <f t="array" ref="J697">IFS(AND($B697&lt;&gt;"",$E697&lt;&gt;""),IF(INDEX(HistoricSummary!E:E,MATCH($C697,HistoricSummary!$A:$A,0),1)&lt;&gt;"",$E697*INDEX(HistoricSummary!E:E,MATCH($C697,HistoricSummary!$A:$A,0),1)+$G697,""),AND($B697&lt;&gt;"",$D697="COST",$G697&lt;0),$G697,TRUE,)</f>
        <v>3082.352132</v>
      </c>
    </row>
    <row r="698">
      <c r="A698" s="184">
        <v>43255.0</v>
      </c>
      <c r="B698" s="19" t="s">
        <v>283</v>
      </c>
      <c r="C698" s="49" t="s">
        <v>286</v>
      </c>
      <c r="D698" s="19" t="s">
        <v>414</v>
      </c>
      <c r="E698" s="19">
        <v>479.0</v>
      </c>
      <c r="F698" s="232">
        <v>7.801</v>
      </c>
      <c r="G698" s="233">
        <v>-3736.68</v>
      </c>
      <c r="H698" s="19" t="s">
        <v>1058</v>
      </c>
      <c r="I698" s="235">
        <f t="array" ref="I698">IFS(AND($B698&lt;&gt;"",$E698&lt;&gt;""),IF(INDEX(HistoricSummary!D:D,MATCH($C698,HistoricSummary!$A:$A,0),1)&lt;&gt;"",$E698*INDEX(HistoricSummary!D:D,MATCH($C698,HistoricSummary!$A:$A,0),1)+$G698,""),AND($B698&lt;&gt;"",$D698="COST",$G698&lt;0),$G698,TRUE,)</f>
        <v>-626.533</v>
      </c>
      <c r="J698" s="235">
        <f t="array" ref="J698">IFS(AND($B698&lt;&gt;"",$E698&lt;&gt;""),IF(INDEX(HistoricSummary!E:E,MATCH($C698,HistoricSummary!$A:$A,0),1)&lt;&gt;"",$E698*INDEX(HistoricSummary!E:E,MATCH($C698,HistoricSummary!$A:$A,0),1)+$G698,""),AND($B698&lt;&gt;"",$D698="COST",$G698&lt;0),$G698,TRUE,)</f>
        <v>-646.4504884</v>
      </c>
    </row>
    <row r="699">
      <c r="A699" s="184">
        <v>43255.0</v>
      </c>
      <c r="B699" s="19" t="s">
        <v>292</v>
      </c>
      <c r="C699" s="19" t="s">
        <v>293</v>
      </c>
      <c r="D699" s="19" t="s">
        <v>414</v>
      </c>
      <c r="E699" s="19">
        <v>23.0</v>
      </c>
      <c r="F699" s="232">
        <v>159.87</v>
      </c>
      <c r="G699" s="233">
        <v>-3677.01</v>
      </c>
      <c r="H699" s="19" t="s">
        <v>1059</v>
      </c>
      <c r="I699" s="235">
        <f t="array" ref="I699">IFS(AND($B699&lt;&gt;"",$E699&lt;&gt;""),IF(INDEX(HistoricSummary!D:D,MATCH($C699,HistoricSummary!$A:$A,0),1)&lt;&gt;"",$E699*INDEX(HistoricSummary!D:D,MATCH($C699,HistoricSummary!$A:$A,0),1)+$G699,""),AND($B699&lt;&gt;"",$D699="COST",$G699&lt;0),$G699,TRUE,)</f>
        <v>611.57</v>
      </c>
      <c r="J699" s="235">
        <f t="array" ref="J699">IFS(AND($B699&lt;&gt;"",$E699&lt;&gt;""),IF(INDEX(HistoricSummary!E:E,MATCH($C699,HistoricSummary!$A:$A,0),1)&lt;&gt;"",$E699*INDEX(HistoricSummary!E:E,MATCH($C699,HistoricSummary!$A:$A,0),1)+$G699,""),AND($B699&lt;&gt;"",$D699="COST",$G699&lt;0),$G699,TRUE,)</f>
        <v>759.4528682</v>
      </c>
    </row>
    <row r="700">
      <c r="A700" s="184">
        <v>43255.0</v>
      </c>
      <c r="B700" s="19" t="s">
        <v>302</v>
      </c>
      <c r="C700" s="49" t="s">
        <v>303</v>
      </c>
      <c r="D700" s="19" t="s">
        <v>414</v>
      </c>
      <c r="E700" s="19">
        <v>93.0</v>
      </c>
      <c r="F700" s="232">
        <v>44.55</v>
      </c>
      <c r="G700" s="233">
        <v>-4143.15</v>
      </c>
      <c r="H700" s="19" t="s">
        <v>1060</v>
      </c>
      <c r="I700" s="235">
        <f t="array" ref="I700">IFS(AND($B700&lt;&gt;"",$E700&lt;&gt;""),IF(INDEX(HistoricSummary!D:D,MATCH($C700,HistoricSummary!$A:$A,0),1)&lt;&gt;"",$E700*INDEX(HistoricSummary!D:D,MATCH($C700,HistoricSummary!$A:$A,0),1)+$G700,""),AND($B700&lt;&gt;"",$D700="COST",$G700&lt;0),$G700,TRUE,)</f>
        <v>1217.184</v>
      </c>
      <c r="J700" s="235">
        <f t="array" ref="J700">IFS(AND($B700&lt;&gt;"",$E700&lt;&gt;""),IF(INDEX(HistoricSummary!E:E,MATCH($C700,HistoricSummary!$A:$A,0),1)&lt;&gt;"",$E700*INDEX(HistoricSummary!E:E,MATCH($C700,HistoricSummary!$A:$A,0),1)+$G700,""),AND($B700&lt;&gt;"",$D700="COST",$G700&lt;0),$G700,TRUE,)</f>
        <v>788.8425814</v>
      </c>
    </row>
    <row r="701">
      <c r="A701" s="184">
        <v>43255.0</v>
      </c>
      <c r="B701" s="19" t="s">
        <v>298</v>
      </c>
      <c r="C701" s="19" t="s">
        <v>867</v>
      </c>
      <c r="D701" s="19" t="s">
        <v>432</v>
      </c>
      <c r="F701" s="232"/>
      <c r="G701" s="233">
        <v>-2.96</v>
      </c>
      <c r="H701" s="19" t="s">
        <v>1061</v>
      </c>
      <c r="I701" s="235">
        <f t="array" ref="I701">IFS(AND($B701&lt;&gt;"",$E701&lt;&gt;""),IF(INDEX(HistoricSummary!D:D,MATCH($C701,HistoricSummary!$A:$A,0),1)&lt;&gt;"",$E701*INDEX(HistoricSummary!D:D,MATCH($C701,HistoricSummary!$A:$A,0),1)+$G701,""),AND($B701&lt;&gt;"",$D701="COST",$G701&lt;0),$G701,TRUE,)</f>
        <v>-2.96</v>
      </c>
      <c r="J701" s="235">
        <f t="array" ref="J701">IFS(AND($B701&lt;&gt;"",$E701&lt;&gt;""),IF(INDEX(HistoricSummary!E:E,MATCH($C701,HistoricSummary!$A:$A,0),1)&lt;&gt;"",$E701*INDEX(HistoricSummary!E:E,MATCH($C701,HistoricSummary!$A:$A,0),1)+$G701,""),AND($B701&lt;&gt;"",$D701="COST",$G701&lt;0),$G701,TRUE,)</f>
        <v>-2.96</v>
      </c>
    </row>
    <row r="702">
      <c r="A702" s="184">
        <v>43255.0</v>
      </c>
      <c r="B702" s="19" t="s">
        <v>298</v>
      </c>
      <c r="C702" s="19" t="s">
        <v>867</v>
      </c>
      <c r="D702" s="19" t="s">
        <v>414</v>
      </c>
      <c r="E702" s="50">
        <v>1235.0</v>
      </c>
      <c r="F702" s="232">
        <v>3.881</v>
      </c>
      <c r="G702" s="233">
        <v>-4793.1</v>
      </c>
      <c r="H702" s="19" t="s">
        <v>1062</v>
      </c>
      <c r="I702" s="235">
        <f t="array" ref="I702">IFS(AND($B702&lt;&gt;"",$E702&lt;&gt;""),IF(INDEX(HistoricSummary!D:D,MATCH($C702,HistoricSummary!$A:$A,0),1)&lt;&gt;"",$E702*INDEX(HistoricSummary!D:D,MATCH($C702,HistoricSummary!$A:$A,0),1)+$G702,""),AND($B702&lt;&gt;"",$D702="COST",$G702&lt;0),$G702,TRUE,)</f>
        <v>1313.728</v>
      </c>
      <c r="J702" s="235">
        <f t="array" ref="J702">IFS(AND($B702&lt;&gt;"",$E702&lt;&gt;""),IF(INDEX(HistoricSummary!E:E,MATCH($C702,HistoricSummary!$A:$A,0),1)&lt;&gt;"",$E702*INDEX(HistoricSummary!E:E,MATCH($C702,HistoricSummary!$A:$A,0),1)+$G702,""),AND($B702&lt;&gt;"",$D702="COST",$G702&lt;0),$G702,TRUE,)</f>
        <v>1629.450484</v>
      </c>
    </row>
    <row r="703">
      <c r="A703" s="184">
        <v>43255.0</v>
      </c>
      <c r="B703" s="19" t="s">
        <v>302</v>
      </c>
      <c r="C703" s="49" t="s">
        <v>303</v>
      </c>
      <c r="D703" s="19" t="s">
        <v>414</v>
      </c>
      <c r="E703" s="19">
        <v>88.0</v>
      </c>
      <c r="F703" s="232">
        <v>44.539</v>
      </c>
      <c r="G703" s="233">
        <v>-3919.43</v>
      </c>
      <c r="H703" s="19" t="s">
        <v>1063</v>
      </c>
      <c r="I703" s="235">
        <f t="array" ref="I703">IFS(AND($B703&lt;&gt;"",$E703&lt;&gt;""),IF(INDEX(HistoricSummary!D:D,MATCH($C703,HistoricSummary!$A:$A,0),1)&lt;&gt;"",$E703*INDEX(HistoricSummary!D:D,MATCH($C703,HistoricSummary!$A:$A,0),1)+$G703,""),AND($B703&lt;&gt;"",$D703="COST",$G703&lt;0),$G703,TRUE,)</f>
        <v>1152.714</v>
      </c>
      <c r="J703" s="235">
        <f t="array" ref="J703">IFS(AND($B703&lt;&gt;"",$E703&lt;&gt;""),IF(INDEX(HistoricSummary!E:E,MATCH($C703,HistoricSummary!$A:$A,0),1)&lt;&gt;"",$E703*INDEX(HistoricSummary!E:E,MATCH($C703,HistoricSummary!$A:$A,0),1)+$G703,""),AND($B703&lt;&gt;"",$D703="COST",$G703&lt;0),$G703,TRUE,)</f>
        <v>747.4016899</v>
      </c>
    </row>
    <row r="704">
      <c r="A704" s="184">
        <v>43255.0</v>
      </c>
      <c r="B704" s="19" t="s">
        <v>292</v>
      </c>
      <c r="C704" s="19" t="s">
        <v>293</v>
      </c>
      <c r="D704" s="19" t="s">
        <v>414</v>
      </c>
      <c r="E704" s="19">
        <v>13.0</v>
      </c>
      <c r="F704" s="232">
        <v>159.82</v>
      </c>
      <c r="G704" s="233">
        <v>-2077.66</v>
      </c>
      <c r="H704" s="19" t="s">
        <v>1064</v>
      </c>
      <c r="I704" s="235">
        <f t="array" ref="I704">IFS(AND($B704&lt;&gt;"",$E704&lt;&gt;""),IF(INDEX(HistoricSummary!D:D,MATCH($C704,HistoricSummary!$A:$A,0),1)&lt;&gt;"",$E704*INDEX(HistoricSummary!D:D,MATCH($C704,HistoricSummary!$A:$A,0),1)+$G704,""),AND($B704&lt;&gt;"",$D704="COST",$G704&lt;0),$G704,TRUE,)</f>
        <v>346.32</v>
      </c>
      <c r="J704" s="235">
        <f t="array" ref="J704">IFS(AND($B704&lt;&gt;"",$E704&lt;&gt;""),IF(INDEX(HistoricSummary!E:E,MATCH($C704,HistoricSummary!$A:$A,0),1)&lt;&gt;"",$E704*INDEX(HistoricSummary!E:E,MATCH($C704,HistoricSummary!$A:$A,0),1)+$G704,""),AND($B704&lt;&gt;"",$D704="COST",$G704&lt;0),$G704,TRUE,)</f>
        <v>429.905969</v>
      </c>
    </row>
    <row r="705">
      <c r="A705" s="184">
        <v>43255.0</v>
      </c>
      <c r="B705" s="19" t="s">
        <v>288</v>
      </c>
      <c r="C705" s="49" t="s">
        <v>289</v>
      </c>
      <c r="D705" s="19" t="s">
        <v>414</v>
      </c>
      <c r="E705" s="19">
        <v>11.0</v>
      </c>
      <c r="F705" s="232">
        <v>105.72</v>
      </c>
      <c r="G705" s="233">
        <v>-1162.92</v>
      </c>
      <c r="H705" s="19" t="s">
        <v>1065</v>
      </c>
      <c r="I705" s="235">
        <f t="array" ref="I705">IFS(AND($B705&lt;&gt;"",$E705&lt;&gt;""),IF(INDEX(HistoricSummary!D:D,MATCH($C705,HistoricSummary!$A:$A,0),1)&lt;&gt;"",$E705*INDEX(HistoricSummary!D:D,MATCH($C705,HistoricSummary!$A:$A,0),1)+$G705,""),AND($B705&lt;&gt;"",$D705="COST",$G705&lt;0),$G705,TRUE,)</f>
        <v>490.16</v>
      </c>
      <c r="J705" s="235">
        <f t="array" ref="J705">IFS(AND($B705&lt;&gt;"",$E705&lt;&gt;""),IF(INDEX(HistoricSummary!E:E,MATCH($C705,HistoricSummary!$A:$A,0),1)&lt;&gt;"",$E705*INDEX(HistoricSummary!E:E,MATCH($C705,HistoricSummary!$A:$A,0),1)+$G705,""),AND($B705&lt;&gt;"",$D705="COST",$G705&lt;0),$G705,TRUE,)</f>
        <v>428.0539147</v>
      </c>
    </row>
    <row r="706">
      <c r="A706" s="184">
        <v>43251.0</v>
      </c>
      <c r="B706" s="229" t="s">
        <v>292</v>
      </c>
      <c r="C706" s="230" t="s">
        <v>293</v>
      </c>
      <c r="D706" s="231" t="s">
        <v>475</v>
      </c>
      <c r="E706" s="231"/>
      <c r="F706" s="232"/>
      <c r="G706" s="233">
        <v>471.2</v>
      </c>
      <c r="H706" s="230" t="s">
        <v>1066</v>
      </c>
      <c r="I706" s="235" t="str">
        <f t="array" ref="I706">IFS(AND($B706&lt;&gt;"",$E706&lt;&gt;""),IF(INDEX(HistoricSummary!D:D,MATCH($C706,HistoricSummary!$A:$A,0),1)&lt;&gt;"",$E706*INDEX(HistoricSummary!D:D,MATCH($C706,HistoricSummary!$A:$A,0),1)+$G706,""),AND($B706&lt;&gt;"",$D706="COST",$G706&lt;0),$G706,TRUE,)</f>
        <v/>
      </c>
      <c r="J706" s="235" t="str">
        <f t="array" ref="J706">IFS(AND($B706&lt;&gt;"",$E706&lt;&gt;""),IF(INDEX(HistoricSummary!E:E,MATCH($C706,HistoricSummary!$A:$A,0),1)&lt;&gt;"",$E706*INDEX(HistoricSummary!E:E,MATCH($C706,HistoricSummary!$A:$A,0),1)+$G706,""),AND($B706&lt;&gt;"",$D706="COST",$G706&lt;0),$G706,TRUE,)</f>
        <v/>
      </c>
    </row>
    <row r="707">
      <c r="A707" s="184">
        <v>43251.0</v>
      </c>
      <c r="B707" s="229" t="s">
        <v>292</v>
      </c>
      <c r="C707" s="230" t="s">
        <v>293</v>
      </c>
      <c r="D707" s="231" t="s">
        <v>475</v>
      </c>
      <c r="E707" s="231"/>
      <c r="F707" s="232"/>
      <c r="G707" s="233">
        <v>-68.59</v>
      </c>
      <c r="H707" s="230" t="s">
        <v>1067</v>
      </c>
      <c r="I707" s="235" t="str">
        <f t="array" ref="I707">IFS(AND($B707&lt;&gt;"",$E707&lt;&gt;""),IF(INDEX(HistoricSummary!D:D,MATCH($C707,HistoricSummary!$A:$A,0),1)&lt;&gt;"",$E707*INDEX(HistoricSummary!D:D,MATCH($C707,HistoricSummary!$A:$A,0),1)+$G707,""),AND($B707&lt;&gt;"",$D707="COST",$G707&lt;0),$G707,TRUE,)</f>
        <v/>
      </c>
      <c r="J707" s="235" t="str">
        <f t="array" ref="J707">IFS(AND($B707&lt;&gt;"",$E707&lt;&gt;""),IF(INDEX(HistoricSummary!E:E,MATCH($C707,HistoricSummary!$A:$A,0),1)&lt;&gt;"",$E707*INDEX(HistoricSummary!E:E,MATCH($C707,HistoricSummary!$A:$A,0),1)+$G707,""),AND($B707&lt;&gt;"",$D707="COST",$G707&lt;0),$G707,TRUE,)</f>
        <v/>
      </c>
    </row>
    <row r="708">
      <c r="A708" s="184">
        <v>43251.0</v>
      </c>
      <c r="B708" s="229"/>
      <c r="C708" s="230"/>
      <c r="D708" s="231" t="s">
        <v>432</v>
      </c>
      <c r="E708" s="231"/>
      <c r="F708" s="232"/>
      <c r="G708" s="233">
        <v>-161.46</v>
      </c>
      <c r="H708" s="230" t="s">
        <v>1068</v>
      </c>
      <c r="I708" s="235" t="str">
        <f t="array" ref="I708">IFS(AND($B708&lt;&gt;"",$E708&lt;&gt;""),IF(INDEX(HistoricSummary!D:D,MATCH($C708,HistoricSummary!$A:$A,0),1)&lt;&gt;"",$E708*INDEX(HistoricSummary!D:D,MATCH($C708,HistoricSummary!$A:$A,0),1)+$G708,""),AND($B708&lt;&gt;"",$D708="COST",$G708&lt;0),$G708,TRUE,)</f>
        <v/>
      </c>
      <c r="J708" s="235" t="str">
        <f t="array" ref="J708">IFS(AND($B708&lt;&gt;"",$E708&lt;&gt;""),IF(INDEX(HistoricSummary!E:E,MATCH($C708,HistoricSummary!$A:$A,0),1)&lt;&gt;"",$E708*INDEX(HistoricSummary!E:E,MATCH($C708,HistoricSummary!$A:$A,0),1)+$G708,""),AND($B708&lt;&gt;"",$D708="COST",$G708&lt;0),$G708,TRUE,)</f>
        <v/>
      </c>
    </row>
    <row r="709">
      <c r="A709" s="184">
        <v>43251.0</v>
      </c>
      <c r="B709" s="229"/>
      <c r="C709" s="230"/>
      <c r="D709" s="231" t="s">
        <v>432</v>
      </c>
      <c r="E709" s="231"/>
      <c r="F709" s="232"/>
      <c r="G709" s="233">
        <v>-2.5</v>
      </c>
      <c r="H709" s="230" t="s">
        <v>835</v>
      </c>
      <c r="I709" s="235" t="str">
        <f t="array" ref="I709">IFS(AND($B709&lt;&gt;"",$E709&lt;&gt;""),IF(INDEX(HistoricSummary!D:D,MATCH($C709,HistoricSummary!$A:$A,0),1)&lt;&gt;"",$E709*INDEX(HistoricSummary!D:D,MATCH($C709,HistoricSummary!$A:$A,0),1)+$G709,""),AND($B709&lt;&gt;"",$D709="COST",$G709&lt;0),$G709,TRUE,)</f>
        <v/>
      </c>
      <c r="J709" s="235" t="str">
        <f t="array" ref="J709">IFS(AND($B709&lt;&gt;"",$E709&lt;&gt;""),IF(INDEX(HistoricSummary!E:E,MATCH($C709,HistoricSummary!$A:$A,0),1)&lt;&gt;"",$E709*INDEX(HistoricSummary!E:E,MATCH($C709,HistoricSummary!$A:$A,0),1)+$G709,""),AND($B709&lt;&gt;"",$D709="COST",$G709&lt;0),$G709,TRUE,)</f>
        <v/>
      </c>
    </row>
    <row r="710">
      <c r="A710" s="184">
        <v>43224.0</v>
      </c>
      <c r="B710" s="229" t="s">
        <v>292</v>
      </c>
      <c r="C710" s="230" t="s">
        <v>297</v>
      </c>
      <c r="D710" s="231" t="s">
        <v>475</v>
      </c>
      <c r="E710" s="231"/>
      <c r="F710" s="232"/>
      <c r="G710" s="233">
        <v>7.5</v>
      </c>
      <c r="H710" s="230" t="s">
        <v>1069</v>
      </c>
      <c r="I710" s="235" t="str">
        <f t="array" ref="I710">IFS(AND($B710&lt;&gt;"",$E710&lt;&gt;""),IF(INDEX(HistoricSummary!D:D,MATCH($C710,HistoricSummary!$A:$A,0),1)&lt;&gt;"",$E710*INDEX(HistoricSummary!D:D,MATCH($C710,HistoricSummary!$A:$A,0),1)+$G710,""),AND($B710&lt;&gt;"",$D710="COST",$G710&lt;0),$G710,TRUE,)</f>
        <v/>
      </c>
      <c r="J710" s="235" t="str">
        <f t="array" ref="J710">IFS(AND($B710&lt;&gt;"",$E710&lt;&gt;""),IF(INDEX(HistoricSummary!E:E,MATCH($C710,HistoricSummary!$A:$A,0),1)&lt;&gt;"",$E710*INDEX(HistoricSummary!E:E,MATCH($C710,HistoricSummary!$A:$A,0),1)+$G710,""),AND($B710&lt;&gt;"",$D710="COST",$G710&lt;0),$G710,TRUE,)</f>
        <v/>
      </c>
    </row>
    <row r="711">
      <c r="A711" s="184">
        <v>43224.0</v>
      </c>
      <c r="B711" s="229" t="s">
        <v>292</v>
      </c>
      <c r="C711" s="230" t="s">
        <v>297</v>
      </c>
      <c r="D711" s="231" t="s">
        <v>475</v>
      </c>
      <c r="E711" s="231"/>
      <c r="F711" s="232"/>
      <c r="G711" s="233">
        <v>-7.01</v>
      </c>
      <c r="H711" s="230" t="s">
        <v>1070</v>
      </c>
      <c r="I711" s="235" t="str">
        <f t="array" ref="I711">IFS(AND($B711&lt;&gt;"",$E711&lt;&gt;""),IF(INDEX(HistoricSummary!D:D,MATCH($C711,HistoricSummary!$A:$A,0),1)&lt;&gt;"",$E711*INDEX(HistoricSummary!D:D,MATCH($C711,HistoricSummary!$A:$A,0),1)+$G711,""),AND($B711&lt;&gt;"",$D711="COST",$G711&lt;0),$G711,TRUE,)</f>
        <v/>
      </c>
      <c r="J711" s="235" t="str">
        <f t="array" ref="J711">IFS(AND($B711&lt;&gt;"",$E711&lt;&gt;""),IF(INDEX(HistoricSummary!E:E,MATCH($C711,HistoricSummary!$A:$A,0),1)&lt;&gt;"",$E711*INDEX(HistoricSummary!E:E,MATCH($C711,HistoricSummary!$A:$A,0),1)+$G711,""),AND($B711&lt;&gt;"",$D711="COST",$G711&lt;0),$G711,TRUE,)</f>
        <v/>
      </c>
    </row>
    <row r="712">
      <c r="A712" s="184">
        <v>43224.0</v>
      </c>
      <c r="B712" s="229" t="s">
        <v>292</v>
      </c>
      <c r="C712" s="230" t="s">
        <v>297</v>
      </c>
      <c r="D712" s="231" t="s">
        <v>475</v>
      </c>
      <c r="E712" s="231"/>
      <c r="F712" s="232"/>
      <c r="G712" s="233">
        <v>42.49</v>
      </c>
      <c r="H712" s="230" t="s">
        <v>1071</v>
      </c>
      <c r="I712" s="235" t="str">
        <f t="array" ref="I712">IFS(AND($B712&lt;&gt;"",$E712&lt;&gt;""),IF(INDEX(HistoricSummary!D:D,MATCH($C712,HistoricSummary!$A:$A,0),1)&lt;&gt;"",$E712*INDEX(HistoricSummary!D:D,MATCH($C712,HistoricSummary!$A:$A,0),1)+$G712,""),AND($B712&lt;&gt;"",$D712="COST",$G712&lt;0),$G712,TRUE,)</f>
        <v/>
      </c>
      <c r="J712" s="235" t="str">
        <f t="array" ref="J712">IFS(AND($B712&lt;&gt;"",$E712&lt;&gt;""),IF(INDEX(HistoricSummary!E:E,MATCH($C712,HistoricSummary!$A:$A,0),1)&lt;&gt;"",$E712*INDEX(HistoricSummary!E:E,MATCH($C712,HistoricSummary!$A:$A,0),1)+$G712,""),AND($B712&lt;&gt;"",$D712="COST",$G712&lt;0),$G712,TRUE,)</f>
        <v/>
      </c>
    </row>
    <row r="713">
      <c r="A713" s="184">
        <v>43224.0</v>
      </c>
      <c r="B713" s="229" t="s">
        <v>298</v>
      </c>
      <c r="C713" s="19" t="s">
        <v>867</v>
      </c>
      <c r="D713" s="231" t="s">
        <v>432</v>
      </c>
      <c r="E713" s="231"/>
      <c r="F713" s="232"/>
      <c r="G713" s="233">
        <v>-5.42</v>
      </c>
      <c r="H713" s="230" t="s">
        <v>1072</v>
      </c>
      <c r="I713" s="235">
        <f t="array" ref="I713">IFS(AND($B713&lt;&gt;"",$E713&lt;&gt;""),IF(INDEX(HistoricSummary!D:D,MATCH($C713,HistoricSummary!$A:$A,0),1)&lt;&gt;"",$E713*INDEX(HistoricSummary!D:D,MATCH($C713,HistoricSummary!$A:$A,0),1)+$G713,""),AND($B713&lt;&gt;"",$D713="COST",$G713&lt;0),$G713,TRUE,)</f>
        <v>-5.42</v>
      </c>
      <c r="J713" s="235">
        <f t="array" ref="J713">IFS(AND($B713&lt;&gt;"",$E713&lt;&gt;""),IF(INDEX(HistoricSummary!E:E,MATCH($C713,HistoricSummary!$A:$A,0),1)&lt;&gt;"",$E713*INDEX(HistoricSummary!E:E,MATCH($C713,HistoricSummary!$A:$A,0),1)+$G713,""),AND($B713&lt;&gt;"",$D713="COST",$G713&lt;0),$G713,TRUE,)</f>
        <v>-5.42</v>
      </c>
    </row>
    <row r="714">
      <c r="A714" s="184">
        <v>43224.0</v>
      </c>
      <c r="B714" s="229" t="s">
        <v>298</v>
      </c>
      <c r="C714" s="19" t="s">
        <v>867</v>
      </c>
      <c r="D714" s="231" t="s">
        <v>414</v>
      </c>
      <c r="E714" s="231">
        <v>4546.0</v>
      </c>
      <c r="F714" s="232">
        <v>3.767</v>
      </c>
      <c r="G714" s="233">
        <v>-17125.03</v>
      </c>
      <c r="H714" s="230" t="s">
        <v>1073</v>
      </c>
      <c r="I714" s="235">
        <f t="array" ref="I714">IFS(AND($B714&lt;&gt;"",$E714&lt;&gt;""),IF(INDEX(HistoricSummary!D:D,MATCH($C714,HistoricSummary!$A:$A,0),1)&lt;&gt;"",$E714*INDEX(HistoricSummary!D:D,MATCH($C714,HistoricSummary!$A:$A,0),1)+$G714,""),AND($B714&lt;&gt;"",$D714="COST",$G714&lt;0),$G714,TRUE,)</f>
        <v>5354.0308</v>
      </c>
      <c r="J714" s="235">
        <f t="array" ref="J714">IFS(AND($B714&lt;&gt;"",$E714&lt;&gt;""),IF(INDEX(HistoricSummary!E:E,MATCH($C714,HistoricSummary!$A:$A,0),1)&lt;&gt;"",$E714*INDEX(HistoricSummary!E:E,MATCH($C714,HistoricSummary!$A:$A,0),1)+$G714,""),AND($B714&lt;&gt;"",$D714="COST",$G714&lt;0),$G714,TRUE,)</f>
        <v>6516.196318</v>
      </c>
    </row>
    <row r="715">
      <c r="A715" s="184">
        <v>43224.0</v>
      </c>
      <c r="B715" s="229" t="s">
        <v>292</v>
      </c>
      <c r="C715" s="19" t="s">
        <v>293</v>
      </c>
      <c r="D715" s="231" t="s">
        <v>414</v>
      </c>
      <c r="E715" s="231">
        <v>19.0</v>
      </c>
      <c r="F715" s="232">
        <v>158.01</v>
      </c>
      <c r="G715" s="233">
        <v>-3002.19</v>
      </c>
      <c r="H715" s="230" t="s">
        <v>1074</v>
      </c>
      <c r="I715" s="235">
        <f t="array" ref="I715">IFS(AND($B715&lt;&gt;"",$E715&lt;&gt;""),IF(INDEX(HistoricSummary!D:D,MATCH($C715,HistoricSummary!$A:$A,0),1)&lt;&gt;"",$E715*INDEX(HistoricSummary!D:D,MATCH($C715,HistoricSummary!$A:$A,0),1)+$G715,""),AND($B715&lt;&gt;"",$D715="COST",$G715&lt;0),$G715,TRUE,)</f>
        <v>540.55</v>
      </c>
      <c r="J715" s="235">
        <f t="array" ref="J715">IFS(AND($B715&lt;&gt;"",$E715&lt;&gt;""),IF(INDEX(HistoricSummary!E:E,MATCH($C715,HistoricSummary!$A:$A,0),1)&lt;&gt;"",$E715*INDEX(HistoricSummary!E:E,MATCH($C715,HistoricSummary!$A:$A,0),1)+$G715,""),AND($B715&lt;&gt;"",$D715="COST",$G715&lt;0),$G715,TRUE,)</f>
        <v>662.7141085</v>
      </c>
    </row>
    <row r="716">
      <c r="A716" s="184">
        <v>43224.0</v>
      </c>
      <c r="B716" s="229" t="s">
        <v>298</v>
      </c>
      <c r="C716" s="230" t="s">
        <v>301</v>
      </c>
      <c r="D716" s="231" t="s">
        <v>415</v>
      </c>
      <c r="E716" s="231">
        <v>-707.0</v>
      </c>
      <c r="F716" s="232">
        <v>93.145</v>
      </c>
      <c r="G716" s="233">
        <v>65853.53</v>
      </c>
      <c r="H716" s="230" t="s">
        <v>1075</v>
      </c>
      <c r="I716" s="235" t="str">
        <f t="array" ref="I716">IFS(AND($B716&lt;&gt;"",$E716&lt;&gt;""),IF(INDEX(HistoricSummary!D:D,MATCH($C716,HistoricSummary!$A:$A,0),1)&lt;&gt;"",$E716*INDEX(HistoricSummary!D:D,MATCH($C716,HistoricSummary!$A:$A,0),1)+$G716,""),AND($B716&lt;&gt;"",$D716="COST",$G716&lt;0),$G716,TRUE,)</f>
        <v/>
      </c>
      <c r="J716" s="235" t="str">
        <f t="array" ref="J716">IFS(AND($B716&lt;&gt;"",$E716&lt;&gt;""),IF(INDEX(HistoricSummary!E:E,MATCH($C716,HistoricSummary!$A:$A,0),1)&lt;&gt;"",$E716*INDEX(HistoricSummary!E:E,MATCH($C716,HistoricSummary!$A:$A,0),1)+$G716,""),AND($B716&lt;&gt;"",$D716="COST",$G716&lt;0),$G716,TRUE,)</f>
        <v/>
      </c>
    </row>
    <row r="717">
      <c r="A717" s="184">
        <v>43224.0</v>
      </c>
      <c r="B717" s="229" t="s">
        <v>298</v>
      </c>
      <c r="C717" s="19" t="s">
        <v>867</v>
      </c>
      <c r="D717" s="231" t="s">
        <v>432</v>
      </c>
      <c r="E717" s="231"/>
      <c r="F717" s="232"/>
      <c r="G717" s="233">
        <v>-17.04</v>
      </c>
      <c r="H717" s="230" t="s">
        <v>1076</v>
      </c>
      <c r="I717" s="235">
        <f t="array" ref="I717">IFS(AND($B717&lt;&gt;"",$E717&lt;&gt;""),IF(INDEX(HistoricSummary!D:D,MATCH($C717,HistoricSummary!$A:$A,0),1)&lt;&gt;"",$E717*INDEX(HistoricSummary!D:D,MATCH($C717,HistoricSummary!$A:$A,0),1)+$G717,""),AND($B717&lt;&gt;"",$D717="COST",$G717&lt;0),$G717,TRUE,)</f>
        <v>-17.04</v>
      </c>
      <c r="J717" s="235">
        <f t="array" ref="J717">IFS(AND($B717&lt;&gt;"",$E717&lt;&gt;""),IF(INDEX(HistoricSummary!E:E,MATCH($C717,HistoricSummary!$A:$A,0),1)&lt;&gt;"",$E717*INDEX(HistoricSummary!E:E,MATCH($C717,HistoricSummary!$A:$A,0),1)+$G717,""),AND($B717&lt;&gt;"",$D717="COST",$G717&lt;0),$G717,TRUE,)</f>
        <v>-17.04</v>
      </c>
    </row>
    <row r="718">
      <c r="A718" s="184">
        <v>43224.0</v>
      </c>
      <c r="B718" s="229" t="s">
        <v>298</v>
      </c>
      <c r="C718" s="19" t="s">
        <v>867</v>
      </c>
      <c r="D718" s="231" t="s">
        <v>414</v>
      </c>
      <c r="E718" s="231">
        <v>20019.0</v>
      </c>
      <c r="F718" s="232">
        <v>3.758</v>
      </c>
      <c r="G718" s="233">
        <v>-75232.62</v>
      </c>
      <c r="H718" s="230" t="s">
        <v>1077</v>
      </c>
      <c r="I718" s="235">
        <f t="array" ref="I718">IFS(AND($B718&lt;&gt;"",$E718&lt;&gt;""),IF(INDEX(HistoricSummary!D:D,MATCH($C718,HistoricSummary!$A:$A,0),1)&lt;&gt;"",$E718*INDEX(HistoricSummary!D:D,MATCH($C718,HistoricSummary!$A:$A,0),1)+$G718,""),AND($B718&lt;&gt;"",$D718="COST",$G718&lt;0),$G718,TRUE,)</f>
        <v>23757.3312</v>
      </c>
      <c r="J718" s="235">
        <f t="array" ref="J718">IFS(AND($B718&lt;&gt;"",$E718&lt;&gt;""),IF(INDEX(HistoricSummary!E:E,MATCH($C718,HistoricSummary!$A:$A,0),1)&lt;&gt;"",$E718*INDEX(HistoricSummary!E:E,MATCH($C718,HistoricSummary!$A:$A,0),1)+$G718,""),AND($B718&lt;&gt;"",$D718="COST",$G718&lt;0),$G718,TRUE,)</f>
        <v>28875.1032</v>
      </c>
    </row>
    <row r="719">
      <c r="A719" s="184">
        <v>43224.0</v>
      </c>
      <c r="B719" s="229" t="s">
        <v>302</v>
      </c>
      <c r="C719" s="230" t="s">
        <v>303</v>
      </c>
      <c r="D719" s="231" t="s">
        <v>414</v>
      </c>
      <c r="E719" s="231">
        <v>85.0</v>
      </c>
      <c r="F719" s="232">
        <v>42.11</v>
      </c>
      <c r="G719" s="233">
        <v>-3579.35</v>
      </c>
      <c r="H719" s="230" t="s">
        <v>1078</v>
      </c>
      <c r="I719" s="235">
        <f t="array" ref="I719">IFS(AND($B719&lt;&gt;"",$E719&lt;&gt;""),IF(INDEX(HistoricSummary!D:D,MATCH($C719,HistoricSummary!$A:$A,0),1)&lt;&gt;"",$E719*INDEX(HistoricSummary!D:D,MATCH($C719,HistoricSummary!$A:$A,0),1)+$G719,""),AND($B719&lt;&gt;"",$D719="COST",$G719&lt;0),$G719,TRUE,)</f>
        <v>1319.88</v>
      </c>
      <c r="J719" s="235">
        <f t="array" ref="J719">IFS(AND($B719&lt;&gt;"",$E719&lt;&gt;""),IF(INDEX(HistoricSummary!E:E,MATCH($C719,HistoricSummary!$A:$A,0),1)&lt;&gt;"",$E719*INDEX(HistoricSummary!E:E,MATCH($C719,HistoricSummary!$A:$A,0),1)+$G719,""),AND($B719&lt;&gt;"",$D719="COST",$G719&lt;0),$G719,TRUE,)</f>
        <v>928.385155</v>
      </c>
    </row>
    <row r="720">
      <c r="A720" s="184">
        <v>43224.0</v>
      </c>
      <c r="B720" s="229" t="s">
        <v>292</v>
      </c>
      <c r="C720" s="19" t="s">
        <v>293</v>
      </c>
      <c r="D720" s="231" t="s">
        <v>414</v>
      </c>
      <c r="E720" s="231">
        <v>16.0</v>
      </c>
      <c r="F720" s="232">
        <v>158.17</v>
      </c>
      <c r="G720" s="233">
        <v>-2530.72</v>
      </c>
      <c r="H720" s="230" t="s">
        <v>1079</v>
      </c>
      <c r="I720" s="235">
        <f t="array" ref="I720">IFS(AND($B720&lt;&gt;"",$E720&lt;&gt;""),IF(INDEX(HistoricSummary!D:D,MATCH($C720,HistoricSummary!$A:$A,0),1)&lt;&gt;"",$E720*INDEX(HistoricSummary!D:D,MATCH($C720,HistoricSummary!$A:$A,0),1)+$G720,""),AND($B720&lt;&gt;"",$D720="COST",$G720&lt;0),$G720,TRUE,)</f>
        <v>452.64</v>
      </c>
      <c r="J720" s="235">
        <f t="array" ref="J720">IFS(AND($B720&lt;&gt;"",$E720&lt;&gt;""),IF(INDEX(HistoricSummary!E:E,MATCH($C720,HistoricSummary!$A:$A,0),1)&lt;&gt;"",$E720*INDEX(HistoricSummary!E:E,MATCH($C720,HistoricSummary!$A:$A,0),1)+$G720,""),AND($B720&lt;&gt;"",$D720="COST",$G720&lt;0),$G720,TRUE,)</f>
        <v>555.5150388</v>
      </c>
    </row>
    <row r="721">
      <c r="A721" s="184">
        <v>43224.0</v>
      </c>
      <c r="B721" s="229" t="s">
        <v>288</v>
      </c>
      <c r="C721" s="230" t="s">
        <v>289</v>
      </c>
      <c r="D721" s="231" t="s">
        <v>414</v>
      </c>
      <c r="E721" s="231">
        <v>39.0</v>
      </c>
      <c r="F721" s="232">
        <v>105.24</v>
      </c>
      <c r="G721" s="233">
        <v>-4104.36</v>
      </c>
      <c r="H721" s="230" t="s">
        <v>1080</v>
      </c>
      <c r="I721" s="235">
        <f t="array" ref="I721">IFS(AND($B721&lt;&gt;"",$E721&lt;&gt;""),IF(INDEX(HistoricSummary!D:D,MATCH($C721,HistoricSummary!$A:$A,0),1)&lt;&gt;"",$E721*INDEX(HistoricSummary!D:D,MATCH($C721,HistoricSummary!$A:$A,0),1)+$G721,""),AND($B721&lt;&gt;"",$D721="COST",$G721&lt;0),$G721,TRUE,)</f>
        <v>1756.56</v>
      </c>
      <c r="J721" s="235">
        <f t="array" ref="J721">IFS(AND($B721&lt;&gt;"",$E721&lt;&gt;""),IF(INDEX(HistoricSummary!E:E,MATCH($C721,HistoricSummary!$A:$A,0),1)&lt;&gt;"",$E721*INDEX(HistoricSummary!E:E,MATCH($C721,HistoricSummary!$A:$A,0),1)+$G721,""),AND($B721&lt;&gt;"",$D721="COST",$G721&lt;0),$G721,TRUE,)</f>
        <v>1536.365698</v>
      </c>
    </row>
    <row r="722">
      <c r="A722" s="184">
        <v>43223.0</v>
      </c>
      <c r="B722" s="229" t="s">
        <v>288</v>
      </c>
      <c r="C722" s="230" t="s">
        <v>291</v>
      </c>
      <c r="D722" s="231" t="s">
        <v>415</v>
      </c>
      <c r="E722" s="231">
        <v>-1319.0</v>
      </c>
      <c r="F722" s="232">
        <v>10.527</v>
      </c>
      <c r="G722" s="233">
        <v>13885.34</v>
      </c>
      <c r="H722" s="230" t="s">
        <v>1081</v>
      </c>
      <c r="I722" s="235" t="str">
        <f t="array" ref="I722">IFS(AND($B722&lt;&gt;"",$E722&lt;&gt;""),IF(INDEX(HistoricSummary!D:D,MATCH($C722,HistoricSummary!$A:$A,0),1)&lt;&gt;"",$E722*INDEX(HistoricSummary!D:D,MATCH($C722,HistoricSummary!$A:$A,0),1)+$G722,""),AND($B722&lt;&gt;"",$D722="COST",$G722&lt;0),$G722,TRUE,)</f>
        <v/>
      </c>
      <c r="J722" s="235" t="str">
        <f t="array" ref="J722">IFS(AND($B722&lt;&gt;"",$E722&lt;&gt;""),IF(INDEX(HistoricSummary!E:E,MATCH($C722,HistoricSummary!$A:$A,0),1)&lt;&gt;"",$E722*INDEX(HistoricSummary!E:E,MATCH($C722,HistoricSummary!$A:$A,0),1)+$G722,""),AND($B722&lt;&gt;"",$D722="COST",$G722&lt;0),$G722,TRUE,)</f>
        <v/>
      </c>
    </row>
    <row r="723">
      <c r="A723" s="184">
        <v>43223.0</v>
      </c>
      <c r="B723" s="229" t="s">
        <v>288</v>
      </c>
      <c r="C723" s="230" t="s">
        <v>289</v>
      </c>
      <c r="D723" s="231" t="s">
        <v>414</v>
      </c>
      <c r="E723" s="231">
        <v>144.0</v>
      </c>
      <c r="F723" s="232">
        <v>105.161</v>
      </c>
      <c r="G723" s="233">
        <v>-15143.25</v>
      </c>
      <c r="H723" s="230" t="s">
        <v>1082</v>
      </c>
      <c r="I723" s="235">
        <f t="array" ref="I723">IFS(AND($B723&lt;&gt;"",$E723&lt;&gt;""),IF(INDEX(HistoricSummary!D:D,MATCH($C723,HistoricSummary!$A:$A,0),1)&lt;&gt;"",$E723*INDEX(HistoricSummary!D:D,MATCH($C723,HistoricSummary!$A:$A,0),1)+$G723,""),AND($B723&lt;&gt;"",$D723="COST",$G723&lt;0),$G723,TRUE,)</f>
        <v>6497.07</v>
      </c>
      <c r="J723" s="235">
        <f t="array" ref="J723">IFS(AND($B723&lt;&gt;"",$E723&lt;&gt;""),IF(INDEX(HistoricSummary!E:E,MATCH($C723,HistoricSummary!$A:$A,0),1)&lt;&gt;"",$E723*INDEX(HistoricSummary!E:E,MATCH($C723,HistoricSummary!$A:$A,0),1)+$G723,""),AND($B723&lt;&gt;"",$D723="COST",$G723&lt;0),$G723,TRUE,)</f>
        <v>5684.044884</v>
      </c>
    </row>
    <row r="724">
      <c r="A724" s="184">
        <v>43223.0</v>
      </c>
      <c r="B724" s="229" t="s">
        <v>283</v>
      </c>
      <c r="C724" s="230" t="s">
        <v>286</v>
      </c>
      <c r="D724" s="231" t="s">
        <v>415</v>
      </c>
      <c r="E724" s="231">
        <v>-180.0</v>
      </c>
      <c r="F724" s="232">
        <v>7.566</v>
      </c>
      <c r="G724" s="233">
        <v>1361.88</v>
      </c>
      <c r="H724" s="230" t="s">
        <v>1083</v>
      </c>
      <c r="I724" s="235">
        <f t="array" ref="I724">IFS(AND($B724&lt;&gt;"",$E724&lt;&gt;""),IF(INDEX(HistoricSummary!D:D,MATCH($C724,HistoricSummary!$A:$A,0),1)&lt;&gt;"",$E724*INDEX(HistoricSummary!D:D,MATCH($C724,HistoricSummary!$A:$A,0),1)+$G724,""),AND($B724&lt;&gt;"",$D724="COST",$G724&lt;0),$G724,TRUE,)</f>
        <v>193.14</v>
      </c>
      <c r="J724" s="235">
        <f t="array" ref="J724">IFS(AND($B724&lt;&gt;"",$E724&lt;&gt;""),IF(INDEX(HistoricSummary!E:E,MATCH($C724,HistoricSummary!$A:$A,0),1)&lt;&gt;"",$E724*INDEX(HistoricSummary!E:E,MATCH($C724,HistoricSummary!$A:$A,0),1)+$G724,""),AND($B724&lt;&gt;"",$D724="COST",$G724&lt;0),$G724,TRUE,)</f>
        <v>200.6246512</v>
      </c>
    </row>
    <row r="725">
      <c r="A725" s="184">
        <v>43223.0</v>
      </c>
      <c r="B725" s="229" t="s">
        <v>292</v>
      </c>
      <c r="C725" s="230" t="s">
        <v>297</v>
      </c>
      <c r="D725" s="231" t="s">
        <v>432</v>
      </c>
      <c r="E725" s="231"/>
      <c r="F725" s="232"/>
      <c r="G725" s="233">
        <v>-7.14</v>
      </c>
      <c r="H725" s="230" t="s">
        <v>1084</v>
      </c>
      <c r="I725" s="235">
        <f t="array" ref="I725">IFS(AND($B725&lt;&gt;"",$E725&lt;&gt;""),IF(INDEX(HistoricSummary!D:D,MATCH($C725,HistoricSummary!$A:$A,0),1)&lt;&gt;"",$E725*INDEX(HistoricSummary!D:D,MATCH($C725,HistoricSummary!$A:$A,0),1)+$G725,""),AND($B725&lt;&gt;"",$D725="COST",$G725&lt;0),$G725,TRUE,)</f>
        <v>-7.14</v>
      </c>
      <c r="J725" s="235">
        <f t="array" ref="J725">IFS(AND($B725&lt;&gt;"",$E725&lt;&gt;""),IF(INDEX(HistoricSummary!E:E,MATCH($C725,HistoricSummary!$A:$A,0),1)&lt;&gt;"",$E725*INDEX(HistoricSummary!E:E,MATCH($C725,HistoricSummary!$A:$A,0),1)+$G725,""),AND($B725&lt;&gt;"",$D725="COST",$G725&lt;0),$G725,TRUE,)</f>
        <v>-7.14</v>
      </c>
    </row>
    <row r="726">
      <c r="A726" s="184">
        <v>43223.0</v>
      </c>
      <c r="B726" s="229" t="s">
        <v>292</v>
      </c>
      <c r="C726" s="230" t="s">
        <v>297</v>
      </c>
      <c r="D726" s="231" t="s">
        <v>415</v>
      </c>
      <c r="E726" s="231">
        <v>-493.0</v>
      </c>
      <c r="F726" s="232">
        <v>52.066</v>
      </c>
      <c r="G726" s="233">
        <v>25668.61</v>
      </c>
      <c r="H726" s="230" t="s">
        <v>1085</v>
      </c>
      <c r="I726" s="235" t="str">
        <f t="array" ref="I726">IFS(AND($B726&lt;&gt;"",$E726&lt;&gt;""),IF(INDEX(HistoricSummary!D:D,MATCH($C726,HistoricSummary!$A:$A,0),1)&lt;&gt;"",$E726*INDEX(HistoricSummary!D:D,MATCH($C726,HistoricSummary!$A:$A,0),1)+$G726,""),AND($B726&lt;&gt;"",$D726="COST",$G726&lt;0),$G726,TRUE,)</f>
        <v/>
      </c>
      <c r="J726" s="235" t="str">
        <f t="array" ref="J726">IFS(AND($B726&lt;&gt;"",$E726&lt;&gt;""),IF(INDEX(HistoricSummary!E:E,MATCH($C726,HistoricSummary!$A:$A,0),1)&lt;&gt;"",$E726*INDEX(HistoricSummary!E:E,MATCH($C726,HistoricSummary!$A:$A,0),1)+$G726,""),AND($B726&lt;&gt;"",$D726="COST",$G726&lt;0),$G726,TRUE,)</f>
        <v/>
      </c>
    </row>
    <row r="727">
      <c r="A727" s="184">
        <v>43223.0</v>
      </c>
      <c r="B727" s="229" t="s">
        <v>292</v>
      </c>
      <c r="C727" s="19" t="s">
        <v>293</v>
      </c>
      <c r="D727" s="231" t="s">
        <v>414</v>
      </c>
      <c r="E727" s="231">
        <v>185.0</v>
      </c>
      <c r="F727" s="232">
        <v>158.21</v>
      </c>
      <c r="G727" s="233">
        <v>-29268.85</v>
      </c>
      <c r="H727" s="230" t="s">
        <v>1086</v>
      </c>
      <c r="I727" s="235">
        <f t="array" ref="I727">IFS(AND($B727&lt;&gt;"",$E727&lt;&gt;""),IF(INDEX(HistoricSummary!D:D,MATCH($C727,HistoricSummary!$A:$A,0),1)&lt;&gt;"",$E727*INDEX(HistoricSummary!D:D,MATCH($C727,HistoricSummary!$A:$A,0),1)+$G727,""),AND($B727&lt;&gt;"",$D727="COST",$G727&lt;0),$G727,TRUE,)</f>
        <v>5226.25</v>
      </c>
      <c r="J727" s="235">
        <f t="array" ref="J727">IFS(AND($B727&lt;&gt;"",$E727&lt;&gt;""),IF(INDEX(HistoricSummary!E:E,MATCH($C727,HistoricSummary!$A:$A,0),1)&lt;&gt;"",$E727*INDEX(HistoricSummary!E:E,MATCH($C727,HistoricSummary!$A:$A,0),1)+$G727,""),AND($B727&lt;&gt;"",$D727="COST",$G727&lt;0),$G727,TRUE,)</f>
        <v>6415.742636</v>
      </c>
    </row>
    <row r="728">
      <c r="A728" s="184">
        <v>43220.0</v>
      </c>
      <c r="B728" s="229"/>
      <c r="C728" s="230"/>
      <c r="D728" s="231" t="s">
        <v>432</v>
      </c>
      <c r="E728" s="231"/>
      <c r="F728" s="232"/>
      <c r="G728" s="233">
        <v>-140.97</v>
      </c>
      <c r="H728" s="230" t="s">
        <v>1087</v>
      </c>
      <c r="I728" s="235" t="str">
        <f t="array" ref="I728">IFS(AND($B728&lt;&gt;"",$E728&lt;&gt;""),IF(INDEX(HistoricSummary!D:D,MATCH($C728,HistoricSummary!$A:$A,0),1)&lt;&gt;"",$E728*INDEX(HistoricSummary!D:D,MATCH($C728,HistoricSummary!$A:$A,0),1)+$G728,""),AND($B728&lt;&gt;"",$D728="COST",$G728&lt;0),$G728,TRUE,)</f>
        <v/>
      </c>
      <c r="J728" s="235" t="str">
        <f t="array" ref="J728">IFS(AND($B728&lt;&gt;"",$E728&lt;&gt;""),IF(INDEX(HistoricSummary!E:E,MATCH($C728,HistoricSummary!$A:$A,0),1)&lt;&gt;"",$E728*INDEX(HistoricSummary!E:E,MATCH($C728,HistoricSummary!$A:$A,0),1)+$G728,""),AND($B728&lt;&gt;"",$D728="COST",$G728&lt;0),$G728,TRUE,)</f>
        <v/>
      </c>
    </row>
    <row r="729">
      <c r="A729" s="184">
        <v>43220.0</v>
      </c>
      <c r="B729" s="229" t="s">
        <v>283</v>
      </c>
      <c r="C729" s="230" t="s">
        <v>286</v>
      </c>
      <c r="D729" s="231" t="s">
        <v>415</v>
      </c>
      <c r="E729" s="231">
        <v>-1893.0</v>
      </c>
      <c r="F729" s="232">
        <v>7.451</v>
      </c>
      <c r="G729" s="233">
        <v>14104.74</v>
      </c>
      <c r="H729" s="230" t="s">
        <v>1088</v>
      </c>
      <c r="I729" s="235">
        <f t="array" ref="I729">IFS(AND($B729&lt;&gt;"",$E729&lt;&gt;""),IF(INDEX(HistoricSummary!D:D,MATCH($C729,HistoricSummary!$A:$A,0),1)&lt;&gt;"",$E729*INDEX(HistoricSummary!D:D,MATCH($C729,HistoricSummary!$A:$A,0),1)+$G729,""),AND($B729&lt;&gt;"",$D729="COST",$G729&lt;0),$G729,TRUE,)</f>
        <v>1813.491</v>
      </c>
      <c r="J729" s="235">
        <f t="array" ref="J729">IFS(AND($B729&lt;&gt;"",$E729&lt;&gt;""),IF(INDEX(HistoricSummary!E:E,MATCH($C729,HistoricSummary!$A:$A,0),1)&lt;&gt;"",$E729*INDEX(HistoricSummary!E:E,MATCH($C729,HistoricSummary!$A:$A,0),1)+$G729,""),AND($B729&lt;&gt;"",$D729="COST",$G729&lt;0),$G729,TRUE,)</f>
        <v>1892.204581</v>
      </c>
    </row>
    <row r="730">
      <c r="A730" s="184">
        <v>43220.0</v>
      </c>
      <c r="B730" s="229" t="s">
        <v>302</v>
      </c>
      <c r="C730" s="230" t="s">
        <v>303</v>
      </c>
      <c r="D730" s="231" t="s">
        <v>415</v>
      </c>
      <c r="E730" s="231">
        <v>-449.0</v>
      </c>
      <c r="F730" s="232">
        <v>41.972</v>
      </c>
      <c r="G730" s="233">
        <v>18845.44</v>
      </c>
      <c r="H730" s="230" t="s">
        <v>1089</v>
      </c>
      <c r="I730" s="235">
        <f t="array" ref="I730">IFS(AND($B730&lt;&gt;"",$E730&lt;&gt;""),IF(INDEX(HistoricSummary!D:D,MATCH($C730,HistoricSummary!$A:$A,0),1)&lt;&gt;"",$E730*INDEX(HistoricSummary!D:D,MATCH($C730,HistoricSummary!$A:$A,0),1)+$G730,""),AND($B730&lt;&gt;"",$D730="COST",$G730&lt;0),$G730,TRUE,)</f>
        <v>-7034.022</v>
      </c>
      <c r="J730" s="235">
        <f t="array" ref="J730">IFS(AND($B730&lt;&gt;"",$E730&lt;&gt;""),IF(INDEX(HistoricSummary!E:E,MATCH($C730,HistoricSummary!$A:$A,0),1)&lt;&gt;"",$E730*INDEX(HistoricSummary!E:E,MATCH($C730,HistoricSummary!$A:$A,0),1)+$G730,""),AND($B730&lt;&gt;"",$D730="COST",$G730&lt;0),$G730,TRUE,)</f>
        <v>-4966.008054</v>
      </c>
    </row>
    <row r="731">
      <c r="A731" s="184">
        <v>43197.0</v>
      </c>
      <c r="B731" s="164" t="s">
        <v>302</v>
      </c>
      <c r="C731" s="230" t="s">
        <v>303</v>
      </c>
      <c r="D731" s="244" t="s">
        <v>475</v>
      </c>
      <c r="E731" s="244"/>
      <c r="F731" s="232"/>
      <c r="G731" s="233">
        <v>7.05</v>
      </c>
      <c r="H731" s="230" t="s">
        <v>1090</v>
      </c>
      <c r="I731" s="235" t="str">
        <f t="array" ref="I731">IFS(AND($B731&lt;&gt;"",$E731&lt;&gt;""),IF(INDEX(HistoricSummary!D:D,MATCH($C731,HistoricSummary!$A:$A,0),1)&lt;&gt;"",$E731*INDEX(HistoricSummary!D:D,MATCH($C731,HistoricSummary!$A:$A,0),1)+$G731,""),AND($B731&lt;&gt;"",$D731="COST",$G731&lt;0),$G731,TRUE,)</f>
        <v/>
      </c>
      <c r="J731" s="235" t="str">
        <f t="array" ref="J731">IFS(AND($B731&lt;&gt;"",$E731&lt;&gt;""),IF(INDEX(HistoricSummary!E:E,MATCH($C731,HistoricSummary!$A:$A,0),1)&lt;&gt;"",$E731*INDEX(HistoricSummary!E:E,MATCH($C731,HistoricSummary!$A:$A,0),1)+$G731,""),AND($B731&lt;&gt;"",$D731="COST",$G731&lt;0),$G731,TRUE,)</f>
        <v/>
      </c>
    </row>
    <row r="732">
      <c r="A732" s="184">
        <v>43197.0</v>
      </c>
      <c r="B732" s="164" t="s">
        <v>292</v>
      </c>
      <c r="C732" s="230" t="s">
        <v>297</v>
      </c>
      <c r="D732" s="244" t="s">
        <v>475</v>
      </c>
      <c r="E732" s="244"/>
      <c r="F732" s="232"/>
      <c r="G732" s="233">
        <v>-7.05</v>
      </c>
      <c r="H732" s="230" t="s">
        <v>1091</v>
      </c>
      <c r="I732" s="235" t="str">
        <f t="array" ref="I732">IFS(AND($B732&lt;&gt;"",$E732&lt;&gt;""),IF(INDEX(HistoricSummary!D:D,MATCH($C732,HistoricSummary!$A:$A,0),1)&lt;&gt;"",$E732*INDEX(HistoricSummary!D:D,MATCH($C732,HistoricSummary!$A:$A,0),1)+$G732,""),AND($B732&lt;&gt;"",$D732="COST",$G732&lt;0),$G732,TRUE,)</f>
        <v/>
      </c>
      <c r="J732" s="235" t="str">
        <f t="array" ref="J732">IFS(AND($B732&lt;&gt;"",$E732&lt;&gt;""),IF(INDEX(HistoricSummary!E:E,MATCH($C732,HistoricSummary!$A:$A,0),1)&lt;&gt;"",$E732*INDEX(HistoricSummary!E:E,MATCH($C732,HistoricSummary!$A:$A,0),1)+$G732,""),AND($B732&lt;&gt;"",$D732="COST",$G732&lt;0),$G732,TRUE,)</f>
        <v/>
      </c>
    </row>
    <row r="733">
      <c r="A733" s="184">
        <v>43196.0</v>
      </c>
      <c r="B733" s="229" t="s">
        <v>302</v>
      </c>
      <c r="C733" s="230" t="s">
        <v>303</v>
      </c>
      <c r="D733" s="231" t="s">
        <v>475</v>
      </c>
      <c r="E733" s="231"/>
      <c r="F733" s="232"/>
      <c r="G733" s="233">
        <v>-86.57</v>
      </c>
      <c r="H733" s="230" t="s">
        <v>1092</v>
      </c>
      <c r="I733" s="235" t="str">
        <f t="array" ref="I733">IFS(AND($B733&lt;&gt;"",$E733&lt;&gt;""),IF(INDEX(HistoricSummary!D:D,MATCH($C733,HistoricSummary!$A:$A,0),1)&lt;&gt;"",$E733*INDEX(HistoricSummary!D:D,MATCH($C733,HistoricSummary!$A:$A,0),1)+$G733,""),AND($B733&lt;&gt;"",$D733="COST",$G733&lt;0),$G733,TRUE,)</f>
        <v/>
      </c>
      <c r="J733" s="235" t="str">
        <f t="array" ref="J733">IFS(AND($B733&lt;&gt;"",$E733&lt;&gt;""),IF(INDEX(HistoricSummary!E:E,MATCH($C733,HistoricSummary!$A:$A,0),1)&lt;&gt;"",$E733*INDEX(HistoricSummary!E:E,MATCH($C733,HistoricSummary!$A:$A,0),1)+$G733,""),AND($B733&lt;&gt;"",$D733="COST",$G733&lt;0),$G733,TRUE,)</f>
        <v/>
      </c>
    </row>
    <row r="734">
      <c r="A734" s="184">
        <v>43195.0</v>
      </c>
      <c r="B734" s="229" t="s">
        <v>292</v>
      </c>
      <c r="C734" s="230" t="s">
        <v>297</v>
      </c>
      <c r="D734" s="231" t="s">
        <v>475</v>
      </c>
      <c r="E734" s="231"/>
      <c r="F734" s="232"/>
      <c r="G734" s="233">
        <v>7.7</v>
      </c>
      <c r="H734" s="230" t="s">
        <v>1093</v>
      </c>
      <c r="I734" s="235" t="str">
        <f t="array" ref="I734">IFS(AND($B734&lt;&gt;"",$E734&lt;&gt;""),IF(INDEX(HistoricSummary!D:D,MATCH($C734,HistoricSummary!$A:$A,0),1)&lt;&gt;"",$E734*INDEX(HistoricSummary!D:D,MATCH($C734,HistoricSummary!$A:$A,0),1)+$G734,""),AND($B734&lt;&gt;"",$D734="COST",$G734&lt;0),$G734,TRUE,)</f>
        <v/>
      </c>
      <c r="J734" s="235" t="str">
        <f t="array" ref="J734">IFS(AND($B734&lt;&gt;"",$E734&lt;&gt;""),IF(INDEX(HistoricSummary!E:E,MATCH($C734,HistoricSummary!$A:$A,0),1)&lt;&gt;"",$E734*INDEX(HistoricSummary!E:E,MATCH($C734,HistoricSummary!$A:$A,0),1)+$G734,""),AND($B734&lt;&gt;"",$D734="COST",$G734&lt;0),$G734,TRUE,)</f>
        <v/>
      </c>
    </row>
    <row r="735">
      <c r="A735" s="184">
        <v>43195.0</v>
      </c>
      <c r="B735" s="229" t="s">
        <v>292</v>
      </c>
      <c r="C735" s="230" t="s">
        <v>297</v>
      </c>
      <c r="D735" s="231" t="s">
        <v>475</v>
      </c>
      <c r="E735" s="231"/>
      <c r="F735" s="232"/>
      <c r="G735" s="233">
        <v>43.62</v>
      </c>
      <c r="H735" s="230" t="s">
        <v>1094</v>
      </c>
      <c r="I735" s="235" t="str">
        <f t="array" ref="I735">IFS(AND($B735&lt;&gt;"",$E735&lt;&gt;""),IF(INDEX(HistoricSummary!D:D,MATCH($C735,HistoricSummary!$A:$A,0),1)&lt;&gt;"",$E735*INDEX(HistoricSummary!D:D,MATCH($C735,HistoricSummary!$A:$A,0),1)+$G735,""),AND($B735&lt;&gt;"",$D735="COST",$G735&lt;0),$G735,TRUE,)</f>
        <v/>
      </c>
      <c r="J735" s="235" t="str">
        <f t="array" ref="J735">IFS(AND($B735&lt;&gt;"",$E735&lt;&gt;""),IF(INDEX(HistoricSummary!E:E,MATCH($C735,HistoricSummary!$A:$A,0),1)&lt;&gt;"",$E735*INDEX(HistoricSummary!E:E,MATCH($C735,HistoricSummary!$A:$A,0),1)+$G735,""),AND($B735&lt;&gt;"",$D735="COST",$G735&lt;0),$G735,TRUE,)</f>
        <v/>
      </c>
    </row>
    <row r="736">
      <c r="A736" s="184">
        <v>43194.0</v>
      </c>
      <c r="B736" s="229" t="s">
        <v>302</v>
      </c>
      <c r="C736" s="230" t="s">
        <v>303</v>
      </c>
      <c r="D736" s="231" t="s">
        <v>475</v>
      </c>
      <c r="E736" s="231"/>
      <c r="F736" s="232"/>
      <c r="G736" s="233">
        <v>420.27</v>
      </c>
      <c r="H736" s="230" t="s">
        <v>1095</v>
      </c>
      <c r="I736" s="235" t="str">
        <f t="array" ref="I736">IFS(AND($B736&lt;&gt;"",$E736&lt;&gt;""),IF(INDEX(HistoricSummary!D:D,MATCH($C736,HistoricSummary!$A:$A,0),1)&lt;&gt;"",$E736*INDEX(HistoricSummary!D:D,MATCH($C736,HistoricSummary!$A:$A,0),1)+$G736,""),AND($B736&lt;&gt;"",$D736="COST",$G736&lt;0),$G736,TRUE,)</f>
        <v/>
      </c>
      <c r="J736" s="235" t="str">
        <f t="array" ref="J736">IFS(AND($B736&lt;&gt;"",$E736&lt;&gt;""),IF(INDEX(HistoricSummary!E:E,MATCH($C736,HistoricSummary!$A:$A,0),1)&lt;&gt;"",$E736*INDEX(HistoricSummary!E:E,MATCH($C736,HistoricSummary!$A:$A,0),1)+$G736,""),AND($B736&lt;&gt;"",$D736="COST",$G736&lt;0),$G736,TRUE,)</f>
        <v/>
      </c>
    </row>
    <row r="737">
      <c r="A737" s="184">
        <v>43194.0</v>
      </c>
      <c r="B737" s="229"/>
      <c r="C737" s="230"/>
      <c r="D737" s="231" t="s">
        <v>432</v>
      </c>
      <c r="E737" s="231"/>
      <c r="F737" s="232"/>
      <c r="G737" s="233">
        <v>-0.01</v>
      </c>
      <c r="H737" s="230" t="s">
        <v>1096</v>
      </c>
      <c r="I737" s="235" t="str">
        <f t="array" ref="I737">IFS(AND($B737&lt;&gt;"",$E737&lt;&gt;""),IF(INDEX(HistoricSummary!D:D,MATCH($C737,HistoricSummary!$A:$A,0),1)&lt;&gt;"",$E737*INDEX(HistoricSummary!D:D,MATCH($C737,HistoricSummary!$A:$A,0),1)+$G737,""),AND($B737&lt;&gt;"",$D737="COST",$G737&lt;0),$G737,TRUE,)</f>
        <v/>
      </c>
      <c r="J737" s="235" t="str">
        <f t="array" ref="J737">IFS(AND($B737&lt;&gt;"",$E737&lt;&gt;""),IF(INDEX(HistoricSummary!E:E,MATCH($C737,HistoricSummary!$A:$A,0),1)&lt;&gt;"",$E737*INDEX(HistoricSummary!E:E,MATCH($C737,HistoricSummary!$A:$A,0),1)+$G737,""),AND($B737&lt;&gt;"",$D737="COST",$G737&lt;0),$G737,TRUE,)</f>
        <v/>
      </c>
    </row>
    <row r="738">
      <c r="A738" s="184">
        <v>43190.0</v>
      </c>
      <c r="B738" s="229"/>
      <c r="C738" s="230"/>
      <c r="D738" s="231" t="s">
        <v>432</v>
      </c>
      <c r="E738" s="231"/>
      <c r="F738" s="232"/>
      <c r="G738" s="233">
        <v>-155.56</v>
      </c>
      <c r="H738" s="230" t="s">
        <v>1097</v>
      </c>
      <c r="I738" s="235" t="str">
        <f t="array" ref="I738">IFS(AND($B738&lt;&gt;"",$E738&lt;&gt;""),IF(INDEX(HistoricSummary!D:D,MATCH($C738,HistoricSummary!$A:$A,0),1)&lt;&gt;"",$E738*INDEX(HistoricSummary!D:D,MATCH($C738,HistoricSummary!$A:$A,0),1)+$G738,""),AND($B738&lt;&gt;"",$D738="COST",$G738&lt;0),$G738,TRUE,)</f>
        <v/>
      </c>
      <c r="J738" s="235" t="str">
        <f t="array" ref="J738">IFS(AND($B738&lt;&gt;"",$E738&lt;&gt;""),IF(INDEX(HistoricSummary!E:E,MATCH($C738,HistoricSummary!$A:$A,0),1)&lt;&gt;"",$E738*INDEX(HistoricSummary!E:E,MATCH($C738,HistoricSummary!$A:$A,0),1)+$G738,""),AND($B738&lt;&gt;"",$D738="COST",$G738&lt;0),$G738,TRUE,)</f>
        <v/>
      </c>
    </row>
    <row r="739">
      <c r="A739" s="184">
        <v>43190.0</v>
      </c>
      <c r="B739" s="229"/>
      <c r="C739" s="230"/>
      <c r="D739" s="231" t="s">
        <v>432</v>
      </c>
      <c r="E739" s="231"/>
      <c r="F739" s="232"/>
      <c r="G739" s="233">
        <v>0.03</v>
      </c>
      <c r="H739" s="230" t="s">
        <v>1098</v>
      </c>
      <c r="I739" s="235" t="str">
        <f t="array" ref="I739">IFS(AND($B739&lt;&gt;"",$E739&lt;&gt;""),IF(INDEX(HistoricSummary!D:D,MATCH($C739,HistoricSummary!$A:$A,0),1)&lt;&gt;"",$E739*INDEX(HistoricSummary!D:D,MATCH($C739,HistoricSummary!$A:$A,0),1)+$G739,""),AND($B739&lt;&gt;"",$D739="COST",$G739&lt;0),$G739,TRUE,)</f>
        <v/>
      </c>
      <c r="J739" s="235" t="str">
        <f t="array" ref="J739">IFS(AND($B739&lt;&gt;"",$E739&lt;&gt;""),IF(INDEX(HistoricSummary!E:E,MATCH($C739,HistoricSummary!$A:$A,0),1)&lt;&gt;"",$E739*INDEX(HistoricSummary!E:E,MATCH($C739,HistoricSummary!$A:$A,0),1)+$G739,""),AND($B739&lt;&gt;"",$D739="COST",$G739&lt;0),$G739,TRUE,)</f>
        <v/>
      </c>
    </row>
    <row r="740">
      <c r="A740" s="184">
        <v>43181.0</v>
      </c>
      <c r="B740" s="229" t="s">
        <v>298</v>
      </c>
      <c r="C740" s="230" t="s">
        <v>301</v>
      </c>
      <c r="D740" s="231" t="s">
        <v>475</v>
      </c>
      <c r="E740" s="231"/>
      <c r="F740" s="232"/>
      <c r="G740" s="233">
        <v>-89.96</v>
      </c>
      <c r="H740" s="230" t="s">
        <v>1099</v>
      </c>
      <c r="I740" s="235" t="str">
        <f t="array" ref="I740">IFS(AND($B740&lt;&gt;"",$E740&lt;&gt;""),IF(INDEX(HistoricSummary!D:D,MATCH($C740,HistoricSummary!$A:$A,0),1)&lt;&gt;"",$E740*INDEX(HistoricSummary!D:D,MATCH($C740,HistoricSummary!$A:$A,0),1)+$G740,""),AND($B740&lt;&gt;"",$D740="COST",$G740&lt;0),$G740,TRUE,)</f>
        <v/>
      </c>
      <c r="J740" s="235" t="str">
        <f t="array" ref="J740">IFS(AND($B740&lt;&gt;"",$E740&lt;&gt;""),IF(INDEX(HistoricSummary!E:E,MATCH($C740,HistoricSummary!$A:$A,0),1)&lt;&gt;"",$E740*INDEX(HistoricSummary!E:E,MATCH($C740,HistoricSummary!$A:$A,0),1)+$G740,""),AND($B740&lt;&gt;"",$D740="COST",$G740&lt;0),$G740,TRUE,)</f>
        <v/>
      </c>
    </row>
    <row r="741">
      <c r="A741" s="184">
        <v>43180.0</v>
      </c>
      <c r="B741" s="229" t="s">
        <v>298</v>
      </c>
      <c r="C741" s="230" t="s">
        <v>301</v>
      </c>
      <c r="D741" s="231" t="s">
        <v>475</v>
      </c>
      <c r="E741" s="231"/>
      <c r="F741" s="232"/>
      <c r="G741" s="233">
        <v>84.01</v>
      </c>
      <c r="H741" s="230" t="s">
        <v>1100</v>
      </c>
      <c r="I741" s="235" t="str">
        <f t="array" ref="I741">IFS(AND($B741&lt;&gt;"",$E741&lt;&gt;""),IF(INDEX(HistoricSummary!D:D,MATCH($C741,HistoricSummary!$A:$A,0),1)&lt;&gt;"",$E741*INDEX(HistoricSummary!D:D,MATCH($C741,HistoricSummary!$A:$A,0),1)+$G741,""),AND($B741&lt;&gt;"",$D741="COST",$G741&lt;0),$G741,TRUE,)</f>
        <v/>
      </c>
      <c r="J741" s="235" t="str">
        <f t="array" ref="J741">IFS(AND($B741&lt;&gt;"",$E741&lt;&gt;""),IF(INDEX(HistoricSummary!E:E,MATCH($C741,HistoricSummary!$A:$A,0),1)&lt;&gt;"",$E741*INDEX(HistoricSummary!E:E,MATCH($C741,HistoricSummary!$A:$A,0),1)+$G741,""),AND($B741&lt;&gt;"",$D741="COST",$G741&lt;0),$G741,TRUE,)</f>
        <v/>
      </c>
    </row>
    <row r="742">
      <c r="A742" s="184">
        <v>43180.0</v>
      </c>
      <c r="B742" s="229" t="s">
        <v>298</v>
      </c>
      <c r="C742" s="230" t="s">
        <v>301</v>
      </c>
      <c r="D742" s="231" t="s">
        <v>475</v>
      </c>
      <c r="E742" s="231"/>
      <c r="F742" s="232"/>
      <c r="G742" s="233">
        <v>476.2</v>
      </c>
      <c r="H742" s="230" t="s">
        <v>1101</v>
      </c>
      <c r="I742" s="235" t="str">
        <f t="array" ref="I742">IFS(AND($B742&lt;&gt;"",$E742&lt;&gt;""),IF(INDEX(HistoricSummary!D:D,MATCH($C742,HistoricSummary!$A:$A,0),1)&lt;&gt;"",$E742*INDEX(HistoricSummary!D:D,MATCH($C742,HistoricSummary!$A:$A,0),1)+$G742,""),AND($B742&lt;&gt;"",$D742="COST",$G742&lt;0),$G742,TRUE,)</f>
        <v/>
      </c>
      <c r="J742" s="235" t="str">
        <f t="array" ref="J742">IFS(AND($B742&lt;&gt;"",$E742&lt;&gt;""),IF(INDEX(HistoricSummary!E:E,MATCH($C742,HistoricSummary!$A:$A,0),1)&lt;&gt;"",$E742*INDEX(HistoricSummary!E:E,MATCH($C742,HistoricSummary!$A:$A,0),1)+$G742,""),AND($B742&lt;&gt;"",$D742="COST",$G742&lt;0),$G742,TRUE,)</f>
        <v/>
      </c>
    </row>
    <row r="743">
      <c r="A743" s="184">
        <v>43168.0</v>
      </c>
      <c r="B743" s="229" t="s">
        <v>292</v>
      </c>
      <c r="C743" s="230" t="s">
        <v>297</v>
      </c>
      <c r="D743" s="231" t="s">
        <v>475</v>
      </c>
      <c r="E743" s="231"/>
      <c r="F743" s="232"/>
      <c r="G743" s="233">
        <v>-7.17</v>
      </c>
      <c r="H743" s="230" t="s">
        <v>1102</v>
      </c>
      <c r="I743" s="235" t="str">
        <f t="array" ref="I743">IFS(AND($B743&lt;&gt;"",$E743&lt;&gt;""),IF(INDEX(HistoricSummary!D:D,MATCH($C743,HistoricSummary!$A:$A,0),1)&lt;&gt;"",$E743*INDEX(HistoricSummary!D:D,MATCH($C743,HistoricSummary!$A:$A,0),1)+$G743,""),AND($B743&lt;&gt;"",$D743="COST",$G743&lt;0),$G743,TRUE,)</f>
        <v/>
      </c>
      <c r="J743" s="235" t="str">
        <f t="array" ref="J743">IFS(AND($B743&lt;&gt;"",$E743&lt;&gt;""),IF(INDEX(HistoricSummary!E:E,MATCH($C743,HistoricSummary!$A:$A,0),1)&lt;&gt;"",$E743*INDEX(HistoricSummary!E:E,MATCH($C743,HistoricSummary!$A:$A,0),1)+$G743,""),AND($B743&lt;&gt;"",$D743="COST",$G743&lt;0),$G743,TRUE,)</f>
        <v/>
      </c>
    </row>
    <row r="744">
      <c r="A744" s="184">
        <v>43165.0</v>
      </c>
      <c r="B744" s="229" t="s">
        <v>292</v>
      </c>
      <c r="C744" s="230" t="s">
        <v>297</v>
      </c>
      <c r="D744" s="231" t="s">
        <v>475</v>
      </c>
      <c r="E744" s="231"/>
      <c r="F744" s="232"/>
      <c r="G744" s="233">
        <v>6.72</v>
      </c>
      <c r="H744" s="230" t="s">
        <v>1103</v>
      </c>
      <c r="I744" s="235" t="str">
        <f t="array" ref="I744">IFS(AND($B744&lt;&gt;"",$E744&lt;&gt;""),IF(INDEX(HistoricSummary!D:D,MATCH($C744,HistoricSummary!$A:$A,0),1)&lt;&gt;"",$E744*INDEX(HistoricSummary!D:D,MATCH($C744,HistoricSummary!$A:$A,0),1)+$G744,""),AND($B744&lt;&gt;"",$D744="COST",$G744&lt;0),$G744,TRUE,)</f>
        <v/>
      </c>
      <c r="J744" s="235" t="str">
        <f t="array" ref="J744">IFS(AND($B744&lt;&gt;"",$E744&lt;&gt;""),IF(INDEX(HistoricSummary!E:E,MATCH($C744,HistoricSummary!$A:$A,0),1)&lt;&gt;"",$E744*INDEX(HistoricSummary!E:E,MATCH($C744,HistoricSummary!$A:$A,0),1)+$G744,""),AND($B744&lt;&gt;"",$D744="COST",$G744&lt;0),$G744,TRUE,)</f>
        <v/>
      </c>
    </row>
    <row r="745">
      <c r="A745" s="184">
        <v>43165.0</v>
      </c>
      <c r="B745" s="229" t="s">
        <v>292</v>
      </c>
      <c r="C745" s="230" t="s">
        <v>297</v>
      </c>
      <c r="D745" s="231" t="s">
        <v>475</v>
      </c>
      <c r="E745" s="231"/>
      <c r="F745" s="232"/>
      <c r="G745" s="233">
        <v>38.09</v>
      </c>
      <c r="H745" s="230" t="s">
        <v>1104</v>
      </c>
      <c r="I745" s="235" t="str">
        <f t="array" ref="I745">IFS(AND($B745&lt;&gt;"",$E745&lt;&gt;""),IF(INDEX(HistoricSummary!D:D,MATCH($C745,HistoricSummary!$A:$A,0),1)&lt;&gt;"",$E745*INDEX(HistoricSummary!D:D,MATCH($C745,HistoricSummary!$A:$A,0),1)+$G745,""),AND($B745&lt;&gt;"",$D745="COST",$G745&lt;0),$G745,TRUE,)</f>
        <v/>
      </c>
      <c r="J745" s="235" t="str">
        <f t="array" ref="J745">IFS(AND($B745&lt;&gt;"",$E745&lt;&gt;""),IF(INDEX(HistoricSummary!E:E,MATCH($C745,HistoricSummary!$A:$A,0),1)&lt;&gt;"",$E745*INDEX(HistoricSummary!E:E,MATCH($C745,HistoricSummary!$A:$A,0),1)+$G745,""),AND($B745&lt;&gt;"",$D745="COST",$G745&lt;0),$G745,TRUE,)</f>
        <v/>
      </c>
    </row>
    <row r="746">
      <c r="A746" s="184">
        <v>43159.0</v>
      </c>
      <c r="B746" s="229"/>
      <c r="C746" s="230"/>
      <c r="D746" s="231" t="s">
        <v>432</v>
      </c>
      <c r="E746" s="231"/>
      <c r="F746" s="232"/>
      <c r="G746" s="233">
        <v>-166.36</v>
      </c>
      <c r="H746" s="230" t="s">
        <v>1105</v>
      </c>
      <c r="I746" s="235" t="str">
        <f t="array" ref="I746">IFS(AND($B746&lt;&gt;"",$E746&lt;&gt;""),IF(INDEX(HistoricSummary!D:D,MATCH($C746,HistoricSummary!$A:$A,0),1)&lt;&gt;"",$E746*INDEX(HistoricSummary!D:D,MATCH($C746,HistoricSummary!$A:$A,0),1)+$G746,""),AND($B746&lt;&gt;"",$D746="COST",$G746&lt;0),$G746,TRUE,)</f>
        <v/>
      </c>
      <c r="J746" s="235" t="str">
        <f t="array" ref="J746">IFS(AND($B746&lt;&gt;"",$E746&lt;&gt;""),IF(INDEX(HistoricSummary!E:E,MATCH($C746,HistoricSummary!$A:$A,0),1)&lt;&gt;"",$E746*INDEX(HistoricSummary!E:E,MATCH($C746,HistoricSummary!$A:$A,0),1)+$G746,""),AND($B746&lt;&gt;"",$D746="COST",$G746&lt;0),$G746,TRUE,)</f>
        <v/>
      </c>
    </row>
    <row r="747">
      <c r="A747" s="184">
        <v>43143.0</v>
      </c>
      <c r="B747" s="229" t="s">
        <v>302</v>
      </c>
      <c r="C747" s="230" t="s">
        <v>303</v>
      </c>
      <c r="D747" s="231" t="s">
        <v>415</v>
      </c>
      <c r="E747" s="231">
        <v>-30.0</v>
      </c>
      <c r="F747" s="232">
        <v>40.931</v>
      </c>
      <c r="G747" s="233">
        <v>1227.93</v>
      </c>
      <c r="H747" s="230" t="s">
        <v>1106</v>
      </c>
      <c r="I747" s="235">
        <f t="array" ref="I747">IFS(AND($B747&lt;&gt;"",$E747&lt;&gt;""),IF(INDEX(HistoricSummary!D:D,MATCH($C747,HistoricSummary!$A:$A,0),1)&lt;&gt;"",$E747*INDEX(HistoricSummary!D:D,MATCH($C747,HistoricSummary!$A:$A,0),1)+$G747,""),AND($B747&lt;&gt;"",$D747="COST",$G747&lt;0),$G747,TRUE,)</f>
        <v>-501.21</v>
      </c>
      <c r="J747" s="235">
        <f t="array" ref="J747">IFS(AND($B747&lt;&gt;"",$E747&lt;&gt;""),IF(INDEX(HistoricSummary!E:E,MATCH($C747,HistoricSummary!$A:$A,0),1)&lt;&gt;"",$E747*INDEX(HistoricSummary!E:E,MATCH($C747,HistoricSummary!$A:$A,0),1)+$G747,""),AND($B747&lt;&gt;"",$D747="COST",$G747&lt;0),$G747,TRUE,)</f>
        <v>-363.0353488</v>
      </c>
    </row>
    <row r="748">
      <c r="A748" s="184">
        <v>43143.0</v>
      </c>
      <c r="B748" s="229" t="s">
        <v>302</v>
      </c>
      <c r="C748" s="230" t="s">
        <v>303</v>
      </c>
      <c r="D748" s="231" t="s">
        <v>415</v>
      </c>
      <c r="E748" s="231">
        <v>-60.0</v>
      </c>
      <c r="F748" s="232">
        <v>40.961</v>
      </c>
      <c r="G748" s="233">
        <v>2457.66</v>
      </c>
      <c r="H748" s="230" t="s">
        <v>1107</v>
      </c>
      <c r="I748" s="235">
        <f t="array" ref="I748">IFS(AND($B748&lt;&gt;"",$E748&lt;&gt;""),IF(INDEX(HistoricSummary!D:D,MATCH($C748,HistoricSummary!$A:$A,0),1)&lt;&gt;"",$E748*INDEX(HistoricSummary!D:D,MATCH($C748,HistoricSummary!$A:$A,0),1)+$G748,""),AND($B748&lt;&gt;"",$D748="COST",$G748&lt;0),$G748,TRUE,)</f>
        <v>-1000.62</v>
      </c>
      <c r="J748" s="235">
        <f t="array" ref="J748">IFS(AND($B748&lt;&gt;"",$E748&lt;&gt;""),IF(INDEX(HistoricSummary!E:E,MATCH($C748,HistoricSummary!$A:$A,0),1)&lt;&gt;"",$E748*INDEX(HistoricSummary!E:E,MATCH($C748,HistoricSummary!$A:$A,0),1)+$G748,""),AND($B748&lt;&gt;"",$D748="COST",$G748&lt;0),$G748,TRUE,)</f>
        <v>-724.2706977</v>
      </c>
    </row>
    <row r="749">
      <c r="A749" s="184">
        <v>43143.0</v>
      </c>
      <c r="B749" s="229" t="s">
        <v>302</v>
      </c>
      <c r="C749" s="230" t="s">
        <v>303</v>
      </c>
      <c r="D749" s="231" t="s">
        <v>415</v>
      </c>
      <c r="E749" s="231">
        <v>-30.0</v>
      </c>
      <c r="F749" s="232">
        <v>40.966</v>
      </c>
      <c r="G749" s="233">
        <v>1228.98</v>
      </c>
      <c r="H749" s="230" t="s">
        <v>1108</v>
      </c>
      <c r="I749" s="235">
        <f t="array" ref="I749">IFS(AND($B749&lt;&gt;"",$E749&lt;&gt;""),IF(INDEX(HistoricSummary!D:D,MATCH($C749,HistoricSummary!$A:$A,0),1)&lt;&gt;"",$E749*INDEX(HistoricSummary!D:D,MATCH($C749,HistoricSummary!$A:$A,0),1)+$G749,""),AND($B749&lt;&gt;"",$D749="COST",$G749&lt;0),$G749,TRUE,)</f>
        <v>-500.16</v>
      </c>
      <c r="J749" s="235">
        <f t="array" ref="J749">IFS(AND($B749&lt;&gt;"",$E749&lt;&gt;""),IF(INDEX(HistoricSummary!E:E,MATCH($C749,HistoricSummary!$A:$A,0),1)&lt;&gt;"",$E749*INDEX(HistoricSummary!E:E,MATCH($C749,HistoricSummary!$A:$A,0),1)+$G749,""),AND($B749&lt;&gt;"",$D749="COST",$G749&lt;0),$G749,TRUE,)</f>
        <v>-361.9853488</v>
      </c>
    </row>
    <row r="750">
      <c r="A750" s="184">
        <v>43143.0</v>
      </c>
      <c r="B750" s="229" t="s">
        <v>302</v>
      </c>
      <c r="C750" s="230" t="s">
        <v>303</v>
      </c>
      <c r="D750" s="231" t="s">
        <v>415</v>
      </c>
      <c r="E750" s="231">
        <v>-30.0</v>
      </c>
      <c r="F750" s="232">
        <v>40.986</v>
      </c>
      <c r="G750" s="233">
        <v>1229.58</v>
      </c>
      <c r="H750" s="230" t="s">
        <v>1109</v>
      </c>
      <c r="I750" s="235">
        <f t="array" ref="I750">IFS(AND($B750&lt;&gt;"",$E750&lt;&gt;""),IF(INDEX(HistoricSummary!D:D,MATCH($C750,HistoricSummary!$A:$A,0),1)&lt;&gt;"",$E750*INDEX(HistoricSummary!D:D,MATCH($C750,HistoricSummary!$A:$A,0),1)+$G750,""),AND($B750&lt;&gt;"",$D750="COST",$G750&lt;0),$G750,TRUE,)</f>
        <v>-499.56</v>
      </c>
      <c r="J750" s="235">
        <f t="array" ref="J750">IFS(AND($B750&lt;&gt;"",$E750&lt;&gt;""),IF(INDEX(HistoricSummary!E:E,MATCH($C750,HistoricSummary!$A:$A,0),1)&lt;&gt;"",$E750*INDEX(HistoricSummary!E:E,MATCH($C750,HistoricSummary!$A:$A,0),1)+$G750,""),AND($B750&lt;&gt;"",$D750="COST",$G750&lt;0),$G750,TRUE,)</f>
        <v>-361.3853488</v>
      </c>
    </row>
    <row r="751">
      <c r="A751" s="184">
        <v>43138.0</v>
      </c>
      <c r="B751" s="229" t="s">
        <v>292</v>
      </c>
      <c r="C751" s="230" t="s">
        <v>297</v>
      </c>
      <c r="D751" s="231" t="s">
        <v>475</v>
      </c>
      <c r="E751" s="231"/>
      <c r="F751" s="232"/>
      <c r="G751" s="233">
        <v>-7.02</v>
      </c>
      <c r="H751" s="230" t="s">
        <v>1110</v>
      </c>
      <c r="I751" s="235" t="str">
        <f t="array" ref="I751">IFS(AND($B751&lt;&gt;"",$E751&lt;&gt;""),IF(INDEX(HistoricSummary!D:D,MATCH($C751,HistoricSummary!$A:$A,0),1)&lt;&gt;"",$E751*INDEX(HistoricSummary!D:D,MATCH($C751,HistoricSummary!$A:$A,0),1)+$G751,""),AND($B751&lt;&gt;"",$D751="COST",$G751&lt;0),$G751,TRUE,)</f>
        <v/>
      </c>
      <c r="J751" s="235" t="str">
        <f t="array" ref="J751">IFS(AND($B751&lt;&gt;"",$E751&lt;&gt;""),IF(INDEX(HistoricSummary!E:E,MATCH($C751,HistoricSummary!$A:$A,0),1)&lt;&gt;"",$E751*INDEX(HistoricSummary!E:E,MATCH($C751,HistoricSummary!$A:$A,0),1)+$G751,""),AND($B751&lt;&gt;"",$D751="COST",$G751&lt;0),$G751,TRUE,)</f>
        <v/>
      </c>
    </row>
    <row r="752">
      <c r="A752" s="184">
        <v>43137.0</v>
      </c>
      <c r="B752" s="229" t="s">
        <v>292</v>
      </c>
      <c r="C752" s="230" t="s">
        <v>297</v>
      </c>
      <c r="D752" s="231" t="s">
        <v>475</v>
      </c>
      <c r="E752" s="231"/>
      <c r="F752" s="232"/>
      <c r="G752" s="233">
        <v>6.69</v>
      </c>
      <c r="H752" s="230" t="s">
        <v>1111</v>
      </c>
      <c r="I752" s="235" t="str">
        <f t="array" ref="I752">IFS(AND($B752&lt;&gt;"",$E752&lt;&gt;""),IF(INDEX(HistoricSummary!D:D,MATCH($C752,HistoricSummary!$A:$A,0),1)&lt;&gt;"",$E752*INDEX(HistoricSummary!D:D,MATCH($C752,HistoricSummary!$A:$A,0),1)+$G752,""),AND($B752&lt;&gt;"",$D752="COST",$G752&lt;0),$G752,TRUE,)</f>
        <v/>
      </c>
      <c r="J752" s="235" t="str">
        <f t="array" ref="J752">IFS(AND($B752&lt;&gt;"",$E752&lt;&gt;""),IF(INDEX(HistoricSummary!E:E,MATCH($C752,HistoricSummary!$A:$A,0),1)&lt;&gt;"",$E752*INDEX(HistoricSummary!E:E,MATCH($C752,HistoricSummary!$A:$A,0),1)+$G752,""),AND($B752&lt;&gt;"",$D752="COST",$G752&lt;0),$G752,TRUE,)</f>
        <v/>
      </c>
    </row>
    <row r="753">
      <c r="A753" s="184">
        <v>43137.0</v>
      </c>
      <c r="B753" s="229" t="s">
        <v>292</v>
      </c>
      <c r="C753" s="230" t="s">
        <v>297</v>
      </c>
      <c r="D753" s="231" t="s">
        <v>475</v>
      </c>
      <c r="E753" s="231"/>
      <c r="F753" s="232"/>
      <c r="G753" s="233">
        <v>37.88</v>
      </c>
      <c r="H753" s="230" t="s">
        <v>1112</v>
      </c>
      <c r="I753" s="235" t="str">
        <f t="array" ref="I753">IFS(AND($B753&lt;&gt;"",$E753&lt;&gt;""),IF(INDEX(HistoricSummary!D:D,MATCH($C753,HistoricSummary!$A:$A,0),1)&lt;&gt;"",$E753*INDEX(HistoricSummary!D:D,MATCH($C753,HistoricSummary!$A:$A,0),1)+$G753,""),AND($B753&lt;&gt;"",$D753="COST",$G753&lt;0),$G753,TRUE,)</f>
        <v/>
      </c>
      <c r="J753" s="235" t="str">
        <f t="array" ref="J753">IFS(AND($B753&lt;&gt;"",$E753&lt;&gt;""),IF(INDEX(HistoricSummary!E:E,MATCH($C753,HistoricSummary!$A:$A,0),1)&lt;&gt;"",$E753*INDEX(HistoricSummary!E:E,MATCH($C753,HistoricSummary!$A:$A,0),1)+$G753,""),AND($B753&lt;&gt;"",$D753="COST",$G753&lt;0),$G753,TRUE,)</f>
        <v/>
      </c>
    </row>
    <row r="754">
      <c r="A754" s="184">
        <v>43136.0</v>
      </c>
      <c r="B754" s="229"/>
      <c r="C754" s="230"/>
      <c r="D754" s="231" t="s">
        <v>432</v>
      </c>
      <c r="E754" s="231"/>
      <c r="F754" s="232"/>
      <c r="G754" s="233">
        <v>-0.01</v>
      </c>
      <c r="H754" s="230" t="s">
        <v>1096</v>
      </c>
      <c r="I754" s="235" t="str">
        <f t="array" ref="I754">IFS(AND($B754&lt;&gt;"",$E754&lt;&gt;""),IF(INDEX(HistoricSummary!D:D,MATCH($C754,HistoricSummary!$A:$A,0),1)&lt;&gt;"",$E754*INDEX(HistoricSummary!D:D,MATCH($C754,HistoricSummary!$A:$A,0),1)+$G754,""),AND($B754&lt;&gt;"",$D754="COST",$G754&lt;0),$G754,TRUE,)</f>
        <v/>
      </c>
      <c r="J754" s="235" t="str">
        <f t="array" ref="J754">IFS(AND($B754&lt;&gt;"",$E754&lt;&gt;""),IF(INDEX(HistoricSummary!E:E,MATCH($C754,HistoricSummary!$A:$A,0),1)&lt;&gt;"",$E754*INDEX(HistoricSummary!E:E,MATCH($C754,HistoricSummary!$A:$A,0),1)+$G754,""),AND($B754&lt;&gt;"",$D754="COST",$G754&lt;0),$G754,TRUE,)</f>
        <v/>
      </c>
    </row>
    <row r="755">
      <c r="A755" s="184">
        <v>43136.0</v>
      </c>
      <c r="B755" s="229" t="s">
        <v>302</v>
      </c>
      <c r="C755" s="230" t="s">
        <v>303</v>
      </c>
      <c r="D755" s="231" t="s">
        <v>415</v>
      </c>
      <c r="E755" s="231">
        <v>-77.0</v>
      </c>
      <c r="F755" s="232">
        <v>41.946</v>
      </c>
      <c r="G755" s="233">
        <v>3229.86</v>
      </c>
      <c r="H755" s="230" t="s">
        <v>1113</v>
      </c>
      <c r="I755" s="235">
        <f t="array" ref="I755">IFS(AND($B755&lt;&gt;"",$E755&lt;&gt;""),IF(INDEX(HistoricSummary!D:D,MATCH($C755,HistoricSummary!$A:$A,0),1)&lt;&gt;"",$E755*INDEX(HistoricSummary!D:D,MATCH($C755,HistoricSummary!$A:$A,0),1)+$G755,""),AND($B755&lt;&gt;"",$D755="COST",$G755&lt;0),$G755,TRUE,)</f>
        <v>-1208.266</v>
      </c>
      <c r="J755" s="235">
        <f t="array" ref="J755">IFS(AND($B755&lt;&gt;"",$E755&lt;&gt;""),IF(INDEX(HistoricSummary!E:E,MATCH($C755,HistoricSummary!$A:$A,0),1)&lt;&gt;"",$E755*INDEX(HistoricSummary!E:E,MATCH($C755,HistoricSummary!$A:$A,0),1)+$G755,""),AND($B755&lt;&gt;"",$D755="COST",$G755&lt;0),$G755,TRUE,)</f>
        <v>-853.6177287</v>
      </c>
    </row>
    <row r="756">
      <c r="A756" s="184">
        <v>43136.0</v>
      </c>
      <c r="B756" s="229" t="s">
        <v>302</v>
      </c>
      <c r="C756" s="230" t="s">
        <v>303</v>
      </c>
      <c r="D756" s="231" t="s">
        <v>415</v>
      </c>
      <c r="E756" s="231">
        <v>-98.0</v>
      </c>
      <c r="F756" s="232">
        <v>42.011</v>
      </c>
      <c r="G756" s="233">
        <v>4117.08</v>
      </c>
      <c r="H756" s="230" t="s">
        <v>1114</v>
      </c>
      <c r="I756" s="235">
        <f t="array" ref="I756">IFS(AND($B756&lt;&gt;"",$E756&lt;&gt;""),IF(INDEX(HistoricSummary!D:D,MATCH($C756,HistoricSummary!$A:$A,0),1)&lt;&gt;"",$E756*INDEX(HistoricSummary!D:D,MATCH($C756,HistoricSummary!$A:$A,0),1)+$G756,""),AND($B756&lt;&gt;"",$D756="COST",$G756&lt;0),$G756,TRUE,)</f>
        <v>-1531.444</v>
      </c>
      <c r="J756" s="235">
        <f t="array" ref="J756">IFS(AND($B756&lt;&gt;"",$E756&lt;&gt;""),IF(INDEX(HistoricSummary!E:E,MATCH($C756,HistoricSummary!$A:$A,0),1)&lt;&gt;"",$E756*INDEX(HistoricSummary!E:E,MATCH($C756,HistoricSummary!$A:$A,0),1)+$G756,""),AND($B756&lt;&gt;"",$D756="COST",$G756&lt;0),$G756,TRUE,)</f>
        <v>-1080.073473</v>
      </c>
    </row>
    <row r="757">
      <c r="A757" s="184">
        <v>43136.0</v>
      </c>
      <c r="B757" s="229" t="s">
        <v>302</v>
      </c>
      <c r="C757" s="230" t="s">
        <v>303</v>
      </c>
      <c r="D757" s="231" t="s">
        <v>415</v>
      </c>
      <c r="E757" s="231">
        <v>-240.0</v>
      </c>
      <c r="F757" s="232">
        <v>41.868</v>
      </c>
      <c r="G757" s="233">
        <v>10048.32</v>
      </c>
      <c r="H757" s="230" t="s">
        <v>1115</v>
      </c>
      <c r="I757" s="235">
        <f t="array" ref="I757">IFS(AND($B757&lt;&gt;"",$E757&lt;&gt;""),IF(INDEX(HistoricSummary!D:D,MATCH($C757,HistoricSummary!$A:$A,0),1)&lt;&gt;"",$E757*INDEX(HistoricSummary!D:D,MATCH($C757,HistoricSummary!$A:$A,0),1)+$G757,""),AND($B757&lt;&gt;"",$D757="COST",$G757&lt;0),$G757,TRUE,)</f>
        <v>-3784.8</v>
      </c>
      <c r="J757" s="235">
        <f t="array" ref="J757">IFS(AND($B757&lt;&gt;"",$E757&lt;&gt;""),IF(INDEX(HistoricSummary!E:E,MATCH($C757,HistoricSummary!$A:$A,0),1)&lt;&gt;"",$E757*INDEX(HistoricSummary!E:E,MATCH($C757,HistoricSummary!$A:$A,0),1)+$G757,""),AND($B757&lt;&gt;"",$D757="COST",$G757&lt;0),$G757,TRUE,)</f>
        <v>-2679.402791</v>
      </c>
    </row>
    <row r="758">
      <c r="A758" s="184">
        <v>43136.0</v>
      </c>
      <c r="B758" s="229" t="s">
        <v>302</v>
      </c>
      <c r="C758" s="230" t="s">
        <v>303</v>
      </c>
      <c r="D758" s="231" t="s">
        <v>415</v>
      </c>
      <c r="E758" s="231">
        <v>-38.0</v>
      </c>
      <c r="F758" s="232">
        <v>41.848</v>
      </c>
      <c r="G758" s="233">
        <v>1590.24</v>
      </c>
      <c r="H758" s="230" t="s">
        <v>1116</v>
      </c>
      <c r="I758" s="235">
        <f t="array" ref="I758">IFS(AND($B758&lt;&gt;"",$E758&lt;&gt;""),IF(INDEX(HistoricSummary!D:D,MATCH($C758,HistoricSummary!$A:$A,0),1)&lt;&gt;"",$E758*INDEX(HistoricSummary!D:D,MATCH($C758,HistoricSummary!$A:$A,0),1)+$G758,""),AND($B758&lt;&gt;"",$D758="COST",$G758&lt;0),$G758,TRUE,)</f>
        <v>-600.004</v>
      </c>
      <c r="J758" s="235">
        <f t="array" ref="J758">IFS(AND($B758&lt;&gt;"",$E758&lt;&gt;""),IF(INDEX(HistoricSummary!E:E,MATCH($C758,HistoricSummary!$A:$A,0),1)&lt;&gt;"",$E758*INDEX(HistoricSummary!E:E,MATCH($C758,HistoricSummary!$A:$A,0),1)+$G758,""),AND($B758&lt;&gt;"",$D758="COST",$G758&lt;0),$G758,TRUE,)</f>
        <v>-424.9827752</v>
      </c>
    </row>
    <row r="759">
      <c r="A759" s="184">
        <v>43136.0</v>
      </c>
      <c r="B759" s="229" t="s">
        <v>302</v>
      </c>
      <c r="C759" s="230" t="s">
        <v>303</v>
      </c>
      <c r="D759" s="231" t="s">
        <v>415</v>
      </c>
      <c r="E759" s="231">
        <v>-30.0</v>
      </c>
      <c r="F759" s="232">
        <v>41.792</v>
      </c>
      <c r="G759" s="233">
        <v>1253.76</v>
      </c>
      <c r="H759" s="230" t="s">
        <v>1117</v>
      </c>
      <c r="I759" s="235">
        <f t="array" ref="I759">IFS(AND($B759&lt;&gt;"",$E759&lt;&gt;""),IF(INDEX(HistoricSummary!D:D,MATCH($C759,HistoricSummary!$A:$A,0),1)&lt;&gt;"",$E759*INDEX(HistoricSummary!D:D,MATCH($C759,HistoricSummary!$A:$A,0),1)+$G759,""),AND($B759&lt;&gt;"",$D759="COST",$G759&lt;0),$G759,TRUE,)</f>
        <v>-475.38</v>
      </c>
      <c r="J759" s="235">
        <f t="array" ref="J759">IFS(AND($B759&lt;&gt;"",$E759&lt;&gt;""),IF(INDEX(HistoricSummary!E:E,MATCH($C759,HistoricSummary!$A:$A,0),1)&lt;&gt;"",$E759*INDEX(HistoricSummary!E:E,MATCH($C759,HistoricSummary!$A:$A,0),1)+$G759,""),AND($B759&lt;&gt;"",$D759="COST",$G759&lt;0),$G759,TRUE,)</f>
        <v>-337.2053488</v>
      </c>
    </row>
    <row r="760">
      <c r="A760" s="184">
        <v>43136.0</v>
      </c>
      <c r="B760" s="229" t="s">
        <v>302</v>
      </c>
      <c r="C760" s="230" t="s">
        <v>303</v>
      </c>
      <c r="D760" s="231" t="s">
        <v>415</v>
      </c>
      <c r="E760" s="231">
        <v>-45.0</v>
      </c>
      <c r="F760" s="232">
        <v>41.811</v>
      </c>
      <c r="G760" s="233">
        <v>1881.5</v>
      </c>
      <c r="H760" s="230" t="s">
        <v>1118</v>
      </c>
      <c r="I760" s="235">
        <f t="array" ref="I760">IFS(AND($B760&lt;&gt;"",$E760&lt;&gt;""),IF(INDEX(HistoricSummary!D:D,MATCH($C760,HistoricSummary!$A:$A,0),1)&lt;&gt;"",$E760*INDEX(HistoricSummary!D:D,MATCH($C760,HistoricSummary!$A:$A,0),1)+$G760,""),AND($B760&lt;&gt;"",$D760="COST",$G760&lt;0),$G760,TRUE,)</f>
        <v>-712.21</v>
      </c>
      <c r="J760" s="235">
        <f t="array" ref="J760">IFS(AND($B760&lt;&gt;"",$E760&lt;&gt;""),IF(INDEX(HistoricSummary!E:E,MATCH($C760,HistoricSummary!$A:$A,0),1)&lt;&gt;"",$E760*INDEX(HistoricSummary!E:E,MATCH($C760,HistoricSummary!$A:$A,0),1)+$G760,""),AND($B760&lt;&gt;"",$D760="COST",$G760&lt;0),$G760,TRUE,)</f>
        <v>-504.9480233</v>
      </c>
    </row>
    <row r="761">
      <c r="A761" s="184">
        <v>43136.0</v>
      </c>
      <c r="B761" s="229" t="s">
        <v>302</v>
      </c>
      <c r="C761" s="230" t="s">
        <v>303</v>
      </c>
      <c r="D761" s="231" t="s">
        <v>415</v>
      </c>
      <c r="E761" s="231">
        <v>-50.0</v>
      </c>
      <c r="F761" s="232">
        <v>41.796</v>
      </c>
      <c r="G761" s="233">
        <v>2089.8</v>
      </c>
      <c r="H761" s="230" t="s">
        <v>1119</v>
      </c>
      <c r="I761" s="235">
        <f t="array" ref="I761">IFS(AND($B761&lt;&gt;"",$E761&lt;&gt;""),IF(INDEX(HistoricSummary!D:D,MATCH($C761,HistoricSummary!$A:$A,0),1)&lt;&gt;"",$E761*INDEX(HistoricSummary!D:D,MATCH($C761,HistoricSummary!$A:$A,0),1)+$G761,""),AND($B761&lt;&gt;"",$D761="COST",$G761&lt;0),$G761,TRUE,)</f>
        <v>-792.1</v>
      </c>
      <c r="J761" s="235">
        <f t="array" ref="J761">IFS(AND($B761&lt;&gt;"",$E761&lt;&gt;""),IF(INDEX(HistoricSummary!E:E,MATCH($C761,HistoricSummary!$A:$A,0),1)&lt;&gt;"",$E761*INDEX(HistoricSummary!E:E,MATCH($C761,HistoricSummary!$A:$A,0),1)+$G761,""),AND($B761&lt;&gt;"",$D761="COST",$G761&lt;0),$G761,TRUE,)</f>
        <v>-561.8089147</v>
      </c>
    </row>
    <row r="762">
      <c r="A762" s="184">
        <v>43136.0</v>
      </c>
      <c r="B762" s="229" t="s">
        <v>302</v>
      </c>
      <c r="C762" s="230" t="s">
        <v>303</v>
      </c>
      <c r="D762" s="231" t="s">
        <v>415</v>
      </c>
      <c r="E762" s="231">
        <v>-20.0</v>
      </c>
      <c r="F762" s="232">
        <v>41.796</v>
      </c>
      <c r="G762" s="233">
        <v>835.92</v>
      </c>
      <c r="H762" s="230" t="s">
        <v>1120</v>
      </c>
      <c r="I762" s="235">
        <f t="array" ref="I762">IFS(AND($B762&lt;&gt;"",$E762&lt;&gt;""),IF(INDEX(HistoricSummary!D:D,MATCH($C762,HistoricSummary!$A:$A,0),1)&lt;&gt;"",$E762*INDEX(HistoricSummary!D:D,MATCH($C762,HistoricSummary!$A:$A,0),1)+$G762,""),AND($B762&lt;&gt;"",$D762="COST",$G762&lt;0),$G762,TRUE,)</f>
        <v>-316.84</v>
      </c>
      <c r="J762" s="235">
        <f t="array" ref="J762">IFS(AND($B762&lt;&gt;"",$E762&lt;&gt;""),IF(INDEX(HistoricSummary!E:E,MATCH($C762,HistoricSummary!$A:$A,0),1)&lt;&gt;"",$E762*INDEX(HistoricSummary!E:E,MATCH($C762,HistoricSummary!$A:$A,0),1)+$G762,""),AND($B762&lt;&gt;"",$D762="COST",$G762&lt;0),$G762,TRUE,)</f>
        <v>-224.7235659</v>
      </c>
    </row>
    <row r="763">
      <c r="A763" s="184">
        <v>43136.0</v>
      </c>
      <c r="B763" s="229" t="s">
        <v>302</v>
      </c>
      <c r="C763" s="230" t="s">
        <v>303</v>
      </c>
      <c r="D763" s="231" t="s">
        <v>432</v>
      </c>
      <c r="E763" s="231"/>
      <c r="F763" s="232"/>
      <c r="G763" s="233">
        <v>-2.17</v>
      </c>
      <c r="H763" s="230" t="s">
        <v>1121</v>
      </c>
      <c r="I763" s="235">
        <f t="array" ref="I763">IFS(AND($B763&lt;&gt;"",$E763&lt;&gt;""),IF(INDEX(HistoricSummary!D:D,MATCH($C763,HistoricSummary!$A:$A,0),1)&lt;&gt;"",$E763*INDEX(HistoricSummary!D:D,MATCH($C763,HistoricSummary!$A:$A,0),1)+$G763,""),AND($B763&lt;&gt;"",$D763="COST",$G763&lt;0),$G763,TRUE,)</f>
        <v>-2.17</v>
      </c>
      <c r="J763" s="235">
        <f t="array" ref="J763">IFS(AND($B763&lt;&gt;"",$E763&lt;&gt;""),IF(INDEX(HistoricSummary!E:E,MATCH($C763,HistoricSummary!$A:$A,0),1)&lt;&gt;"",$E763*INDEX(HistoricSummary!E:E,MATCH($C763,HistoricSummary!$A:$A,0),1)+$G763,""),AND($B763&lt;&gt;"",$D763="COST",$G763&lt;0),$G763,TRUE,)</f>
        <v>-2.17</v>
      </c>
    </row>
    <row r="764">
      <c r="A764" s="184">
        <v>43136.0</v>
      </c>
      <c r="B764" s="229" t="s">
        <v>302</v>
      </c>
      <c r="C764" s="230" t="s">
        <v>303</v>
      </c>
      <c r="D764" s="231" t="s">
        <v>415</v>
      </c>
      <c r="E764" s="231">
        <v>-10.0</v>
      </c>
      <c r="F764" s="232">
        <v>41.796</v>
      </c>
      <c r="G764" s="233">
        <v>417.96</v>
      </c>
      <c r="H764" s="230" t="s">
        <v>1122</v>
      </c>
      <c r="I764" s="235">
        <f t="array" ref="I764">IFS(AND($B764&lt;&gt;"",$E764&lt;&gt;""),IF(INDEX(HistoricSummary!D:D,MATCH($C764,HistoricSummary!$A:$A,0),1)&lt;&gt;"",$E764*INDEX(HistoricSummary!D:D,MATCH($C764,HistoricSummary!$A:$A,0),1)+$G764,""),AND($B764&lt;&gt;"",$D764="COST",$G764&lt;0),$G764,TRUE,)</f>
        <v>-158.42</v>
      </c>
      <c r="J764" s="235">
        <f t="array" ref="J764">IFS(AND($B764&lt;&gt;"",$E764&lt;&gt;""),IF(INDEX(HistoricSummary!E:E,MATCH($C764,HistoricSummary!$A:$A,0),1)&lt;&gt;"",$E764*INDEX(HistoricSummary!E:E,MATCH($C764,HistoricSummary!$A:$A,0),1)+$G764,""),AND($B764&lt;&gt;"",$D764="COST",$G764&lt;0),$G764,TRUE,)</f>
        <v>-112.3617829</v>
      </c>
    </row>
    <row r="765">
      <c r="A765" s="184">
        <v>43136.0</v>
      </c>
      <c r="B765" s="229" t="s">
        <v>302</v>
      </c>
      <c r="C765" s="230" t="s">
        <v>303</v>
      </c>
      <c r="D765" s="231" t="s">
        <v>432</v>
      </c>
      <c r="E765" s="231"/>
      <c r="F765" s="232"/>
      <c r="G765" s="233">
        <v>-2.08</v>
      </c>
      <c r="H765" s="230" t="s">
        <v>1123</v>
      </c>
      <c r="I765" s="235">
        <f t="array" ref="I765">IFS(AND($B765&lt;&gt;"",$E765&lt;&gt;""),IF(INDEX(HistoricSummary!D:D,MATCH($C765,HistoricSummary!$A:$A,0),1)&lt;&gt;"",$E765*INDEX(HistoricSummary!D:D,MATCH($C765,HistoricSummary!$A:$A,0),1)+$G765,""),AND($B765&lt;&gt;"",$D765="COST",$G765&lt;0),$G765,TRUE,)</f>
        <v>-2.08</v>
      </c>
      <c r="J765" s="235">
        <f t="array" ref="J765">IFS(AND($B765&lt;&gt;"",$E765&lt;&gt;""),IF(INDEX(HistoricSummary!E:E,MATCH($C765,HistoricSummary!$A:$A,0),1)&lt;&gt;"",$E765*INDEX(HistoricSummary!E:E,MATCH($C765,HistoricSummary!$A:$A,0),1)+$G765,""),AND($B765&lt;&gt;"",$D765="COST",$G765&lt;0),$G765,TRUE,)</f>
        <v>-2.08</v>
      </c>
    </row>
    <row r="766">
      <c r="A766" s="184">
        <v>43131.0</v>
      </c>
      <c r="B766" s="229"/>
      <c r="C766" s="230"/>
      <c r="D766" s="231" t="s">
        <v>432</v>
      </c>
      <c r="E766" s="231"/>
      <c r="F766" s="232"/>
      <c r="G766" s="233">
        <v>0.02</v>
      </c>
      <c r="H766" s="230" t="s">
        <v>1124</v>
      </c>
      <c r="I766" s="235" t="str">
        <f t="array" ref="I766">IFS(AND($B766&lt;&gt;"",$E766&lt;&gt;""),IF(INDEX(HistoricSummary!D:D,MATCH($C766,HistoricSummary!$A:$A,0),1)&lt;&gt;"",$E766*INDEX(HistoricSummary!D:D,MATCH($C766,HistoricSummary!$A:$A,0),1)+$G766,""),AND($B766&lt;&gt;"",$D766="COST",$G766&lt;0),$G766,TRUE,)</f>
        <v/>
      </c>
      <c r="J766" s="235" t="str">
        <f t="array" ref="J766">IFS(AND($B766&lt;&gt;"",$E766&lt;&gt;""),IF(INDEX(HistoricSummary!E:E,MATCH($C766,HistoricSummary!$A:$A,0),1)&lt;&gt;"",$E766*INDEX(HistoricSummary!E:E,MATCH($C766,HistoricSummary!$A:$A,0),1)+$G766,""),AND($B766&lt;&gt;"",$D766="COST",$G766&lt;0),$G766,TRUE,)</f>
        <v/>
      </c>
    </row>
    <row r="767">
      <c r="A767" s="184">
        <v>43131.0</v>
      </c>
      <c r="B767" s="229"/>
      <c r="C767" s="230"/>
      <c r="D767" s="231" t="s">
        <v>432</v>
      </c>
      <c r="E767" s="231"/>
      <c r="F767" s="232"/>
      <c r="G767" s="233">
        <v>-193.75</v>
      </c>
      <c r="H767" s="230" t="s">
        <v>1125</v>
      </c>
      <c r="I767" s="235" t="str">
        <f t="array" ref="I767">IFS(AND($B767&lt;&gt;"",$E767&lt;&gt;""),IF(INDEX(HistoricSummary!D:D,MATCH($C767,HistoricSummary!$A:$A,0),1)&lt;&gt;"",$E767*INDEX(HistoricSummary!D:D,MATCH($C767,HistoricSummary!$A:$A,0),1)+$G767,""),AND($B767&lt;&gt;"",$D767="COST",$G767&lt;0),$G767,TRUE,)</f>
        <v/>
      </c>
      <c r="J767" s="235" t="str">
        <f t="array" ref="J767">IFS(AND($B767&lt;&gt;"",$E767&lt;&gt;""),IF(INDEX(HistoricSummary!E:E,MATCH($C767,HistoricSummary!$A:$A,0),1)&lt;&gt;"",$E767*INDEX(HistoricSummary!E:E,MATCH($C767,HistoricSummary!$A:$A,0),1)+$G767,""),AND($B767&lt;&gt;"",$D767="COST",$G767&lt;0),$G767,TRUE,)</f>
        <v/>
      </c>
    </row>
    <row r="768">
      <c r="A768" s="184">
        <v>43131.0</v>
      </c>
      <c r="B768" s="229"/>
      <c r="C768" s="230"/>
      <c r="D768" s="231" t="s">
        <v>432</v>
      </c>
      <c r="E768" s="231"/>
      <c r="F768" s="232"/>
      <c r="G768" s="233">
        <v>-7.5</v>
      </c>
      <c r="H768" s="230" t="s">
        <v>1126</v>
      </c>
      <c r="I768" s="235" t="str">
        <f t="array" ref="I768">IFS(AND($B768&lt;&gt;"",$E768&lt;&gt;""),IF(INDEX(HistoricSummary!D:D,MATCH($C768,HistoricSummary!$A:$A,0),1)&lt;&gt;"",$E768*INDEX(HistoricSummary!D:D,MATCH($C768,HistoricSummary!$A:$A,0),1)+$G768,""),AND($B768&lt;&gt;"",$D768="COST",$G768&lt;0),$G768,TRUE,)</f>
        <v/>
      </c>
      <c r="J768" s="235" t="str">
        <f t="array" ref="J768">IFS(AND($B768&lt;&gt;"",$E768&lt;&gt;""),IF(INDEX(HistoricSummary!E:E,MATCH($C768,HistoricSummary!$A:$A,0),1)&lt;&gt;"",$E768*INDEX(HistoricSummary!E:E,MATCH($C768,HistoricSummary!$A:$A,0),1)+$G768,""),AND($B768&lt;&gt;"",$D768="COST",$G768&lt;0),$G768,TRUE,)</f>
        <v/>
      </c>
    </row>
    <row r="769">
      <c r="A769" s="184">
        <v>43126.0</v>
      </c>
      <c r="B769" s="229" t="s">
        <v>283</v>
      </c>
      <c r="C769" s="230" t="s">
        <v>286</v>
      </c>
      <c r="D769" s="231" t="s">
        <v>414</v>
      </c>
      <c r="E769" s="231">
        <v>1375.0</v>
      </c>
      <c r="F769" s="232">
        <v>7.35</v>
      </c>
      <c r="G769" s="233">
        <v>-10106.25</v>
      </c>
      <c r="H769" s="230" t="s">
        <v>1127</v>
      </c>
      <c r="I769" s="235">
        <f t="array" ref="I769">IFS(AND($B769&lt;&gt;"",$E769&lt;&gt;""),IF(INDEX(HistoricSummary!D:D,MATCH($C769,HistoricSummary!$A:$A,0),1)&lt;&gt;"",$E769*INDEX(HistoricSummary!D:D,MATCH($C769,HistoricSummary!$A:$A,0),1)+$G769,""),AND($B769&lt;&gt;"",$D769="COST",$G769&lt;0),$G769,TRUE,)</f>
        <v>-1178.375</v>
      </c>
      <c r="J769" s="235">
        <f t="array" ref="J769">IFS(AND($B769&lt;&gt;"",$E769&lt;&gt;""),IF(INDEX(HistoricSummary!E:E,MATCH($C769,HistoricSummary!$A:$A,0),1)&lt;&gt;"",$E769*INDEX(HistoricSummary!E:E,MATCH($C769,HistoricSummary!$A:$A,0),1)+$G769,""),AND($B769&lt;&gt;"",$D769="COST",$G769&lt;0),$G769,TRUE,)</f>
        <v>-1235.549419</v>
      </c>
    </row>
    <row r="770">
      <c r="A770" s="184">
        <v>43126.0</v>
      </c>
      <c r="B770" s="229" t="s">
        <v>302</v>
      </c>
      <c r="C770" s="230" t="s">
        <v>303</v>
      </c>
      <c r="D770" s="231" t="s">
        <v>414</v>
      </c>
      <c r="E770" s="231">
        <v>937.0</v>
      </c>
      <c r="F770" s="232">
        <v>43.31</v>
      </c>
      <c r="G770" s="233">
        <v>-40581.47</v>
      </c>
      <c r="H770" s="230" t="s">
        <v>1128</v>
      </c>
      <c r="I770" s="235">
        <f t="array" ref="I770">IFS(AND($B770&lt;&gt;"",$E770&lt;&gt;""),IF(INDEX(HistoricSummary!D:D,MATCH($C770,HistoricSummary!$A:$A,0),1)&lt;&gt;"",$E770*INDEX(HistoricSummary!D:D,MATCH($C770,HistoricSummary!$A:$A,0),1)+$G770,""),AND($B770&lt;&gt;"",$D770="COST",$G770&lt;0),$G770,TRUE,)</f>
        <v>13425.336</v>
      </c>
      <c r="J770" s="235">
        <f t="array" ref="J770">IFS(AND($B770&lt;&gt;"",$E770&lt;&gt;""),IF(INDEX(HistoricSummary!E:E,MATCH($C770,HistoricSummary!$A:$A,0),1)&lt;&gt;"",$E770*INDEX(HistoricSummary!E:E,MATCH($C770,HistoricSummary!$A:$A,0),1)+$G770,""),AND($B770&lt;&gt;"",$D770="COST",$G770&lt;0),$G770,TRUE,)</f>
        <v>9109.681062</v>
      </c>
    </row>
    <row r="771">
      <c r="A771" s="184">
        <v>43124.0</v>
      </c>
      <c r="B771" s="229"/>
      <c r="C771" s="230"/>
      <c r="D771" s="231" t="s">
        <v>432</v>
      </c>
      <c r="E771" s="231"/>
      <c r="F771" s="232"/>
      <c r="G771" s="233">
        <v>-0.01</v>
      </c>
      <c r="H771" s="230" t="s">
        <v>1096</v>
      </c>
      <c r="I771" s="235" t="str">
        <f t="array" ref="I771">IFS(AND($B771&lt;&gt;"",$E771&lt;&gt;""),IF(INDEX(HistoricSummary!D:D,MATCH($C771,HistoricSummary!$A:$A,0),1)&lt;&gt;"",$E771*INDEX(HistoricSummary!D:D,MATCH($C771,HistoricSummary!$A:$A,0),1)+$G771,""),AND($B771&lt;&gt;"",$D771="COST",$G771&lt;0),$G771,TRUE,)</f>
        <v/>
      </c>
      <c r="J771" s="235" t="str">
        <f t="array" ref="J771">IFS(AND($B771&lt;&gt;"",$E771&lt;&gt;""),IF(INDEX(HistoricSummary!E:E,MATCH($C771,HistoricSummary!$A:$A,0),1)&lt;&gt;"",$E771*INDEX(HistoricSummary!E:E,MATCH($C771,HistoricSummary!$A:$A,0),1)+$G771,""),AND($B771&lt;&gt;"",$D771="COST",$G771&lt;0),$G771,TRUE,)</f>
        <v/>
      </c>
    </row>
    <row r="772">
      <c r="A772" s="184">
        <v>43115.0</v>
      </c>
      <c r="B772" s="229" t="s">
        <v>283</v>
      </c>
      <c r="C772" s="230" t="s">
        <v>286</v>
      </c>
      <c r="D772" s="231" t="s">
        <v>414</v>
      </c>
      <c r="E772" s="231">
        <v>860.0</v>
      </c>
      <c r="F772" s="232">
        <v>7.395</v>
      </c>
      <c r="G772" s="233">
        <v>-6359.7</v>
      </c>
      <c r="H772" s="230" t="s">
        <v>1129</v>
      </c>
      <c r="I772" s="235">
        <f t="array" ref="I772">IFS(AND($B772&lt;&gt;"",$E772&lt;&gt;""),IF(INDEX(HistoricSummary!D:D,MATCH($C772,HistoricSummary!$A:$A,0),1)&lt;&gt;"",$E772*INDEX(HistoricSummary!D:D,MATCH($C772,HistoricSummary!$A:$A,0),1)+$G772,""),AND($B772&lt;&gt;"",$D772="COST",$G772&lt;0),$G772,TRUE,)</f>
        <v>-775.72</v>
      </c>
      <c r="J772" s="235">
        <f t="array" ref="J772">IFS(AND($B772&lt;&gt;"",$E772&lt;&gt;""),IF(INDEX(HistoricSummary!E:E,MATCH($C772,HistoricSummary!$A:$A,0),1)&lt;&gt;"",$E772*INDEX(HistoricSummary!E:E,MATCH($C772,HistoricSummary!$A:$A,0),1)+$G772,""),AND($B772&lt;&gt;"",$D772="COST",$G772&lt;0),$G772,TRUE,)</f>
        <v>-811.48</v>
      </c>
    </row>
    <row r="773">
      <c r="A773" s="184">
        <v>43115.0</v>
      </c>
      <c r="B773" s="229" t="s">
        <v>302</v>
      </c>
      <c r="C773" s="230" t="s">
        <v>303</v>
      </c>
      <c r="D773" s="231" t="s">
        <v>414</v>
      </c>
      <c r="E773" s="231">
        <v>615.0</v>
      </c>
      <c r="F773" s="232">
        <v>43.436</v>
      </c>
      <c r="G773" s="233">
        <v>-26713.14</v>
      </c>
      <c r="H773" s="230" t="s">
        <v>1130</v>
      </c>
      <c r="I773" s="235">
        <f t="array" ref="I773">IFS(AND($B773&lt;&gt;"",$E773&lt;&gt;""),IF(INDEX(HistoricSummary!D:D,MATCH($C773,HistoricSummary!$A:$A,0),1)&lt;&gt;"",$E773*INDEX(HistoricSummary!D:D,MATCH($C773,HistoricSummary!$A:$A,0),1)+$G773,""),AND($B773&lt;&gt;"",$D773="COST",$G773&lt;0),$G773,TRUE,)</f>
        <v>8734.23</v>
      </c>
      <c r="J773" s="235">
        <f t="array" ref="J773">IFS(AND($B773&lt;&gt;"",$E773&lt;&gt;""),IF(INDEX(HistoricSummary!E:E,MATCH($C773,HistoricSummary!$A:$A,0),1)&lt;&gt;"",$E773*INDEX(HistoricSummary!E:E,MATCH($C773,HistoricSummary!$A:$A,0),1)+$G773,""),AND($B773&lt;&gt;"",$D773="COST",$G773&lt;0),$G773,TRUE,)</f>
        <v>5901.649651</v>
      </c>
    </row>
    <row r="774">
      <c r="A774" s="184">
        <v>43109.0</v>
      </c>
      <c r="B774" s="229" t="s">
        <v>302</v>
      </c>
      <c r="C774" s="230" t="s">
        <v>303</v>
      </c>
      <c r="D774" s="231" t="s">
        <v>475</v>
      </c>
      <c r="E774" s="231"/>
      <c r="F774" s="232"/>
      <c r="G774" s="233">
        <v>-42.4</v>
      </c>
      <c r="H774" s="230" t="s">
        <v>1131</v>
      </c>
      <c r="I774" s="235" t="str">
        <f t="array" ref="I774">IFS(AND($B774&lt;&gt;"",$E774&lt;&gt;""),IF(INDEX(HistoricSummary!D:D,MATCH($C774,HistoricSummary!$A:$A,0),1)&lt;&gt;"",$E774*INDEX(HistoricSummary!D:D,MATCH($C774,HistoricSummary!$A:$A,0),1)+$G774,""),AND($B774&lt;&gt;"",$D774="COST",$G774&lt;0),$G774,TRUE,)</f>
        <v/>
      </c>
      <c r="J774" s="235" t="str">
        <f t="array" ref="J774">IFS(AND($B774&lt;&gt;"",$E774&lt;&gt;""),IF(INDEX(HistoricSummary!E:E,MATCH($C774,HistoricSummary!$A:$A,0),1)&lt;&gt;"",$E774*INDEX(HistoricSummary!E:E,MATCH($C774,HistoricSummary!$A:$A,0),1)+$G774,""),AND($B774&lt;&gt;"",$D774="COST",$G774&lt;0),$G774,TRUE,)</f>
        <v/>
      </c>
    </row>
    <row r="775">
      <c r="A775" s="184">
        <v>43108.0</v>
      </c>
      <c r="B775" s="229" t="s">
        <v>302</v>
      </c>
      <c r="C775" s="230" t="s">
        <v>303</v>
      </c>
      <c r="D775" s="231" t="s">
        <v>475</v>
      </c>
      <c r="E775" s="231"/>
      <c r="F775" s="232"/>
      <c r="G775" s="233">
        <v>259.89</v>
      </c>
      <c r="H775" s="230" t="s">
        <v>1132</v>
      </c>
      <c r="I775" s="235" t="str">
        <f t="array" ref="I775">IFS(AND($B775&lt;&gt;"",$E775&lt;&gt;""),IF(INDEX(HistoricSummary!D:D,MATCH($C775,HistoricSummary!$A:$A,0),1)&lt;&gt;"",$E775*INDEX(HistoricSummary!D:D,MATCH($C775,HistoricSummary!$A:$A,0),1)+$G775,""),AND($B775&lt;&gt;"",$D775="COST",$G775&lt;0),$G775,TRUE,)</f>
        <v/>
      </c>
      <c r="J775" s="235" t="str">
        <f t="array" ref="J775">IFS(AND($B775&lt;&gt;"",$E775&lt;&gt;""),IF(INDEX(HistoricSummary!E:E,MATCH($C775,HistoricSummary!$A:$A,0),1)&lt;&gt;"",$E775*INDEX(HistoricSummary!E:E,MATCH($C775,HistoricSummary!$A:$A,0),1)+$G775,""),AND($B775&lt;&gt;"",$D775="COST",$G775&lt;0),$G775,TRUE,)</f>
        <v/>
      </c>
    </row>
    <row r="776">
      <c r="A776" s="184">
        <v>43105.0</v>
      </c>
      <c r="B776" s="229"/>
      <c r="C776" s="230"/>
      <c r="D776" s="231" t="s">
        <v>454</v>
      </c>
      <c r="E776" s="231"/>
      <c r="F776" s="232"/>
      <c r="G776" s="233">
        <v>30000.0</v>
      </c>
      <c r="H776" s="230" t="s">
        <v>1133</v>
      </c>
      <c r="I776" s="235" t="str">
        <f t="array" ref="I776">IFS(AND($B776&lt;&gt;"",$E776&lt;&gt;""),IF(INDEX(HistoricSummary!D:D,MATCH($C776,HistoricSummary!$A:$A,0),1)&lt;&gt;"",$E776*INDEX(HistoricSummary!D:D,MATCH($C776,HistoricSummary!$A:$A,0),1)+$G776,""),AND($B776&lt;&gt;"",$D776="COST",$G776&lt;0),$G776,TRUE,)</f>
        <v/>
      </c>
      <c r="J776" s="235" t="str">
        <f t="array" ref="J776">IFS(AND($B776&lt;&gt;"",$E776&lt;&gt;""),IF(INDEX(HistoricSummary!E:E,MATCH($C776,HistoricSummary!$A:$A,0),1)&lt;&gt;"",$E776*INDEX(HistoricSummary!E:E,MATCH($C776,HistoricSummary!$A:$A,0),1)+$G776,""),AND($B776&lt;&gt;"",$D776="COST",$G776&lt;0),$G776,TRUE,)</f>
        <v/>
      </c>
    </row>
    <row r="777">
      <c r="A777" s="184">
        <v>43102.0</v>
      </c>
      <c r="B777" s="229" t="s">
        <v>292</v>
      </c>
      <c r="C777" s="230" t="s">
        <v>297</v>
      </c>
      <c r="D777" s="231" t="s">
        <v>475</v>
      </c>
      <c r="E777" s="231"/>
      <c r="F777" s="232"/>
      <c r="G777" s="233">
        <v>-132.32</v>
      </c>
      <c r="H777" s="230" t="s">
        <v>1134</v>
      </c>
      <c r="I777" s="235" t="str">
        <f t="array" ref="I777">IFS(AND($B777&lt;&gt;"",$E777&lt;&gt;""),IF(INDEX(HistoricSummary!D:D,MATCH($C777,HistoricSummary!$A:$A,0),1)&lt;&gt;"",$E777*INDEX(HistoricSummary!D:D,MATCH($C777,HistoricSummary!$A:$A,0),1)+$G777,""),AND($B777&lt;&gt;"",$D777="COST",$G777&lt;0),$G777,TRUE,)</f>
        <v/>
      </c>
      <c r="J777" s="235" t="str">
        <f t="array" ref="J777">IFS(AND($B777&lt;&gt;"",$E777&lt;&gt;""),IF(INDEX(HistoricSummary!E:E,MATCH($C777,HistoricSummary!$A:$A,0),1)&lt;&gt;"",$E777*INDEX(HistoricSummary!E:E,MATCH($C777,HistoricSummary!$A:$A,0),1)+$G777,""),AND($B777&lt;&gt;"",$D777="COST",$G777&lt;0),$G777,TRUE,)</f>
        <v/>
      </c>
    </row>
    <row r="778">
      <c r="A778" s="184">
        <v>43100.0</v>
      </c>
      <c r="B778" s="229"/>
      <c r="C778" s="230"/>
      <c r="D778" s="231" t="s">
        <v>432</v>
      </c>
      <c r="E778" s="231"/>
      <c r="F778" s="232"/>
      <c r="G778" s="233">
        <v>0.05</v>
      </c>
      <c r="H778" s="230" t="s">
        <v>1135</v>
      </c>
      <c r="I778" s="235" t="str">
        <f t="array" ref="I778">IFS(AND($B778&lt;&gt;"",$E778&lt;&gt;""),IF(INDEX(HistoricSummary!D:D,MATCH($C778,HistoricSummary!$A:$A,0),1)&lt;&gt;"",$E778*INDEX(HistoricSummary!D:D,MATCH($C778,HistoricSummary!$A:$A,0),1)+$G778,""),AND($B778&lt;&gt;"",$D778="COST",$G778&lt;0),$G778,TRUE,)</f>
        <v/>
      </c>
      <c r="J778" s="235" t="str">
        <f t="array" ref="J778">IFS(AND($B778&lt;&gt;"",$E778&lt;&gt;""),IF(INDEX(HistoricSummary!E:E,MATCH($C778,HistoricSummary!$A:$A,0),1)&lt;&gt;"",$E778*INDEX(HistoricSummary!E:E,MATCH($C778,HistoricSummary!$A:$A,0),1)+$G778,""),AND($B778&lt;&gt;"",$D778="COST",$G778&lt;0),$G778,TRUE,)</f>
        <v/>
      </c>
    </row>
    <row r="779">
      <c r="A779" s="184">
        <v>43100.0</v>
      </c>
      <c r="B779" s="229"/>
      <c r="C779" s="230"/>
      <c r="D779" s="231" t="s">
        <v>432</v>
      </c>
      <c r="E779" s="231"/>
      <c r="F779" s="232"/>
      <c r="G779" s="233">
        <v>-127.19</v>
      </c>
      <c r="H779" s="230" t="s">
        <v>1136</v>
      </c>
      <c r="I779" s="235" t="str">
        <f t="array" ref="I779">IFS(AND($B779&lt;&gt;"",$E779&lt;&gt;""),IF(INDEX(HistoricSummary!D:D,MATCH($C779,HistoricSummary!$A:$A,0),1)&lt;&gt;"",$E779*INDEX(HistoricSummary!D:D,MATCH($C779,HistoricSummary!$A:$A,0),1)+$G779,""),AND($B779&lt;&gt;"",$D779="COST",$G779&lt;0),$G779,TRUE,)</f>
        <v/>
      </c>
      <c r="J779" s="235" t="str">
        <f t="array" ref="J779">IFS(AND($B779&lt;&gt;"",$E779&lt;&gt;""),IF(INDEX(HistoricSummary!E:E,MATCH($C779,HistoricSummary!$A:$A,0),1)&lt;&gt;"",$E779*INDEX(HistoricSummary!E:E,MATCH($C779,HistoricSummary!$A:$A,0),1)+$G779,""),AND($B779&lt;&gt;"",$D779="COST",$G779&lt;0),$G779,TRUE,)</f>
        <v/>
      </c>
    </row>
    <row r="780">
      <c r="A780" s="184">
        <v>43098.0</v>
      </c>
      <c r="B780" s="19" t="s">
        <v>298</v>
      </c>
      <c r="C780" s="19" t="s">
        <v>301</v>
      </c>
      <c r="D780" s="19" t="s">
        <v>475</v>
      </c>
      <c r="E780" s="19"/>
      <c r="F780" s="232"/>
      <c r="G780" s="233">
        <v>91.39</v>
      </c>
      <c r="H780" s="19" t="s">
        <v>1137</v>
      </c>
      <c r="I780" s="235" t="str">
        <f t="array" ref="I780">IFS(AND($B780&lt;&gt;"",$E780&lt;&gt;""),IF(INDEX(HistoricSummary!D:D,MATCH($C780,HistoricSummary!$A:$A,0),1)&lt;&gt;"",$E780*INDEX(HistoricSummary!D:D,MATCH($C780,HistoricSummary!$A:$A,0),1)+$G780,""),AND($B780&lt;&gt;"",$D780="COST",$G780&lt;0),$G780,TRUE,)</f>
        <v/>
      </c>
      <c r="J780" s="235" t="str">
        <f t="array" ref="J780">IFS(AND($B780&lt;&gt;"",$E780&lt;&gt;""),IF(INDEX(HistoricSummary!E:E,MATCH($C780,HistoricSummary!$A:$A,0),1)&lt;&gt;"",$E780*INDEX(HistoricSummary!E:E,MATCH($C780,HistoricSummary!$A:$A,0),1)+$G780,""),AND($B780&lt;&gt;"",$D780="COST",$G780&lt;0),$G780,TRUE,)</f>
        <v/>
      </c>
    </row>
    <row r="781">
      <c r="A781" s="184">
        <v>43098.0</v>
      </c>
      <c r="B781" s="229" t="s">
        <v>298</v>
      </c>
      <c r="C781" s="230" t="s">
        <v>301</v>
      </c>
      <c r="D781" s="231" t="s">
        <v>475</v>
      </c>
      <c r="E781" s="231"/>
      <c r="F781" s="232"/>
      <c r="G781" s="233">
        <v>208.14</v>
      </c>
      <c r="H781" s="230" t="s">
        <v>1138</v>
      </c>
      <c r="I781" s="235" t="str">
        <f t="array" ref="I781">IFS(AND($B781&lt;&gt;"",$E781&lt;&gt;""),IF(INDEX(HistoricSummary!D:D,MATCH($C781,HistoricSummary!$A:$A,0),1)&lt;&gt;"",$E781*INDEX(HistoricSummary!D:D,MATCH($C781,HistoricSummary!$A:$A,0),1)+$G781,""),AND($B781&lt;&gt;"",$D781="COST",$G781&lt;0),$G781,TRUE,)</f>
        <v/>
      </c>
      <c r="J781" s="235" t="str">
        <f t="array" ref="J781">IFS(AND($B781&lt;&gt;"",$E781&lt;&gt;""),IF(INDEX(HistoricSummary!E:E,MATCH($C781,HistoricSummary!$A:$A,0),1)&lt;&gt;"",$E781*INDEX(HistoricSummary!E:E,MATCH($C781,HistoricSummary!$A:$A,0),1)+$G781,""),AND($B781&lt;&gt;"",$D781="COST",$G781&lt;0),$G781,TRUE,)</f>
        <v/>
      </c>
    </row>
    <row r="782">
      <c r="A782" s="184">
        <v>43098.0</v>
      </c>
      <c r="B782" s="229" t="s">
        <v>292</v>
      </c>
      <c r="C782" s="230" t="s">
        <v>297</v>
      </c>
      <c r="D782" s="231" t="s">
        <v>475</v>
      </c>
      <c r="E782" s="231"/>
      <c r="F782" s="232"/>
      <c r="G782" s="233">
        <v>43.79</v>
      </c>
      <c r="H782" s="230" t="s">
        <v>1139</v>
      </c>
      <c r="I782" s="235" t="str">
        <f t="array" ref="I782">IFS(AND($B782&lt;&gt;"",$E782&lt;&gt;""),IF(INDEX(HistoricSummary!D:D,MATCH($C782,HistoricSummary!$A:$A,0),1)&lt;&gt;"",$E782*INDEX(HistoricSummary!D:D,MATCH($C782,HistoricSummary!$A:$A,0),1)+$G782,""),AND($B782&lt;&gt;"",$D782="COST",$G782&lt;0),$G782,TRUE,)</f>
        <v/>
      </c>
      <c r="J782" s="235" t="str">
        <f t="array" ref="J782">IFS(AND($B782&lt;&gt;"",$E782&lt;&gt;""),IF(INDEX(HistoricSummary!E:E,MATCH($C782,HistoricSummary!$A:$A,0),1)&lt;&gt;"",$E782*INDEX(HistoricSummary!E:E,MATCH($C782,HistoricSummary!$A:$A,0),1)+$G782,""),AND($B782&lt;&gt;"",$D782="COST",$G782&lt;0),$G782,TRUE,)</f>
        <v/>
      </c>
    </row>
    <row r="783">
      <c r="A783" s="184">
        <v>43098.0</v>
      </c>
      <c r="B783" s="229" t="s">
        <v>298</v>
      </c>
      <c r="C783" s="230" t="s">
        <v>301</v>
      </c>
      <c r="D783" s="231" t="s">
        <v>475</v>
      </c>
      <c r="E783" s="231"/>
      <c r="F783" s="232"/>
      <c r="G783" s="233">
        <v>519.88</v>
      </c>
      <c r="H783" s="230" t="s">
        <v>1140</v>
      </c>
      <c r="I783" s="235" t="str">
        <f t="array" ref="I783">IFS(AND($B783&lt;&gt;"",$E783&lt;&gt;""),IF(INDEX(HistoricSummary!D:D,MATCH($C783,HistoricSummary!$A:$A,0),1)&lt;&gt;"",$E783*INDEX(HistoricSummary!D:D,MATCH($C783,HistoricSummary!$A:$A,0),1)+$G783,""),AND($B783&lt;&gt;"",$D783="COST",$G783&lt;0),$G783,TRUE,)</f>
        <v/>
      </c>
      <c r="J783" s="235" t="str">
        <f t="array" ref="J783">IFS(AND($B783&lt;&gt;"",$E783&lt;&gt;""),IF(INDEX(HistoricSummary!E:E,MATCH($C783,HistoricSummary!$A:$A,0),1)&lt;&gt;"",$E783*INDEX(HistoricSummary!E:E,MATCH($C783,HistoricSummary!$A:$A,0),1)+$G783,""),AND($B783&lt;&gt;"",$D783="COST",$G783&lt;0),$G783,TRUE,)</f>
        <v/>
      </c>
    </row>
    <row r="784">
      <c r="A784" s="184">
        <v>43090.0</v>
      </c>
      <c r="B784" s="229" t="s">
        <v>302</v>
      </c>
      <c r="C784" s="230" t="s">
        <v>303</v>
      </c>
      <c r="D784" s="231" t="s">
        <v>415</v>
      </c>
      <c r="E784" s="231">
        <v>-26.0</v>
      </c>
      <c r="F784" s="232">
        <v>42.848</v>
      </c>
      <c r="G784" s="233">
        <v>1114.05</v>
      </c>
      <c r="H784" s="230" t="s">
        <v>1141</v>
      </c>
      <c r="I784" s="235">
        <f t="array" ref="I784">IFS(AND($B784&lt;&gt;"",$E784&lt;&gt;""),IF(INDEX(HistoricSummary!D:D,MATCH($C784,HistoricSummary!$A:$A,0),1)&lt;&gt;"",$E784*INDEX(HistoricSummary!D:D,MATCH($C784,HistoricSummary!$A:$A,0),1)+$G784,""),AND($B784&lt;&gt;"",$D784="COST",$G784&lt;0),$G784,TRUE,)</f>
        <v>-384.538</v>
      </c>
      <c r="J784" s="235">
        <f t="array" ref="J784">IFS(AND($B784&lt;&gt;"",$E784&lt;&gt;""),IF(INDEX(HistoricSummary!E:E,MATCH($C784,HistoricSummary!$A:$A,0),1)&lt;&gt;"",$E784*INDEX(HistoricSummary!E:E,MATCH($C784,HistoricSummary!$A:$A,0),1)+$G784,""),AND($B784&lt;&gt;"",$D784="COST",$G784&lt;0),$G784,TRUE,)</f>
        <v>-264.7866357</v>
      </c>
    </row>
    <row r="785">
      <c r="A785" s="184">
        <v>43090.0</v>
      </c>
      <c r="B785" s="229" t="s">
        <v>302</v>
      </c>
      <c r="C785" s="230" t="s">
        <v>303</v>
      </c>
      <c r="D785" s="231" t="s">
        <v>432</v>
      </c>
      <c r="E785" s="231"/>
      <c r="F785" s="232"/>
      <c r="G785" s="233">
        <v>-2.22</v>
      </c>
      <c r="H785" s="230" t="s">
        <v>1142</v>
      </c>
      <c r="I785" s="235">
        <f t="array" ref="I785">IFS(AND($B785&lt;&gt;"",$E785&lt;&gt;""),IF(INDEX(HistoricSummary!D:D,MATCH($C785,HistoricSummary!$A:$A,0),1)&lt;&gt;"",$E785*INDEX(HistoricSummary!D:D,MATCH($C785,HistoricSummary!$A:$A,0),1)+$G785,""),AND($B785&lt;&gt;"",$D785="COST",$G785&lt;0),$G785,TRUE,)</f>
        <v>-2.22</v>
      </c>
      <c r="J785" s="235">
        <f t="array" ref="J785">IFS(AND($B785&lt;&gt;"",$E785&lt;&gt;""),IF(INDEX(HistoricSummary!E:E,MATCH($C785,HistoricSummary!$A:$A,0),1)&lt;&gt;"",$E785*INDEX(HistoricSummary!E:E,MATCH($C785,HistoricSummary!$A:$A,0),1)+$G785,""),AND($B785&lt;&gt;"",$D785="COST",$G785&lt;0),$G785,TRUE,)</f>
        <v>-2.22</v>
      </c>
    </row>
    <row r="786">
      <c r="A786" s="184">
        <v>43089.0</v>
      </c>
      <c r="B786" s="229" t="s">
        <v>298</v>
      </c>
      <c r="C786" s="230" t="s">
        <v>301</v>
      </c>
      <c r="D786" s="231" t="s">
        <v>414</v>
      </c>
      <c r="E786" s="231">
        <v>11.0</v>
      </c>
      <c r="F786" s="232">
        <v>99.46</v>
      </c>
      <c r="G786" s="233">
        <v>-1094.1</v>
      </c>
      <c r="H786" s="230" t="s">
        <v>1143</v>
      </c>
      <c r="I786" s="235" t="str">
        <f t="array" ref="I786">IFS(AND($B786&lt;&gt;"",$E786&lt;&gt;""),IF(INDEX(HistoricSummary!D:D,MATCH($C786,HistoricSummary!$A:$A,0),1)&lt;&gt;"",$E786*INDEX(HistoricSummary!D:D,MATCH($C786,HistoricSummary!$A:$A,0),1)+$G786,""),AND($B786&lt;&gt;"",$D786="COST",$G786&lt;0),$G786,TRUE,)</f>
        <v/>
      </c>
      <c r="J786" s="235" t="str">
        <f t="array" ref="J786">IFS(AND($B786&lt;&gt;"",$E786&lt;&gt;""),IF(INDEX(HistoricSummary!E:E,MATCH($C786,HistoricSummary!$A:$A,0),1)&lt;&gt;"",$E786*INDEX(HistoricSummary!E:E,MATCH($C786,HistoricSummary!$A:$A,0),1)+$G786,""),AND($B786&lt;&gt;"",$D786="COST",$G786&lt;0),$G786,TRUE,)</f>
        <v/>
      </c>
    </row>
    <row r="787">
      <c r="A787" s="184">
        <v>43080.0</v>
      </c>
      <c r="B787" s="229" t="s">
        <v>283</v>
      </c>
      <c r="C787" s="230" t="s">
        <v>286</v>
      </c>
      <c r="D787" s="231" t="s">
        <v>414</v>
      </c>
      <c r="E787" s="231">
        <v>311.0</v>
      </c>
      <c r="F787" s="232">
        <v>7.225</v>
      </c>
      <c r="G787" s="233">
        <v>-2246.97</v>
      </c>
      <c r="H787" s="230" t="s">
        <v>1144</v>
      </c>
      <c r="I787" s="235">
        <f t="array" ref="I787">IFS(AND($B787&lt;&gt;"",$E787&lt;&gt;""),IF(INDEX(HistoricSummary!D:D,MATCH($C787,HistoricSummary!$A:$A,0),1)&lt;&gt;"",$E787*INDEX(HistoricSummary!D:D,MATCH($C787,HistoricSummary!$A:$A,0),1)+$G787,""),AND($B787&lt;&gt;"",$D787="COST",$G787&lt;0),$G787,TRUE,)</f>
        <v>-227.647</v>
      </c>
      <c r="J787" s="235">
        <f t="array" ref="J787">IFS(AND($B787&lt;&gt;"",$E787&lt;&gt;""),IF(INDEX(HistoricSummary!E:E,MATCH($C787,HistoricSummary!$A:$A,0),1)&lt;&gt;"",$E787*INDEX(HistoricSummary!E:E,MATCH($C787,HistoricSummary!$A:$A,0),1)+$G787,""),AND($B787&lt;&gt;"",$D787="COST",$G787&lt;0),$G787,TRUE,)</f>
        <v>-240.578814</v>
      </c>
    </row>
    <row r="788">
      <c r="A788" s="184">
        <v>43080.0</v>
      </c>
      <c r="B788" s="229" t="s">
        <v>302</v>
      </c>
      <c r="C788" s="230" t="s">
        <v>303</v>
      </c>
      <c r="D788" s="231" t="s">
        <v>414</v>
      </c>
      <c r="E788" s="231">
        <v>206.0</v>
      </c>
      <c r="F788" s="232">
        <v>42.94</v>
      </c>
      <c r="G788" s="233">
        <v>-8845.64</v>
      </c>
      <c r="H788" s="230" t="s">
        <v>1145</v>
      </c>
      <c r="I788" s="235">
        <f t="array" ref="I788">IFS(AND($B788&lt;&gt;"",$E788&lt;&gt;""),IF(INDEX(HistoricSummary!D:D,MATCH($C788,HistoricSummary!$A:$A,0),1)&lt;&gt;"",$E788*INDEX(HistoricSummary!D:D,MATCH($C788,HistoricSummary!$A:$A,0),1)+$G788,""),AND($B788&lt;&gt;"",$D788="COST",$G788&lt;0),$G788,TRUE,)</f>
        <v>3027.788</v>
      </c>
      <c r="J788" s="235">
        <f t="array" ref="J788">IFS(AND($B788&lt;&gt;"",$E788&lt;&gt;""),IF(INDEX(HistoricSummary!E:E,MATCH($C788,HistoricSummary!$A:$A,0),1)&lt;&gt;"",$E788*INDEX(HistoricSummary!E:E,MATCH($C788,HistoricSummary!$A:$A,0),1)+$G788,""),AND($B788&lt;&gt;"",$D788="COST",$G788&lt;0),$G788,TRUE,)</f>
        <v>2078.988729</v>
      </c>
    </row>
    <row r="789">
      <c r="A789" s="184">
        <v>43080.0</v>
      </c>
      <c r="B789" s="229" t="s">
        <v>288</v>
      </c>
      <c r="C789" s="230" t="s">
        <v>291</v>
      </c>
      <c r="D789" s="231" t="s">
        <v>414</v>
      </c>
      <c r="E789" s="231">
        <v>267.0</v>
      </c>
      <c r="F789" s="232">
        <v>10.17</v>
      </c>
      <c r="G789" s="233">
        <v>-2714.52</v>
      </c>
      <c r="H789" s="230" t="s">
        <v>1146</v>
      </c>
      <c r="I789" s="235" t="str">
        <f t="array" ref="I789">IFS(AND($B789&lt;&gt;"",$E789&lt;&gt;""),IF(INDEX(HistoricSummary!D:D,MATCH($C789,HistoricSummary!$A:$A,0),1)&lt;&gt;"",$E789*INDEX(HistoricSummary!D:D,MATCH($C789,HistoricSummary!$A:$A,0),1)+$G789,""),AND($B789&lt;&gt;"",$D789="COST",$G789&lt;0),$G789,TRUE,)</f>
        <v/>
      </c>
      <c r="J789" s="235" t="str">
        <f t="array" ref="J789">IFS(AND($B789&lt;&gt;"",$E789&lt;&gt;""),IF(INDEX(HistoricSummary!E:E,MATCH($C789,HistoricSummary!$A:$A,0),1)&lt;&gt;"",$E789*INDEX(HistoricSummary!E:E,MATCH($C789,HistoricSummary!$A:$A,0),1)+$G789,""),AND($B789&lt;&gt;"",$D789="COST",$G789&lt;0),$G789,TRUE,)</f>
        <v/>
      </c>
    </row>
    <row r="790">
      <c r="A790" s="184">
        <v>43080.0</v>
      </c>
      <c r="B790" s="229" t="s">
        <v>298</v>
      </c>
      <c r="C790" s="230" t="s">
        <v>301</v>
      </c>
      <c r="D790" s="231" t="s">
        <v>414</v>
      </c>
      <c r="E790" s="231">
        <v>108.0</v>
      </c>
      <c r="F790" s="232">
        <v>103.18</v>
      </c>
      <c r="G790" s="233">
        <v>-11143.33</v>
      </c>
      <c r="H790" s="230" t="s">
        <v>1147</v>
      </c>
      <c r="I790" s="235" t="str">
        <f t="array" ref="I790">IFS(AND($B790&lt;&gt;"",$E790&lt;&gt;""),IF(INDEX(HistoricSummary!D:D,MATCH($C790,HistoricSummary!$A:$A,0),1)&lt;&gt;"",$E790*INDEX(HistoricSummary!D:D,MATCH($C790,HistoricSummary!$A:$A,0),1)+$G790,""),AND($B790&lt;&gt;"",$D790="COST",$G790&lt;0),$G790,TRUE,)</f>
        <v/>
      </c>
      <c r="J790" s="235" t="str">
        <f t="array" ref="J790">IFS(AND($B790&lt;&gt;"",$E790&lt;&gt;""),IF(INDEX(HistoricSummary!E:E,MATCH($C790,HistoricSummary!$A:$A,0),1)&lt;&gt;"",$E790*INDEX(HistoricSummary!E:E,MATCH($C790,HistoricSummary!$A:$A,0),1)+$G790,""),AND($B790&lt;&gt;"",$D790="COST",$G790&lt;0),$G790,TRUE,)</f>
        <v/>
      </c>
    </row>
    <row r="791">
      <c r="A791" s="184">
        <v>43080.0</v>
      </c>
      <c r="B791" s="229" t="s">
        <v>292</v>
      </c>
      <c r="C791" s="230" t="s">
        <v>297</v>
      </c>
      <c r="D791" s="231" t="s">
        <v>432</v>
      </c>
      <c r="E791" s="231"/>
      <c r="F791" s="232"/>
      <c r="G791" s="233">
        <v>-3.0</v>
      </c>
      <c r="H791" s="230" t="s">
        <v>1148</v>
      </c>
      <c r="I791" s="235">
        <f t="array" ref="I791">IFS(AND($B791&lt;&gt;"",$E791&lt;&gt;""),IF(INDEX(HistoricSummary!D:D,MATCH($C791,HistoricSummary!$A:$A,0),1)&lt;&gt;"",$E791*INDEX(HistoricSummary!D:D,MATCH($C791,HistoricSummary!$A:$A,0),1)+$G791,""),AND($B791&lt;&gt;"",$D791="COST",$G791&lt;0),$G791,TRUE,)</f>
        <v>-3</v>
      </c>
      <c r="J791" s="235">
        <f t="array" ref="J791">IFS(AND($B791&lt;&gt;"",$E791&lt;&gt;""),IF(INDEX(HistoricSummary!E:E,MATCH($C791,HistoricSummary!$A:$A,0),1)&lt;&gt;"",$E791*INDEX(HistoricSummary!E:E,MATCH($C791,HistoricSummary!$A:$A,0),1)+$G791,""),AND($B791&lt;&gt;"",$D791="COST",$G791&lt;0),$G791,TRUE,)</f>
        <v>-3</v>
      </c>
    </row>
    <row r="792">
      <c r="A792" s="184">
        <v>43080.0</v>
      </c>
      <c r="B792" s="229" t="s">
        <v>292</v>
      </c>
      <c r="C792" s="230" t="s">
        <v>297</v>
      </c>
      <c r="D792" s="231" t="s">
        <v>414</v>
      </c>
      <c r="E792" s="231">
        <v>92.0</v>
      </c>
      <c r="F792" s="232">
        <v>54.49</v>
      </c>
      <c r="G792" s="233">
        <v>-5013.47</v>
      </c>
      <c r="H792" s="230" t="s">
        <v>1149</v>
      </c>
      <c r="I792" s="235" t="str">
        <f t="array" ref="I792">IFS(AND($B792&lt;&gt;"",$E792&lt;&gt;""),IF(INDEX(HistoricSummary!D:D,MATCH($C792,HistoricSummary!$A:$A,0),1)&lt;&gt;"",$E792*INDEX(HistoricSummary!D:D,MATCH($C792,HistoricSummary!$A:$A,0),1)+$G792,""),AND($B792&lt;&gt;"",$D792="COST",$G792&lt;0),$G792,TRUE,)</f>
        <v/>
      </c>
      <c r="J792" s="235" t="str">
        <f t="array" ref="J792">IFS(AND($B792&lt;&gt;"",$E792&lt;&gt;""),IF(INDEX(HistoricSummary!E:E,MATCH($C792,HistoricSummary!$A:$A,0),1)&lt;&gt;"",$E792*INDEX(HistoricSummary!E:E,MATCH($C792,HistoricSummary!$A:$A,0),1)+$G792,""),AND($B792&lt;&gt;"",$D792="COST",$G792&lt;0),$G792,TRUE,)</f>
        <v/>
      </c>
    </row>
    <row r="793">
      <c r="A793" s="184">
        <v>43076.0</v>
      </c>
      <c r="B793" s="229" t="s">
        <v>292</v>
      </c>
      <c r="C793" s="230" t="s">
        <v>297</v>
      </c>
      <c r="D793" s="231" t="s">
        <v>475</v>
      </c>
      <c r="E793" s="231"/>
      <c r="F793" s="232"/>
      <c r="G793" s="233">
        <v>-4.96</v>
      </c>
      <c r="H793" s="230" t="s">
        <v>1150</v>
      </c>
      <c r="I793" s="235" t="str">
        <f t="array" ref="I793">IFS(AND($B793&lt;&gt;"",$E793&lt;&gt;""),IF(INDEX(HistoricSummary!D:D,MATCH($C793,HistoricSummary!$A:$A,0),1)&lt;&gt;"",$E793*INDEX(HistoricSummary!D:D,MATCH($C793,HistoricSummary!$A:$A,0),1)+$G793,""),AND($B793&lt;&gt;"",$D793="COST",$G793&lt;0),$G793,TRUE,)</f>
        <v/>
      </c>
      <c r="J793" s="235" t="str">
        <f t="array" ref="J793">IFS(AND($B793&lt;&gt;"",$E793&lt;&gt;""),IF(INDEX(HistoricSummary!E:E,MATCH($C793,HistoricSummary!$A:$A,0),1)&lt;&gt;"",$E793*INDEX(HistoricSummary!E:E,MATCH($C793,HistoricSummary!$A:$A,0),1)+$G793,""),AND($B793&lt;&gt;"",$D793="COST",$G793&lt;0),$G793,TRUE,)</f>
        <v/>
      </c>
    </row>
    <row r="794">
      <c r="A794" s="184">
        <v>43075.0</v>
      </c>
      <c r="B794" s="229" t="s">
        <v>292</v>
      </c>
      <c r="C794" s="230" t="s">
        <v>297</v>
      </c>
      <c r="D794" s="231" t="s">
        <v>475</v>
      </c>
      <c r="E794" s="231"/>
      <c r="F794" s="232"/>
      <c r="G794" s="233">
        <v>32.39</v>
      </c>
      <c r="H794" s="230" t="s">
        <v>1151</v>
      </c>
      <c r="I794" s="235" t="str">
        <f t="array" ref="I794">IFS(AND($B794&lt;&gt;"",$E794&lt;&gt;""),IF(INDEX(HistoricSummary!D:D,MATCH($C794,HistoricSummary!$A:$A,0),1)&lt;&gt;"",$E794*INDEX(HistoricSummary!D:D,MATCH($C794,HistoricSummary!$A:$A,0),1)+$G794,""),AND($B794&lt;&gt;"",$D794="COST",$G794&lt;0),$G794,TRUE,)</f>
        <v/>
      </c>
      <c r="J794" s="235" t="str">
        <f t="array" ref="J794">IFS(AND($B794&lt;&gt;"",$E794&lt;&gt;""),IF(INDEX(HistoricSummary!E:E,MATCH($C794,HistoricSummary!$A:$A,0),1)&lt;&gt;"",$E794*INDEX(HistoricSummary!E:E,MATCH($C794,HistoricSummary!$A:$A,0),1)+$G794,""),AND($B794&lt;&gt;"",$D794="COST",$G794&lt;0),$G794,TRUE,)</f>
        <v/>
      </c>
    </row>
    <row r="795">
      <c r="A795" s="184">
        <v>43069.0</v>
      </c>
      <c r="B795" s="229"/>
      <c r="C795" s="230"/>
      <c r="D795" s="231" t="s">
        <v>432</v>
      </c>
      <c r="E795" s="231"/>
      <c r="F795" s="232"/>
      <c r="G795" s="233">
        <v>-102.08</v>
      </c>
      <c r="H795" s="230" t="s">
        <v>1152</v>
      </c>
      <c r="I795" s="235" t="str">
        <f t="array" ref="I795">IFS(AND($B795&lt;&gt;"",$E795&lt;&gt;""),IF(INDEX(HistoricSummary!D:D,MATCH($C795,HistoricSummary!$A:$A,0),1)&lt;&gt;"",$E795*INDEX(HistoricSummary!D:D,MATCH($C795,HistoricSummary!$A:$A,0),1)+$G795,""),AND($B795&lt;&gt;"",$D795="COST",$G795&lt;0),$G795,TRUE,)</f>
        <v/>
      </c>
      <c r="J795" s="235" t="str">
        <f t="array" ref="J795">IFS(AND($B795&lt;&gt;"",$E795&lt;&gt;""),IF(INDEX(HistoricSummary!E:E,MATCH($C795,HistoricSummary!$A:$A,0),1)&lt;&gt;"",$E795*INDEX(HistoricSummary!E:E,MATCH($C795,HistoricSummary!$A:$A,0),1)+$G795,""),AND($B795&lt;&gt;"",$D795="COST",$G795&lt;0),$G795,TRUE,)</f>
        <v/>
      </c>
    </row>
    <row r="796">
      <c r="A796" s="184">
        <v>43069.0</v>
      </c>
      <c r="B796" s="229"/>
      <c r="C796" s="230"/>
      <c r="D796" s="231" t="s">
        <v>454</v>
      </c>
      <c r="E796" s="231"/>
      <c r="F796" s="232"/>
      <c r="G796" s="233">
        <v>10000.0</v>
      </c>
      <c r="H796" s="230" t="s">
        <v>1153</v>
      </c>
      <c r="I796" s="235" t="str">
        <f t="array" ref="I796">IFS(AND($B796&lt;&gt;"",$E796&lt;&gt;""),IF(INDEX(HistoricSummary!D:D,MATCH($C796,HistoricSummary!$A:$A,0),1)&lt;&gt;"",$E796*INDEX(HistoricSummary!D:D,MATCH($C796,HistoricSummary!$A:$A,0),1)+$G796,""),AND($B796&lt;&gt;"",$D796="COST",$G796&lt;0),$G796,TRUE,)</f>
        <v/>
      </c>
      <c r="J796" s="235" t="str">
        <f t="array" ref="J796">IFS(AND($B796&lt;&gt;"",$E796&lt;&gt;""),IF(INDEX(HistoricSummary!E:E,MATCH($C796,HistoricSummary!$A:$A,0),1)&lt;&gt;"",$E796*INDEX(HistoricSummary!E:E,MATCH($C796,HistoricSummary!$A:$A,0),1)+$G796,""),AND($B796&lt;&gt;"",$D796="COST",$G796&lt;0),$G796,TRUE,)</f>
        <v/>
      </c>
    </row>
    <row r="797">
      <c r="A797" s="184">
        <v>43066.0</v>
      </c>
      <c r="B797" s="229" t="s">
        <v>298</v>
      </c>
      <c r="C797" s="230" t="s">
        <v>301</v>
      </c>
      <c r="D797" s="231" t="s">
        <v>414</v>
      </c>
      <c r="E797" s="231">
        <v>10.0</v>
      </c>
      <c r="F797" s="232">
        <v>101.56</v>
      </c>
      <c r="G797" s="233">
        <v>-1015.59</v>
      </c>
      <c r="H797" s="230" t="s">
        <v>1154</v>
      </c>
      <c r="I797" s="235" t="str">
        <f t="array" ref="I797">IFS(AND($B797&lt;&gt;"",$E797&lt;&gt;""),IF(INDEX(HistoricSummary!D:D,MATCH($C797,HistoricSummary!$A:$A,0),1)&lt;&gt;"",$E797*INDEX(HistoricSummary!D:D,MATCH($C797,HistoricSummary!$A:$A,0),1)+$G797,""),AND($B797&lt;&gt;"",$D797="COST",$G797&lt;0),$G797,TRUE,)</f>
        <v/>
      </c>
      <c r="J797" s="235" t="str">
        <f t="array" ref="J797">IFS(AND($B797&lt;&gt;"",$E797&lt;&gt;""),IF(INDEX(HistoricSummary!E:E,MATCH($C797,HistoricSummary!$A:$A,0),1)&lt;&gt;"",$E797*INDEX(HistoricSummary!E:E,MATCH($C797,HistoricSummary!$A:$A,0),1)+$G797,""),AND($B797&lt;&gt;"",$D797="COST",$G797&lt;0),$G797,TRUE,)</f>
        <v/>
      </c>
    </row>
    <row r="798">
      <c r="A798" s="184">
        <v>43056.0</v>
      </c>
      <c r="B798" s="229"/>
      <c r="C798" s="230"/>
      <c r="D798" s="231" t="s">
        <v>454</v>
      </c>
      <c r="E798" s="231"/>
      <c r="F798" s="232"/>
      <c r="G798" s="233">
        <v>1000.0</v>
      </c>
      <c r="H798" s="230" t="s">
        <v>458</v>
      </c>
      <c r="I798" s="235" t="str">
        <f t="array" ref="I798">IFS(AND($B798&lt;&gt;"",$E798&lt;&gt;""),IF(INDEX(HistoricSummary!D:D,MATCH($C798,HistoricSummary!$A:$A,0),1)&lt;&gt;"",$E798*INDEX(HistoricSummary!D:D,MATCH($C798,HistoricSummary!$A:$A,0),1)+$G798,""),AND($B798&lt;&gt;"",$D798="COST",$G798&lt;0),$G798,TRUE,)</f>
        <v/>
      </c>
      <c r="J798" s="235" t="str">
        <f t="array" ref="J798">IFS(AND($B798&lt;&gt;"",$E798&lt;&gt;""),IF(INDEX(HistoricSummary!E:E,MATCH($C798,HistoricSummary!$A:$A,0),1)&lt;&gt;"",$E798*INDEX(HistoricSummary!E:E,MATCH($C798,HistoricSummary!$A:$A,0),1)+$G798,""),AND($B798&lt;&gt;"",$D798="COST",$G798&lt;0),$G798,TRUE,)</f>
        <v/>
      </c>
    </row>
    <row r="799">
      <c r="A799" s="184">
        <v>43046.0</v>
      </c>
      <c r="B799" s="229" t="s">
        <v>292</v>
      </c>
      <c r="C799" s="230" t="s">
        <v>297</v>
      </c>
      <c r="D799" s="231" t="s">
        <v>475</v>
      </c>
      <c r="E799" s="231"/>
      <c r="F799" s="232"/>
      <c r="G799" s="233">
        <v>-3.92</v>
      </c>
      <c r="H799" s="230" t="s">
        <v>1155</v>
      </c>
      <c r="I799" s="235" t="str">
        <f t="array" ref="I799">IFS(AND($B799&lt;&gt;"",$E799&lt;&gt;""),IF(INDEX(HistoricSummary!D:D,MATCH($C799,HistoricSummary!$A:$A,0),1)&lt;&gt;"",$E799*INDEX(HistoricSummary!D:D,MATCH($C799,HistoricSummary!$A:$A,0),1)+$G799,""),AND($B799&lt;&gt;"",$D799="COST",$G799&lt;0),$G799,TRUE,)</f>
        <v/>
      </c>
      <c r="J799" s="235" t="str">
        <f t="array" ref="J799">IFS(AND($B799&lt;&gt;"",$E799&lt;&gt;""),IF(INDEX(HistoricSummary!E:E,MATCH($C799,HistoricSummary!$A:$A,0),1)&lt;&gt;"",$E799*INDEX(HistoricSummary!E:E,MATCH($C799,HistoricSummary!$A:$A,0),1)+$G799,""),AND($B799&lt;&gt;"",$D799="COST",$G799&lt;0),$G799,TRUE,)</f>
        <v/>
      </c>
    </row>
    <row r="800">
      <c r="A800" s="184">
        <v>43046.0</v>
      </c>
      <c r="B800" s="229" t="s">
        <v>302</v>
      </c>
      <c r="C800" s="230" t="s">
        <v>303</v>
      </c>
      <c r="D800" s="231" t="s">
        <v>414</v>
      </c>
      <c r="E800" s="231">
        <v>48.0</v>
      </c>
      <c r="F800" s="232">
        <v>42.6</v>
      </c>
      <c r="G800" s="233">
        <v>-2044.75</v>
      </c>
      <c r="H800" s="230" t="s">
        <v>1156</v>
      </c>
      <c r="I800" s="235">
        <f t="array" ref="I800">IFS(AND($B800&lt;&gt;"",$E800&lt;&gt;""),IF(INDEX(HistoricSummary!D:D,MATCH($C800,HistoricSummary!$A:$A,0),1)&lt;&gt;"",$E800*INDEX(HistoricSummary!D:D,MATCH($C800,HistoricSummary!$A:$A,0),1)+$G800,""),AND($B800&lt;&gt;"",$D800="COST",$G800&lt;0),$G800,TRUE,)</f>
        <v>721.874</v>
      </c>
      <c r="J800" s="235">
        <f t="array" ref="J800">IFS(AND($B800&lt;&gt;"",$E800&lt;&gt;""),IF(INDEX(HistoricSummary!E:E,MATCH($C800,HistoricSummary!$A:$A,0),1)&lt;&gt;"",$E800*INDEX(HistoricSummary!E:E,MATCH($C800,HistoricSummary!$A:$A,0),1)+$G800,""),AND($B800&lt;&gt;"",$D800="COST",$G800&lt;0),$G800,TRUE,)</f>
        <v>500.7945581</v>
      </c>
    </row>
    <row r="801">
      <c r="A801" s="184">
        <v>43046.0</v>
      </c>
      <c r="B801" s="229" t="s">
        <v>292</v>
      </c>
      <c r="C801" s="230" t="s">
        <v>297</v>
      </c>
      <c r="D801" s="231" t="s">
        <v>432</v>
      </c>
      <c r="E801" s="231"/>
      <c r="F801" s="232"/>
      <c r="G801" s="233">
        <v>-2.31</v>
      </c>
      <c r="H801" s="230" t="s">
        <v>1157</v>
      </c>
      <c r="I801" s="235">
        <f t="array" ref="I801">IFS(AND($B801&lt;&gt;"",$E801&lt;&gt;""),IF(INDEX(HistoricSummary!D:D,MATCH($C801,HistoricSummary!$A:$A,0),1)&lt;&gt;"",$E801*INDEX(HistoricSummary!D:D,MATCH($C801,HistoricSummary!$A:$A,0),1)+$G801,""),AND($B801&lt;&gt;"",$D801="COST",$G801&lt;0),$G801,TRUE,)</f>
        <v>-2.31</v>
      </c>
      <c r="J801" s="235">
        <f t="array" ref="J801">IFS(AND($B801&lt;&gt;"",$E801&lt;&gt;""),IF(INDEX(HistoricSummary!E:E,MATCH($C801,HistoricSummary!$A:$A,0),1)&lt;&gt;"",$E801*INDEX(HistoricSummary!E:E,MATCH($C801,HistoricSummary!$A:$A,0),1)+$G801,""),AND($B801&lt;&gt;"",$D801="COST",$G801&lt;0),$G801,TRUE,)</f>
        <v>-2.31</v>
      </c>
    </row>
    <row r="802">
      <c r="A802" s="184">
        <v>43046.0</v>
      </c>
      <c r="B802" s="229" t="s">
        <v>283</v>
      </c>
      <c r="C802" s="230" t="s">
        <v>286</v>
      </c>
      <c r="D802" s="231" t="s">
        <v>414</v>
      </c>
      <c r="E802" s="231">
        <v>132.0</v>
      </c>
      <c r="F802" s="232">
        <v>7.675</v>
      </c>
      <c r="G802" s="233">
        <v>-1013.1</v>
      </c>
      <c r="H802" s="230" t="s">
        <v>1158</v>
      </c>
      <c r="I802" s="235">
        <f t="array" ref="I802">IFS(AND($B802&lt;&gt;"",$E802&lt;&gt;""),IF(INDEX(HistoricSummary!D:D,MATCH($C802,HistoricSummary!$A:$A,0),1)&lt;&gt;"",$E802*INDEX(HistoricSummary!D:D,MATCH($C802,HistoricSummary!$A:$A,0),1)+$G802,""),AND($B802&lt;&gt;"",$D802="COST",$G802&lt;0),$G802,TRUE,)</f>
        <v>-156.024</v>
      </c>
      <c r="J802" s="235">
        <f t="array" ref="J802">IFS(AND($B802&lt;&gt;"",$E802&lt;&gt;""),IF(INDEX(HistoricSummary!E:E,MATCH($C802,HistoricSummary!$A:$A,0),1)&lt;&gt;"",$E802*INDEX(HistoricSummary!E:E,MATCH($C802,HistoricSummary!$A:$A,0),1)+$G802,""),AND($B802&lt;&gt;"",$D802="COST",$G802&lt;0),$G802,TRUE,)</f>
        <v>-161.5127442</v>
      </c>
    </row>
    <row r="803">
      <c r="A803" s="184">
        <v>43046.0</v>
      </c>
      <c r="B803" s="229" t="s">
        <v>298</v>
      </c>
      <c r="C803" s="230" t="s">
        <v>301</v>
      </c>
      <c r="D803" s="231" t="s">
        <v>414</v>
      </c>
      <c r="E803" s="231">
        <v>27.0</v>
      </c>
      <c r="F803" s="232">
        <v>103.66</v>
      </c>
      <c r="G803" s="233">
        <v>-2798.71</v>
      </c>
      <c r="H803" s="230" t="s">
        <v>1159</v>
      </c>
      <c r="I803" s="235" t="str">
        <f t="array" ref="I803">IFS(AND($B803&lt;&gt;"",$E803&lt;&gt;""),IF(INDEX(HistoricSummary!D:D,MATCH($C803,HistoricSummary!$A:$A,0),1)&lt;&gt;"",$E803*INDEX(HistoricSummary!D:D,MATCH($C803,HistoricSummary!$A:$A,0),1)+$G803,""),AND($B803&lt;&gt;"",$D803="COST",$G803&lt;0),$G803,TRUE,)</f>
        <v/>
      </c>
      <c r="J803" s="235" t="str">
        <f t="array" ref="J803">IFS(AND($B803&lt;&gt;"",$E803&lt;&gt;""),IF(INDEX(HistoricSummary!E:E,MATCH($C803,HistoricSummary!$A:$A,0),1)&lt;&gt;"",$E803*INDEX(HistoricSummary!E:E,MATCH($C803,HistoricSummary!$A:$A,0),1)+$G803,""),AND($B803&lt;&gt;"",$D803="COST",$G803&lt;0),$G803,TRUE,)</f>
        <v/>
      </c>
    </row>
    <row r="804">
      <c r="A804" s="184">
        <v>43046.0</v>
      </c>
      <c r="B804" s="229" t="s">
        <v>288</v>
      </c>
      <c r="C804" s="230" t="s">
        <v>291</v>
      </c>
      <c r="D804" s="231" t="s">
        <v>414</v>
      </c>
      <c r="E804" s="231">
        <v>64.0</v>
      </c>
      <c r="F804" s="232">
        <v>10.63</v>
      </c>
      <c r="G804" s="233">
        <v>-680.11</v>
      </c>
      <c r="H804" s="230" t="s">
        <v>1160</v>
      </c>
      <c r="I804" s="235" t="str">
        <f t="array" ref="I804">IFS(AND($B804&lt;&gt;"",$E804&lt;&gt;""),IF(INDEX(HistoricSummary!D:D,MATCH($C804,HistoricSummary!$A:$A,0),1)&lt;&gt;"",$E804*INDEX(HistoricSummary!D:D,MATCH($C804,HistoricSummary!$A:$A,0),1)+$G804,""),AND($B804&lt;&gt;"",$D804="COST",$G804&lt;0),$G804,TRUE,)</f>
        <v/>
      </c>
      <c r="J804" s="235" t="str">
        <f t="array" ref="J804">IFS(AND($B804&lt;&gt;"",$E804&lt;&gt;""),IF(INDEX(HistoricSummary!E:E,MATCH($C804,HistoricSummary!$A:$A,0),1)&lt;&gt;"",$E804*INDEX(HistoricSummary!E:E,MATCH($C804,HistoricSummary!$A:$A,0),1)+$G804,""),AND($B804&lt;&gt;"",$D804="COST",$G804&lt;0),$G804,TRUE,)</f>
        <v/>
      </c>
    </row>
    <row r="805">
      <c r="A805" s="184">
        <v>43046.0</v>
      </c>
      <c r="B805" s="229" t="s">
        <v>292</v>
      </c>
      <c r="C805" s="230" t="s">
        <v>297</v>
      </c>
      <c r="D805" s="231" t="s">
        <v>414</v>
      </c>
      <c r="E805" s="231">
        <v>28.0</v>
      </c>
      <c r="F805" s="232">
        <v>55.76</v>
      </c>
      <c r="G805" s="233">
        <v>-1561.34</v>
      </c>
      <c r="H805" s="230" t="s">
        <v>1161</v>
      </c>
      <c r="I805" s="235" t="str">
        <f t="array" ref="I805">IFS(AND($B805&lt;&gt;"",$E805&lt;&gt;""),IF(INDEX(HistoricSummary!D:D,MATCH($C805,HistoricSummary!$A:$A,0),1)&lt;&gt;"",$E805*INDEX(HistoricSummary!D:D,MATCH($C805,HistoricSummary!$A:$A,0),1)+$G805,""),AND($B805&lt;&gt;"",$D805="COST",$G805&lt;0),$G805,TRUE,)</f>
        <v/>
      </c>
      <c r="J805" s="235" t="str">
        <f t="array" ref="J805">IFS(AND($B805&lt;&gt;"",$E805&lt;&gt;""),IF(INDEX(HistoricSummary!E:E,MATCH($C805,HistoricSummary!$A:$A,0),1)&lt;&gt;"",$E805*INDEX(HistoricSummary!E:E,MATCH($C805,HistoricSummary!$A:$A,0),1)+$G805,""),AND($B805&lt;&gt;"",$D805="COST",$G805&lt;0),$G805,TRUE,)</f>
        <v/>
      </c>
    </row>
    <row r="806">
      <c r="A806" s="184">
        <v>43045.0</v>
      </c>
      <c r="B806" s="229" t="s">
        <v>292</v>
      </c>
      <c r="C806" s="230" t="s">
        <v>297</v>
      </c>
      <c r="D806" s="231" t="s">
        <v>475</v>
      </c>
      <c r="E806" s="231"/>
      <c r="F806" s="232"/>
      <c r="G806" s="233">
        <v>28.53</v>
      </c>
      <c r="H806" s="230" t="s">
        <v>1162</v>
      </c>
      <c r="I806" s="235" t="str">
        <f t="array" ref="I806">IFS(AND($B806&lt;&gt;"",$E806&lt;&gt;""),IF(INDEX(HistoricSummary!D:D,MATCH($C806,HistoricSummary!$A:$A,0),1)&lt;&gt;"",$E806*INDEX(HistoricSummary!D:D,MATCH($C806,HistoricSummary!$A:$A,0),1)+$G806,""),AND($B806&lt;&gt;"",$D806="COST",$G806&lt;0),$G806,TRUE,)</f>
        <v/>
      </c>
      <c r="J806" s="235" t="str">
        <f t="array" ref="J806">IFS(AND($B806&lt;&gt;"",$E806&lt;&gt;""),IF(INDEX(HistoricSummary!E:E,MATCH($C806,HistoricSummary!$A:$A,0),1)&lt;&gt;"",$E806*INDEX(HistoricSummary!E:E,MATCH($C806,HistoricSummary!$A:$A,0),1)+$G806,""),AND($B806&lt;&gt;"",$D806="COST",$G806&lt;0),$G806,TRUE,)</f>
        <v/>
      </c>
    </row>
    <row r="807">
      <c r="A807" s="184">
        <v>43039.0</v>
      </c>
      <c r="B807" s="229"/>
      <c r="C807" s="230"/>
      <c r="D807" s="231" t="s">
        <v>432</v>
      </c>
      <c r="E807" s="231"/>
      <c r="F807" s="232"/>
      <c r="G807" s="233">
        <v>-93.75</v>
      </c>
      <c r="H807" s="230" t="s">
        <v>1163</v>
      </c>
      <c r="I807" s="235" t="str">
        <f t="array" ref="I807">IFS(AND($B807&lt;&gt;"",$E807&lt;&gt;""),IF(INDEX(HistoricSummary!D:D,MATCH($C807,HistoricSummary!$A:$A,0),1)&lt;&gt;"",$E807*INDEX(HistoricSummary!D:D,MATCH($C807,HistoricSummary!$A:$A,0),1)+$G807,""),AND($B807&lt;&gt;"",$D807="COST",$G807&lt;0),$G807,TRUE,)</f>
        <v/>
      </c>
      <c r="J807" s="235" t="str">
        <f t="array" ref="J807">IFS(AND($B807&lt;&gt;"",$E807&lt;&gt;""),IF(INDEX(HistoricSummary!E:E,MATCH($C807,HistoricSummary!$A:$A,0),1)&lt;&gt;"",$E807*INDEX(HistoricSummary!E:E,MATCH($C807,HistoricSummary!$A:$A,0),1)+$G807,""),AND($B807&lt;&gt;"",$D807="COST",$G807&lt;0),$G807,TRUE,)</f>
        <v/>
      </c>
    </row>
    <row r="808">
      <c r="A808" s="184">
        <v>43014.0</v>
      </c>
      <c r="B808" s="229" t="s">
        <v>292</v>
      </c>
      <c r="C808" s="230" t="s">
        <v>297</v>
      </c>
      <c r="D808" s="231" t="s">
        <v>475</v>
      </c>
      <c r="E808" s="231"/>
      <c r="F808" s="232"/>
      <c r="G808" s="233">
        <v>-4.5</v>
      </c>
      <c r="H808" s="230" t="s">
        <v>1164</v>
      </c>
      <c r="I808" s="235" t="str">
        <f t="array" ref="I808">IFS(AND($B808&lt;&gt;"",$E808&lt;&gt;""),IF(INDEX(HistoricSummary!D:D,MATCH($C808,HistoricSummary!$A:$A,0),1)&lt;&gt;"",$E808*INDEX(HistoricSummary!D:D,MATCH($C808,HistoricSummary!$A:$A,0),1)+$G808,""),AND($B808&lt;&gt;"",$D808="COST",$G808&lt;0),$G808,TRUE,)</f>
        <v/>
      </c>
      <c r="J808" s="235" t="str">
        <f t="array" ref="J808">IFS(AND($B808&lt;&gt;"",$E808&lt;&gt;""),IF(INDEX(HistoricSummary!E:E,MATCH($C808,HistoricSummary!$A:$A,0),1)&lt;&gt;"",$E808*INDEX(HistoricSummary!E:E,MATCH($C808,HistoricSummary!$A:$A,0),1)+$G808,""),AND($B808&lt;&gt;"",$D808="COST",$G808&lt;0),$G808,TRUE,)</f>
        <v/>
      </c>
    </row>
    <row r="809">
      <c r="A809" s="184">
        <v>43013.0</v>
      </c>
      <c r="B809" s="229" t="s">
        <v>302</v>
      </c>
      <c r="C809" s="230" t="s">
        <v>303</v>
      </c>
      <c r="D809" s="231" t="s">
        <v>475</v>
      </c>
      <c r="E809" s="231"/>
      <c r="F809" s="232"/>
      <c r="G809" s="233">
        <v>-26.14</v>
      </c>
      <c r="H809" s="230" t="s">
        <v>1165</v>
      </c>
      <c r="I809" s="235" t="str">
        <f t="array" ref="I809">IFS(AND($B809&lt;&gt;"",$E809&lt;&gt;""),IF(INDEX(HistoricSummary!D:D,MATCH($C809,HistoricSummary!$A:$A,0),1)&lt;&gt;"",$E809*INDEX(HistoricSummary!D:D,MATCH($C809,HistoricSummary!$A:$A,0),1)+$G809,""),AND($B809&lt;&gt;"",$D809="COST",$G809&lt;0),$G809,TRUE,)</f>
        <v/>
      </c>
      <c r="J809" s="235" t="str">
        <f t="array" ref="J809">IFS(AND($B809&lt;&gt;"",$E809&lt;&gt;""),IF(INDEX(HistoricSummary!E:E,MATCH($C809,HistoricSummary!$A:$A,0),1)&lt;&gt;"",$E809*INDEX(HistoricSummary!E:E,MATCH($C809,HistoricSummary!$A:$A,0),1)+$G809,""),AND($B809&lt;&gt;"",$D809="COST",$G809&lt;0),$G809,TRUE,)</f>
        <v/>
      </c>
    </row>
    <row r="810">
      <c r="A810" s="184">
        <v>43013.0</v>
      </c>
      <c r="B810" s="229" t="s">
        <v>292</v>
      </c>
      <c r="C810" s="230" t="s">
        <v>297</v>
      </c>
      <c r="D810" s="231" t="s">
        <v>475</v>
      </c>
      <c r="E810" s="231"/>
      <c r="F810" s="232"/>
      <c r="G810" s="233">
        <v>30.34</v>
      </c>
      <c r="H810" s="230" t="s">
        <v>1166</v>
      </c>
      <c r="I810" s="235" t="str">
        <f t="array" ref="I810">IFS(AND($B810&lt;&gt;"",$E810&lt;&gt;""),IF(INDEX(HistoricSummary!D:D,MATCH($C810,HistoricSummary!$A:$A,0),1)&lt;&gt;"",$E810*INDEX(HistoricSummary!D:D,MATCH($C810,HistoricSummary!$A:$A,0),1)+$G810,""),AND($B810&lt;&gt;"",$D810="COST",$G810&lt;0),$G810,TRUE,)</f>
        <v/>
      </c>
      <c r="J810" s="235" t="str">
        <f t="array" ref="J810">IFS(AND($B810&lt;&gt;"",$E810&lt;&gt;""),IF(INDEX(HistoricSummary!E:E,MATCH($C810,HistoricSummary!$A:$A,0),1)&lt;&gt;"",$E810*INDEX(HistoricSummary!E:E,MATCH($C810,HistoricSummary!$A:$A,0),1)+$G810,""),AND($B810&lt;&gt;"",$D810="COST",$G810&lt;0),$G810,TRUE,)</f>
        <v/>
      </c>
    </row>
    <row r="811">
      <c r="A811" s="184">
        <v>43012.0</v>
      </c>
      <c r="B811" s="229" t="s">
        <v>302</v>
      </c>
      <c r="C811" s="230" t="s">
        <v>303</v>
      </c>
      <c r="D811" s="231" t="s">
        <v>475</v>
      </c>
      <c r="E811" s="231"/>
      <c r="F811" s="232"/>
      <c r="G811" s="233">
        <v>178.2</v>
      </c>
      <c r="H811" s="230" t="s">
        <v>1167</v>
      </c>
      <c r="I811" s="235" t="str">
        <f t="array" ref="I811">IFS(AND($B811&lt;&gt;"",$E811&lt;&gt;""),IF(INDEX(HistoricSummary!D:D,MATCH($C811,HistoricSummary!$A:$A,0),1)&lt;&gt;"",$E811*INDEX(HistoricSummary!D:D,MATCH($C811,HistoricSummary!$A:$A,0),1)+$G811,""),AND($B811&lt;&gt;"",$D811="COST",$G811&lt;0),$G811,TRUE,)</f>
        <v/>
      </c>
      <c r="J811" s="235" t="str">
        <f t="array" ref="J811">IFS(AND($B811&lt;&gt;"",$E811&lt;&gt;""),IF(INDEX(HistoricSummary!E:E,MATCH($C811,HistoricSummary!$A:$A,0),1)&lt;&gt;"",$E811*INDEX(HistoricSummary!E:E,MATCH($C811,HistoricSummary!$A:$A,0),1)+$G811,""),AND($B811&lt;&gt;"",$D811="COST",$G811&lt;0),$G811,TRUE,)</f>
        <v/>
      </c>
    </row>
    <row r="812">
      <c r="A812" s="184">
        <v>43012.0</v>
      </c>
      <c r="B812" s="229" t="s">
        <v>292</v>
      </c>
      <c r="C812" s="230" t="s">
        <v>297</v>
      </c>
      <c r="D812" s="231" t="s">
        <v>432</v>
      </c>
      <c r="E812" s="231"/>
      <c r="F812" s="232"/>
      <c r="G812" s="233">
        <v>-2.18</v>
      </c>
      <c r="H812" s="230" t="s">
        <v>1168</v>
      </c>
      <c r="I812" s="235">
        <f t="array" ref="I812">IFS(AND($B812&lt;&gt;"",$E812&lt;&gt;""),IF(INDEX(HistoricSummary!D:D,MATCH($C812,HistoricSummary!$A:$A,0),1)&lt;&gt;"",$E812*INDEX(HistoricSummary!D:D,MATCH($C812,HistoricSummary!$A:$A,0),1)+$G812,""),AND($B812&lt;&gt;"",$D812="COST",$G812&lt;0),$G812,TRUE,)</f>
        <v>-2.18</v>
      </c>
      <c r="J812" s="235">
        <f t="array" ref="J812">IFS(AND($B812&lt;&gt;"",$E812&lt;&gt;""),IF(INDEX(HistoricSummary!E:E,MATCH($C812,HistoricSummary!$A:$A,0),1)&lt;&gt;"",$E812*INDEX(HistoricSummary!E:E,MATCH($C812,HistoricSummary!$A:$A,0),1)+$G812,""),AND($B812&lt;&gt;"",$D812="COST",$G812&lt;0),$G812,TRUE,)</f>
        <v>-2.18</v>
      </c>
    </row>
    <row r="813">
      <c r="A813" s="184">
        <v>43012.0</v>
      </c>
      <c r="B813" s="229" t="s">
        <v>302</v>
      </c>
      <c r="C813" s="230" t="s">
        <v>303</v>
      </c>
      <c r="D813" s="231" t="s">
        <v>414</v>
      </c>
      <c r="E813" s="231">
        <v>25.0</v>
      </c>
      <c r="F813" s="232">
        <v>40.857</v>
      </c>
      <c r="G813" s="233">
        <v>-1021.42</v>
      </c>
      <c r="H813" s="230" t="s">
        <v>1169</v>
      </c>
      <c r="I813" s="235">
        <f t="array" ref="I813">IFS(AND($B813&lt;&gt;"",$E813&lt;&gt;""),IF(INDEX(HistoricSummary!D:D,MATCH($C813,HistoricSummary!$A:$A,0),1)&lt;&gt;"",$E813*INDEX(HistoricSummary!D:D,MATCH($C813,HistoricSummary!$A:$A,0),1)+$G813,""),AND($B813&lt;&gt;"",$D813="COST",$G813&lt;0),$G813,TRUE,)</f>
        <v>419.53</v>
      </c>
      <c r="J813" s="235">
        <f t="array" ref="J813">IFS(AND($B813&lt;&gt;"",$E813&lt;&gt;""),IF(INDEX(HistoricSummary!E:E,MATCH($C813,HistoricSummary!$A:$A,0),1)&lt;&gt;"",$E813*INDEX(HistoricSummary!E:E,MATCH($C813,HistoricSummary!$A:$A,0),1)+$G813,""),AND($B813&lt;&gt;"",$D813="COST",$G813&lt;0),$G813,TRUE,)</f>
        <v>304.3844574</v>
      </c>
    </row>
    <row r="814">
      <c r="A814" s="184">
        <v>43012.0</v>
      </c>
      <c r="B814" s="229" t="s">
        <v>283</v>
      </c>
      <c r="C814" s="230" t="s">
        <v>286</v>
      </c>
      <c r="D814" s="231" t="s">
        <v>414</v>
      </c>
      <c r="E814" s="231">
        <v>174.0</v>
      </c>
      <c r="F814" s="232">
        <v>7.205</v>
      </c>
      <c r="G814" s="233">
        <v>-1253.67</v>
      </c>
      <c r="H814" s="230" t="s">
        <v>1170</v>
      </c>
      <c r="I814" s="235">
        <f t="array" ref="I814">IFS(AND($B814&lt;&gt;"",$E814&lt;&gt;""),IF(INDEX(HistoricSummary!D:D,MATCH($C814,HistoricSummary!$A:$A,0),1)&lt;&gt;"",$E814*INDEX(HistoricSummary!D:D,MATCH($C814,HistoricSummary!$A:$A,0),1)+$G814,""),AND($B814&lt;&gt;"",$D814="COST",$G814&lt;0),$G814,TRUE,)</f>
        <v>-123.888</v>
      </c>
      <c r="J814" s="235">
        <f t="array" ref="J814">IFS(AND($B814&lt;&gt;"",$E814&lt;&gt;""),IF(INDEX(HistoricSummary!E:E,MATCH($C814,HistoricSummary!$A:$A,0),1)&lt;&gt;"",$E814*INDEX(HistoricSummary!E:E,MATCH($C814,HistoricSummary!$A:$A,0),1)+$G814,""),AND($B814&lt;&gt;"",$D814="COST",$G814&lt;0),$G814,TRUE,)</f>
        <v>-131.1231628</v>
      </c>
    </row>
    <row r="815">
      <c r="A815" s="184">
        <v>43012.0</v>
      </c>
      <c r="B815" s="229" t="s">
        <v>298</v>
      </c>
      <c r="C815" s="230" t="s">
        <v>301</v>
      </c>
      <c r="D815" s="231" t="s">
        <v>414</v>
      </c>
      <c r="E815" s="231">
        <v>37.0</v>
      </c>
      <c r="F815" s="232">
        <v>99.51</v>
      </c>
      <c r="G815" s="233">
        <v>-3682.04</v>
      </c>
      <c r="H815" s="230" t="s">
        <v>1171</v>
      </c>
      <c r="I815" s="235" t="str">
        <f t="array" ref="I815">IFS(AND($B815&lt;&gt;"",$E815&lt;&gt;""),IF(INDEX(HistoricSummary!D:D,MATCH($C815,HistoricSummary!$A:$A,0),1)&lt;&gt;"",$E815*INDEX(HistoricSummary!D:D,MATCH($C815,HistoricSummary!$A:$A,0),1)+$G815,""),AND($B815&lt;&gt;"",$D815="COST",$G815&lt;0),$G815,TRUE,)</f>
        <v/>
      </c>
      <c r="J815" s="235" t="str">
        <f t="array" ref="J815">IFS(AND($B815&lt;&gt;"",$E815&lt;&gt;""),IF(INDEX(HistoricSummary!E:E,MATCH($C815,HistoricSummary!$A:$A,0),1)&lt;&gt;"",$E815*INDEX(HistoricSummary!E:E,MATCH($C815,HistoricSummary!$A:$A,0),1)+$G815,""),AND($B815&lt;&gt;"",$D815="COST",$G815&lt;0),$G815,TRUE,)</f>
        <v/>
      </c>
    </row>
    <row r="816">
      <c r="A816" s="184">
        <v>43012.0</v>
      </c>
      <c r="B816" s="229" t="s">
        <v>288</v>
      </c>
      <c r="C816" s="230" t="s">
        <v>291</v>
      </c>
      <c r="D816" s="231" t="s">
        <v>414</v>
      </c>
      <c r="E816" s="231">
        <v>147.0</v>
      </c>
      <c r="F816" s="232">
        <v>10.44</v>
      </c>
      <c r="G816" s="233">
        <v>-1534.32</v>
      </c>
      <c r="H816" s="230" t="s">
        <v>1172</v>
      </c>
      <c r="I816" s="235" t="str">
        <f t="array" ref="I816">IFS(AND($B816&lt;&gt;"",$E816&lt;&gt;""),IF(INDEX(HistoricSummary!D:D,MATCH($C816,HistoricSummary!$A:$A,0),1)&lt;&gt;"",$E816*INDEX(HistoricSummary!D:D,MATCH($C816,HistoricSummary!$A:$A,0),1)+$G816,""),AND($B816&lt;&gt;"",$D816="COST",$G816&lt;0),$G816,TRUE,)</f>
        <v/>
      </c>
      <c r="J816" s="235" t="str">
        <f t="array" ref="J816">IFS(AND($B816&lt;&gt;"",$E816&lt;&gt;""),IF(INDEX(HistoricSummary!E:E,MATCH($C816,HistoricSummary!$A:$A,0),1)&lt;&gt;"",$E816*INDEX(HistoricSummary!E:E,MATCH($C816,HistoricSummary!$A:$A,0),1)+$G816,""),AND($B816&lt;&gt;"",$D816="COST",$G816&lt;0),$G816,TRUE,)</f>
        <v/>
      </c>
    </row>
    <row r="817">
      <c r="A817" s="184">
        <v>43012.0</v>
      </c>
      <c r="B817" s="229" t="s">
        <v>292</v>
      </c>
      <c r="C817" s="230" t="s">
        <v>297</v>
      </c>
      <c r="D817" s="231" t="s">
        <v>414</v>
      </c>
      <c r="E817" s="231">
        <v>16.0</v>
      </c>
      <c r="F817" s="232">
        <v>55.01</v>
      </c>
      <c r="G817" s="233">
        <v>-880.09</v>
      </c>
      <c r="H817" s="230" t="s">
        <v>1173</v>
      </c>
      <c r="I817" s="235" t="str">
        <f t="array" ref="I817">IFS(AND($B817&lt;&gt;"",$E817&lt;&gt;""),IF(INDEX(HistoricSummary!D:D,MATCH($C817,HistoricSummary!$A:$A,0),1)&lt;&gt;"",$E817*INDEX(HistoricSummary!D:D,MATCH($C817,HistoricSummary!$A:$A,0),1)+$G817,""),AND($B817&lt;&gt;"",$D817="COST",$G817&lt;0),$G817,TRUE,)</f>
        <v/>
      </c>
      <c r="J817" s="235" t="str">
        <f t="array" ref="J817">IFS(AND($B817&lt;&gt;"",$E817&lt;&gt;""),IF(INDEX(HistoricSummary!E:E,MATCH($C817,HistoricSummary!$A:$A,0),1)&lt;&gt;"",$E817*INDEX(HistoricSummary!E:E,MATCH($C817,HistoricSummary!$A:$A,0),1)+$G817,""),AND($B817&lt;&gt;"",$D817="COST",$G817&lt;0),$G817,TRUE,)</f>
        <v/>
      </c>
    </row>
    <row r="818">
      <c r="A818" s="184">
        <v>43011.0</v>
      </c>
      <c r="B818" s="229" t="s">
        <v>298</v>
      </c>
      <c r="C818" s="230" t="s">
        <v>301</v>
      </c>
      <c r="D818" s="231" t="s">
        <v>475</v>
      </c>
      <c r="E818" s="231"/>
      <c r="F818" s="232"/>
      <c r="G818" s="233">
        <v>-54.04</v>
      </c>
      <c r="H818" s="230" t="s">
        <v>1174</v>
      </c>
      <c r="I818" s="235" t="str">
        <f t="array" ref="I818">IFS(AND($B818&lt;&gt;"",$E818&lt;&gt;""),IF(INDEX(HistoricSummary!D:D,MATCH($C818,HistoricSummary!$A:$A,0),1)&lt;&gt;"",$E818*INDEX(HistoricSummary!D:D,MATCH($C818,HistoricSummary!$A:$A,0),1)+$G818,""),AND($B818&lt;&gt;"",$D818="COST",$G818&lt;0),$G818,TRUE,)</f>
        <v/>
      </c>
      <c r="J818" s="235" t="str">
        <f t="array" ref="J818">IFS(AND($B818&lt;&gt;"",$E818&lt;&gt;""),IF(INDEX(HistoricSummary!E:E,MATCH($C818,HistoricSummary!$A:$A,0),1)&lt;&gt;"",$E818*INDEX(HistoricSummary!E:E,MATCH($C818,HistoricSummary!$A:$A,0),1)+$G818,""),AND($B818&lt;&gt;"",$D818="COST",$G818&lt;0),$G818,TRUE,)</f>
        <v/>
      </c>
    </row>
    <row r="819">
      <c r="A819" s="184">
        <v>43010.0</v>
      </c>
      <c r="B819" s="229" t="s">
        <v>298</v>
      </c>
      <c r="C819" s="230" t="s">
        <v>301</v>
      </c>
      <c r="D819" s="231" t="s">
        <v>475</v>
      </c>
      <c r="E819" s="231"/>
      <c r="F819" s="232"/>
      <c r="G819" s="233">
        <v>359.13</v>
      </c>
      <c r="H819" s="230" t="s">
        <v>1175</v>
      </c>
      <c r="I819" s="235" t="str">
        <f t="array" ref="I819">IFS(AND($B819&lt;&gt;"",$E819&lt;&gt;""),IF(INDEX(HistoricSummary!D:D,MATCH($C819,HistoricSummary!$A:$A,0),1)&lt;&gt;"",$E819*INDEX(HistoricSummary!D:D,MATCH($C819,HistoricSummary!$A:$A,0),1)+$G819,""),AND($B819&lt;&gt;"",$D819="COST",$G819&lt;0),$G819,TRUE,)</f>
        <v/>
      </c>
      <c r="J819" s="235" t="str">
        <f t="array" ref="J819">IFS(AND($B819&lt;&gt;"",$E819&lt;&gt;""),IF(INDEX(HistoricSummary!E:E,MATCH($C819,HistoricSummary!$A:$A,0),1)&lt;&gt;"",$E819*INDEX(HistoricSummary!E:E,MATCH($C819,HistoricSummary!$A:$A,0),1)+$G819,""),AND($B819&lt;&gt;"",$D819="COST",$G819&lt;0),$G819,TRUE,)</f>
        <v/>
      </c>
    </row>
    <row r="820">
      <c r="A820" s="184">
        <v>43009.0</v>
      </c>
      <c r="B820" s="164"/>
      <c r="C820" s="245"/>
      <c r="D820" s="244" t="s">
        <v>454</v>
      </c>
      <c r="E820" s="244"/>
      <c r="F820" s="232"/>
      <c r="G820" s="233">
        <v>-2000.0</v>
      </c>
      <c r="H820" s="245" t="s">
        <v>1176</v>
      </c>
      <c r="I820" s="235" t="str">
        <f t="array" ref="I820">IFS(AND($B820&lt;&gt;"",$E820&lt;&gt;""),IF(INDEX(HistoricSummary!D:D,MATCH($C820,HistoricSummary!$A:$A,0),1)&lt;&gt;"",$E820*INDEX(HistoricSummary!D:D,MATCH($C820,HistoricSummary!$A:$A,0),1)+$G820,""),AND($B820&lt;&gt;"",$D820="COST",$G820&lt;0),$G820,TRUE,)</f>
        <v/>
      </c>
      <c r="J820" s="235" t="str">
        <f t="array" ref="J820">IFS(AND($B820&lt;&gt;"",$E820&lt;&gt;""),IF(INDEX(HistoricSummary!E:E,MATCH($C820,HistoricSummary!$A:$A,0),1)&lt;&gt;"",$E820*INDEX(HistoricSummary!E:E,MATCH($C820,HistoricSummary!$A:$A,0),1)+$G820,""),AND($B820&lt;&gt;"",$D820="COST",$G820&lt;0),$G820,TRUE,)</f>
        <v/>
      </c>
    </row>
    <row r="821">
      <c r="A821" s="184">
        <v>43008.0</v>
      </c>
      <c r="B821" s="229"/>
      <c r="C821" s="230"/>
      <c r="D821" s="231" t="s">
        <v>432</v>
      </c>
      <c r="E821" s="231"/>
      <c r="F821" s="232"/>
      <c r="G821" s="233">
        <v>-86.11</v>
      </c>
      <c r="H821" s="230" t="s">
        <v>1177</v>
      </c>
      <c r="I821" s="235" t="str">
        <f t="array" ref="I821">IFS(AND($B821&lt;&gt;"",$E821&lt;&gt;""),IF(INDEX(HistoricSummary!D:D,MATCH($C821,HistoricSummary!$A:$A,0),1)&lt;&gt;"",$E821*INDEX(HistoricSummary!D:D,MATCH($C821,HistoricSummary!$A:$A,0),1)+$G821,""),AND($B821&lt;&gt;"",$D821="COST",$G821&lt;0),$G821,TRUE,)</f>
        <v/>
      </c>
      <c r="J821" s="235" t="str">
        <f t="array" ref="J821">IFS(AND($B821&lt;&gt;"",$E821&lt;&gt;""),IF(INDEX(HistoricSummary!E:E,MATCH($C821,HistoricSummary!$A:$A,0),1)&lt;&gt;"",$E821*INDEX(HistoricSummary!E:E,MATCH($C821,HistoricSummary!$A:$A,0),1)+$G821,""),AND($B821&lt;&gt;"",$D821="COST",$G821&lt;0),$G821,TRUE,)</f>
        <v/>
      </c>
    </row>
    <row r="822">
      <c r="A822" s="184">
        <v>42996.0</v>
      </c>
      <c r="B822" s="229" t="s">
        <v>302</v>
      </c>
      <c r="C822" s="230" t="s">
        <v>303</v>
      </c>
      <c r="D822" s="231" t="s">
        <v>414</v>
      </c>
      <c r="E822" s="231">
        <v>72.0</v>
      </c>
      <c r="F822" s="232">
        <v>39.983</v>
      </c>
      <c r="G822" s="233">
        <v>-2878.78</v>
      </c>
      <c r="H822" s="230" t="s">
        <v>1178</v>
      </c>
      <c r="I822" s="235">
        <f t="array" ref="I822">IFS(AND($B822&lt;&gt;"",$E822&lt;&gt;""),IF(INDEX(HistoricSummary!D:D,MATCH($C822,HistoricSummary!$A:$A,0),1)&lt;&gt;"",$E822*INDEX(HistoricSummary!D:D,MATCH($C822,HistoricSummary!$A:$A,0),1)+$G822,""),AND($B822&lt;&gt;"",$D822="COST",$G822&lt;0),$G822,TRUE,)</f>
        <v>1271.156</v>
      </c>
      <c r="J822" s="235">
        <f t="array" ref="J822">IFS(AND($B822&lt;&gt;"",$E822&lt;&gt;""),IF(INDEX(HistoricSummary!E:E,MATCH($C822,HistoricSummary!$A:$A,0),1)&lt;&gt;"",$E822*INDEX(HistoricSummary!E:E,MATCH($C822,HistoricSummary!$A:$A,0),1)+$G822,""),AND($B822&lt;&gt;"",$D822="COST",$G822&lt;0),$G822,TRUE,)</f>
        <v>939.5368372</v>
      </c>
    </row>
    <row r="823">
      <c r="A823" s="184">
        <v>42993.0</v>
      </c>
      <c r="B823" s="19" t="s">
        <v>298</v>
      </c>
      <c r="C823" s="49" t="s">
        <v>301</v>
      </c>
      <c r="D823" s="50" t="s">
        <v>414</v>
      </c>
      <c r="E823" s="50">
        <v>40.0</v>
      </c>
      <c r="F823" s="232">
        <v>101.03</v>
      </c>
      <c r="G823" s="233">
        <v>-4041.23</v>
      </c>
      <c r="H823" s="49" t="s">
        <v>1179</v>
      </c>
      <c r="I823" s="235" t="str">
        <f t="array" ref="I823">IFS(AND($B823&lt;&gt;"",$E823&lt;&gt;""),IF(INDEX(HistoricSummary!D:D,MATCH($C823,HistoricSummary!$A:$A,0),1)&lt;&gt;"",$E823*INDEX(HistoricSummary!D:D,MATCH($C823,HistoricSummary!$A:$A,0),1)+$G823,""),AND($B823&lt;&gt;"",$D823="COST",$G823&lt;0),$G823,TRUE,)</f>
        <v/>
      </c>
      <c r="J823" s="235" t="str">
        <f t="array" ref="J823">IFS(AND($B823&lt;&gt;"",$E823&lt;&gt;""),IF(INDEX(HistoricSummary!E:E,MATCH($C823,HistoricSummary!$A:$A,0),1)&lt;&gt;"",$E823*INDEX(HistoricSummary!E:E,MATCH($C823,HistoricSummary!$A:$A,0),1)+$G823,""),AND($B823&lt;&gt;"",$D823="COST",$G823&lt;0),$G823,TRUE,)</f>
        <v/>
      </c>
    </row>
    <row r="824">
      <c r="A824" s="184">
        <v>42993.0</v>
      </c>
      <c r="B824" s="19" t="s">
        <v>292</v>
      </c>
      <c r="C824" s="49" t="s">
        <v>297</v>
      </c>
      <c r="D824" s="50" t="s">
        <v>432</v>
      </c>
      <c r="E824" s="50"/>
      <c r="F824" s="232"/>
      <c r="G824" s="233">
        <v>-2.32</v>
      </c>
      <c r="H824" s="49" t="s">
        <v>1180</v>
      </c>
      <c r="I824" s="235">
        <f t="array" ref="I824">IFS(AND($B824&lt;&gt;"",$E824&lt;&gt;""),IF(INDEX(HistoricSummary!D:D,MATCH($C824,HistoricSummary!$A:$A,0),1)&lt;&gt;"",$E824*INDEX(HistoricSummary!D:D,MATCH($C824,HistoricSummary!$A:$A,0),1)+$G824,""),AND($B824&lt;&gt;"",$D824="COST",$G824&lt;0),$G824,TRUE,)</f>
        <v>-2.32</v>
      </c>
      <c r="J824" s="235">
        <f t="array" ref="J824">IFS(AND($B824&lt;&gt;"",$E824&lt;&gt;""),IF(INDEX(HistoricSummary!E:E,MATCH($C824,HistoricSummary!$A:$A,0),1)&lt;&gt;"",$E824*INDEX(HistoricSummary!E:E,MATCH($C824,HistoricSummary!$A:$A,0),1)+$G824,""),AND($B824&lt;&gt;"",$D824="COST",$G824&lt;0),$G824,TRUE,)</f>
        <v>-2.32</v>
      </c>
    </row>
    <row r="825">
      <c r="A825" s="184">
        <v>42993.0</v>
      </c>
      <c r="B825" s="19" t="s">
        <v>292</v>
      </c>
      <c r="C825" s="49" t="s">
        <v>297</v>
      </c>
      <c r="D825" s="50" t="s">
        <v>414</v>
      </c>
      <c r="E825" s="50">
        <v>29.0</v>
      </c>
      <c r="F825" s="232">
        <v>54.53</v>
      </c>
      <c r="G825" s="233">
        <v>-1581.45</v>
      </c>
      <c r="H825" s="49" t="s">
        <v>1181</v>
      </c>
      <c r="I825" s="235" t="str">
        <f t="array" ref="I825">IFS(AND($B825&lt;&gt;"",$E825&lt;&gt;""),IF(INDEX(HistoricSummary!D:D,MATCH($C825,HistoricSummary!$A:$A,0),1)&lt;&gt;"",$E825*INDEX(HistoricSummary!D:D,MATCH($C825,HistoricSummary!$A:$A,0),1)+$G825,""),AND($B825&lt;&gt;"",$D825="COST",$G825&lt;0),$G825,TRUE,)</f>
        <v/>
      </c>
      <c r="J825" s="235" t="str">
        <f t="array" ref="J825">IFS(AND($B825&lt;&gt;"",$E825&lt;&gt;""),IF(INDEX(HistoricSummary!E:E,MATCH($C825,HistoricSummary!$A:$A,0),1)&lt;&gt;"",$E825*INDEX(HistoricSummary!E:E,MATCH($C825,HistoricSummary!$A:$A,0),1)+$G825,""),AND($B825&lt;&gt;"",$D825="COST",$G825&lt;0),$G825,TRUE,)</f>
        <v/>
      </c>
    </row>
    <row r="826">
      <c r="A826" s="184">
        <v>42993.0</v>
      </c>
      <c r="C826" s="57"/>
      <c r="D826" s="50" t="s">
        <v>454</v>
      </c>
      <c r="E826" s="50"/>
      <c r="F826" s="232"/>
      <c r="G826" s="233">
        <v>8500.0</v>
      </c>
      <c r="H826" s="49" t="s">
        <v>1182</v>
      </c>
      <c r="I826" s="235" t="str">
        <f t="array" ref="I826">IFS(AND($B826&lt;&gt;"",$E826&lt;&gt;""),IF(INDEX(HistoricSummary!D:D,MATCH($C826,HistoricSummary!$A:$A,0),1)&lt;&gt;"",$E826*INDEX(HistoricSummary!D:D,MATCH($C826,HistoricSummary!$A:$A,0),1)+$G826,""),AND($B826&lt;&gt;"",$D826="COST",$G826&lt;0),$G826,TRUE,)</f>
        <v/>
      </c>
      <c r="J826" s="235" t="str">
        <f t="array" ref="J826">IFS(AND($B826&lt;&gt;"",$E826&lt;&gt;""),IF(INDEX(HistoricSummary!E:E,MATCH($C826,HistoricSummary!$A:$A,0),1)&lt;&gt;"",$E826*INDEX(HistoricSummary!E:E,MATCH($C826,HistoricSummary!$A:$A,0),1)+$G826,""),AND($B826&lt;&gt;"",$D826="COST",$G826&lt;0),$G826,TRUE,)</f>
        <v/>
      </c>
    </row>
    <row r="827">
      <c r="A827" s="184">
        <v>42992.0</v>
      </c>
      <c r="C827" s="57"/>
      <c r="D827" s="58" t="s">
        <v>454</v>
      </c>
      <c r="E827" s="50" t="s">
        <v>1183</v>
      </c>
      <c r="F827" s="232" t="s">
        <v>1183</v>
      </c>
      <c r="G827" s="233">
        <v>-30.0</v>
      </c>
      <c r="H827" s="57" t="s">
        <v>1184</v>
      </c>
      <c r="I827" s="235" t="str">
        <f t="array" ref="I827">IFS(AND($B827&lt;&gt;"",$E827&lt;&gt;""),IF(INDEX(HistoricSummary!D:D,MATCH($C827,HistoricSummary!$A:$A,0),1)&lt;&gt;"",$E827*INDEX(HistoricSummary!D:D,MATCH($C827,HistoricSummary!$A:$A,0),1)+$G827,""),AND($B827&lt;&gt;"",$D827="COST",$G827&lt;0),$G827,TRUE,)</f>
        <v/>
      </c>
      <c r="J827" s="235" t="str">
        <f t="array" ref="J827">IFS(AND($B827&lt;&gt;"",$E827&lt;&gt;""),IF(INDEX(HistoricSummary!E:E,MATCH($C827,HistoricSummary!$A:$A,0),1)&lt;&gt;"",$E827*INDEX(HistoricSummary!E:E,MATCH($C827,HistoricSummary!$A:$A,0),1)+$G827,""),AND($B827&lt;&gt;"",$D827="COST",$G827&lt;0),$G827,TRUE,)</f>
        <v/>
      </c>
    </row>
    <row r="828">
      <c r="A828" s="184">
        <v>42986.0</v>
      </c>
      <c r="B828" s="229" t="s">
        <v>292</v>
      </c>
      <c r="C828" s="230" t="s">
        <v>297</v>
      </c>
      <c r="D828" s="231" t="s">
        <v>475</v>
      </c>
      <c r="E828" s="231"/>
      <c r="F828" s="232"/>
      <c r="G828" s="233">
        <v>23.49</v>
      </c>
      <c r="H828" s="230" t="s">
        <v>1185</v>
      </c>
      <c r="I828" s="235" t="str">
        <f t="array" ref="I828">IFS(AND($B828&lt;&gt;"",$E828&lt;&gt;""),IF(INDEX(HistoricSummary!D:D,MATCH($C828,HistoricSummary!$A:$A,0),1)&lt;&gt;"",$E828*INDEX(HistoricSummary!D:D,MATCH($C828,HistoricSummary!$A:$A,0),1)+$G828,""),AND($B828&lt;&gt;"",$D828="COST",$G828&lt;0),$G828,TRUE,)</f>
        <v/>
      </c>
      <c r="J828" s="235" t="str">
        <f t="array" ref="J828">IFS(AND($B828&lt;&gt;"",$E828&lt;&gt;""),IF(INDEX(HistoricSummary!E:E,MATCH($C828,HistoricSummary!$A:$A,0),1)&lt;&gt;"",$E828*INDEX(HistoricSummary!E:E,MATCH($C828,HistoricSummary!$A:$A,0),1)+$G828,""),AND($B828&lt;&gt;"",$D828="COST",$G828&lt;0),$G828,TRUE,)</f>
        <v/>
      </c>
    </row>
    <row r="829">
      <c r="A829" s="184">
        <v>42986.0</v>
      </c>
      <c r="B829" s="229" t="s">
        <v>292</v>
      </c>
      <c r="C829" s="230" t="s">
        <v>297</v>
      </c>
      <c r="D829" s="231" t="s">
        <v>475</v>
      </c>
      <c r="E829" s="231"/>
      <c r="F829" s="232"/>
      <c r="G829" s="233">
        <v>-4.0</v>
      </c>
      <c r="H829" s="230" t="s">
        <v>1186</v>
      </c>
      <c r="I829" s="235" t="str">
        <f t="array" ref="I829">IFS(AND($B829&lt;&gt;"",$E829&lt;&gt;""),IF(INDEX(HistoricSummary!D:D,MATCH($C829,HistoricSummary!$A:$A,0),1)&lt;&gt;"",$E829*INDEX(HistoricSummary!D:D,MATCH($C829,HistoricSummary!$A:$A,0),1)+$G829,""),AND($B829&lt;&gt;"",$D829="COST",$G829&lt;0),$G829,TRUE,)</f>
        <v/>
      </c>
      <c r="J829" s="235" t="str">
        <f t="array" ref="J829">IFS(AND($B829&lt;&gt;"",$E829&lt;&gt;""),IF(INDEX(HistoricSummary!E:E,MATCH($C829,HistoricSummary!$A:$A,0),1)&lt;&gt;"",$E829*INDEX(HistoricSummary!E:E,MATCH($C829,HistoricSummary!$A:$A,0),1)+$G829,""),AND($B829&lt;&gt;"",$D829="COST",$G829&lt;0),$G829,TRUE,)</f>
        <v/>
      </c>
    </row>
    <row r="830">
      <c r="A830" s="184">
        <v>42979.0</v>
      </c>
      <c r="B830" s="229" t="s">
        <v>298</v>
      </c>
      <c r="C830" s="230" t="s">
        <v>301</v>
      </c>
      <c r="D830" s="231" t="s">
        <v>414</v>
      </c>
      <c r="E830" s="231">
        <v>23.0</v>
      </c>
      <c r="F830" s="232">
        <v>101.207</v>
      </c>
      <c r="G830" s="233">
        <v>-2327.77</v>
      </c>
      <c r="H830" s="230" t="s">
        <v>1187</v>
      </c>
      <c r="I830" s="235" t="str">
        <f t="array" ref="I830">IFS(AND($B830&lt;&gt;"",$E830&lt;&gt;""),IF(INDEX(HistoricSummary!D:D,MATCH($C830,HistoricSummary!$A:$A,0),1)&lt;&gt;"",$E830*INDEX(HistoricSummary!D:D,MATCH($C830,HistoricSummary!$A:$A,0),1)+$G830,""),AND($B830&lt;&gt;"",$D830="COST",$G830&lt;0),$G830,TRUE,)</f>
        <v/>
      </c>
      <c r="J830" s="235" t="str">
        <f t="array" ref="J830">IFS(AND($B830&lt;&gt;"",$E830&lt;&gt;""),IF(INDEX(HistoricSummary!E:E,MATCH($C830,HistoricSummary!$A:$A,0),1)&lt;&gt;"",$E830*INDEX(HistoricSummary!E:E,MATCH($C830,HistoricSummary!$A:$A,0),1)+$G830,""),AND($B830&lt;&gt;"",$D830="COST",$G830&lt;0),$G830,TRUE,)</f>
        <v/>
      </c>
    </row>
    <row r="831">
      <c r="A831" s="184">
        <v>42979.0</v>
      </c>
      <c r="B831" s="229" t="s">
        <v>302</v>
      </c>
      <c r="C831" s="230" t="s">
        <v>303</v>
      </c>
      <c r="D831" s="231" t="s">
        <v>414</v>
      </c>
      <c r="E831" s="231">
        <v>57.0</v>
      </c>
      <c r="F831" s="232">
        <v>39.711</v>
      </c>
      <c r="G831" s="233">
        <v>-2263.53</v>
      </c>
      <c r="H831" s="230" t="s">
        <v>1188</v>
      </c>
      <c r="I831" s="235">
        <f t="array" ref="I831">IFS(AND($B831&lt;&gt;"",$E831&lt;&gt;""),IF(INDEX(HistoricSummary!D:D,MATCH($C831,HistoricSummary!$A:$A,0),1)&lt;&gt;"",$E831*INDEX(HistoricSummary!D:D,MATCH($C831,HistoricSummary!$A:$A,0),1)+$G831,""),AND($B831&lt;&gt;"",$D831="COST",$G831&lt;0),$G831,TRUE,)</f>
        <v>1021.836</v>
      </c>
      <c r="J831" s="235">
        <f t="array" ref="J831">IFS(AND($B831&lt;&gt;"",$E831&lt;&gt;""),IF(INDEX(HistoricSummary!E:E,MATCH($C831,HistoricSummary!$A:$A,0),1)&lt;&gt;"",$E831*INDEX(HistoricSummary!E:E,MATCH($C831,HistoricSummary!$A:$A,0),1)+$G831,""),AND($B831&lt;&gt;"",$D831="COST",$G831&lt;0),$G831,TRUE,)</f>
        <v>759.3041628</v>
      </c>
    </row>
    <row r="832">
      <c r="A832" s="184">
        <v>42979.0</v>
      </c>
      <c r="B832" s="229" t="s">
        <v>292</v>
      </c>
      <c r="C832" s="230" t="s">
        <v>297</v>
      </c>
      <c r="D832" s="231" t="s">
        <v>432</v>
      </c>
      <c r="E832" s="231"/>
      <c r="F832" s="232"/>
      <c r="G832" s="233">
        <v>-0.8</v>
      </c>
      <c r="H832" s="230" t="s">
        <v>1189</v>
      </c>
      <c r="I832" s="235">
        <f t="array" ref="I832">IFS(AND($B832&lt;&gt;"",$E832&lt;&gt;""),IF(INDEX(HistoricSummary!D:D,MATCH($C832,HistoricSummary!$A:$A,0),1)&lt;&gt;"",$E832*INDEX(HistoricSummary!D:D,MATCH($C832,HistoricSummary!$A:$A,0),1)+$G832,""),AND($B832&lt;&gt;"",$D832="COST",$G832&lt;0),$G832,TRUE,)</f>
        <v>-0.8</v>
      </c>
      <c r="J832" s="235">
        <f t="array" ref="J832">IFS(AND($B832&lt;&gt;"",$E832&lt;&gt;""),IF(INDEX(HistoricSummary!E:E,MATCH($C832,HistoricSummary!$A:$A,0),1)&lt;&gt;"",$E832*INDEX(HistoricSummary!E:E,MATCH($C832,HistoricSummary!$A:$A,0),1)+$G832,""),AND($B832&lt;&gt;"",$D832="COST",$G832&lt;0),$G832,TRUE,)</f>
        <v>-0.8</v>
      </c>
    </row>
    <row r="833">
      <c r="A833" s="184">
        <v>42979.0</v>
      </c>
      <c r="B833" s="229" t="s">
        <v>292</v>
      </c>
      <c r="C833" s="230" t="s">
        <v>297</v>
      </c>
      <c r="D833" s="231" t="s">
        <v>414</v>
      </c>
      <c r="E833" s="231">
        <v>21.0</v>
      </c>
      <c r="F833" s="232">
        <v>54.896</v>
      </c>
      <c r="G833" s="233">
        <v>-1152.82</v>
      </c>
      <c r="H833" s="230" t="s">
        <v>1190</v>
      </c>
      <c r="I833" s="235" t="str">
        <f t="array" ref="I833">IFS(AND($B833&lt;&gt;"",$E833&lt;&gt;""),IF(INDEX(HistoricSummary!D:D,MATCH($C833,HistoricSummary!$A:$A,0),1)&lt;&gt;"",$E833*INDEX(HistoricSummary!D:D,MATCH($C833,HistoricSummary!$A:$A,0),1)+$G833,""),AND($B833&lt;&gt;"",$D833="COST",$G833&lt;0),$G833,TRUE,)</f>
        <v/>
      </c>
      <c r="J833" s="235" t="str">
        <f t="array" ref="J833">IFS(AND($B833&lt;&gt;"",$E833&lt;&gt;""),IF(INDEX(HistoricSummary!E:E,MATCH($C833,HistoricSummary!$A:$A,0),1)&lt;&gt;"",$E833*INDEX(HistoricSummary!E:E,MATCH($C833,HistoricSummary!$A:$A,0),1)+$G833,""),AND($B833&lt;&gt;"",$D833="COST",$G833&lt;0),$G833,TRUE,)</f>
        <v/>
      </c>
    </row>
    <row r="834">
      <c r="A834" s="184">
        <v>42979.0</v>
      </c>
      <c r="B834" s="229" t="s">
        <v>283</v>
      </c>
      <c r="C834" s="230" t="s">
        <v>286</v>
      </c>
      <c r="D834" s="231" t="s">
        <v>414</v>
      </c>
      <c r="E834" s="231">
        <v>83.0</v>
      </c>
      <c r="F834" s="232">
        <v>7.215</v>
      </c>
      <c r="G834" s="233">
        <v>-598.84</v>
      </c>
      <c r="H834" s="230" t="s">
        <v>1191</v>
      </c>
      <c r="I834" s="235">
        <f t="array" ref="I834">IFS(AND($B834&lt;&gt;"",$E834&lt;&gt;""),IF(INDEX(HistoricSummary!D:D,MATCH($C834,HistoricSummary!$A:$A,0),1)&lt;&gt;"",$E834*INDEX(HistoricSummary!D:D,MATCH($C834,HistoricSummary!$A:$A,0),1)+$G834,""),AND($B834&lt;&gt;"",$D834="COST",$G834&lt;0),$G834,TRUE,)</f>
        <v>-59.921</v>
      </c>
      <c r="J834" s="235">
        <f t="array" ref="J834">IFS(AND($B834&lt;&gt;"",$E834&lt;&gt;""),IF(INDEX(HistoricSummary!E:E,MATCH($C834,HistoricSummary!$A:$A,0),1)&lt;&gt;"",$E834*INDEX(HistoricSummary!E:E,MATCH($C834,HistoricSummary!$A:$A,0),1)+$G834,""),AND($B834&lt;&gt;"",$D834="COST",$G834&lt;0),$G834,TRUE,)</f>
        <v>-63.37225581</v>
      </c>
    </row>
    <row r="835">
      <c r="A835" s="184">
        <v>42979.0</v>
      </c>
      <c r="B835" s="229" t="s">
        <v>288</v>
      </c>
      <c r="C835" s="230" t="s">
        <v>291</v>
      </c>
      <c r="D835" s="231" t="s">
        <v>414</v>
      </c>
      <c r="E835" s="231">
        <v>26.0</v>
      </c>
      <c r="F835" s="232">
        <v>10.705</v>
      </c>
      <c r="G835" s="233">
        <v>-278.32</v>
      </c>
      <c r="H835" s="230" t="s">
        <v>1192</v>
      </c>
      <c r="I835" s="235" t="str">
        <f t="array" ref="I835">IFS(AND($B835&lt;&gt;"",$E835&lt;&gt;""),IF(INDEX(HistoricSummary!D:D,MATCH($C835,HistoricSummary!$A:$A,0),1)&lt;&gt;"",$E835*INDEX(HistoricSummary!D:D,MATCH($C835,HistoricSummary!$A:$A,0),1)+$G835,""),AND($B835&lt;&gt;"",$D835="COST",$G835&lt;0),$G835,TRUE,)</f>
        <v/>
      </c>
      <c r="J835" s="235" t="str">
        <f t="array" ref="J835">IFS(AND($B835&lt;&gt;"",$E835&lt;&gt;""),IF(INDEX(HistoricSummary!E:E,MATCH($C835,HistoricSummary!$A:$A,0),1)&lt;&gt;"",$E835*INDEX(HistoricSummary!E:E,MATCH($C835,HistoricSummary!$A:$A,0),1)+$G835,""),AND($B835&lt;&gt;"",$D835="COST",$G835&lt;0),$G835,TRUE,)</f>
        <v/>
      </c>
    </row>
    <row r="836">
      <c r="A836" s="184">
        <v>42978.0</v>
      </c>
      <c r="B836" s="229"/>
      <c r="C836" s="230"/>
      <c r="D836" s="231" t="s">
        <v>432</v>
      </c>
      <c r="E836" s="231"/>
      <c r="F836" s="232"/>
      <c r="G836" s="233">
        <v>-78.9</v>
      </c>
      <c r="H836" s="230" t="s">
        <v>1193</v>
      </c>
      <c r="I836" s="235" t="str">
        <f t="array" ref="I836">IFS(AND($B836&lt;&gt;"",$E836&lt;&gt;""),IF(INDEX(HistoricSummary!D:D,MATCH($C836,HistoricSummary!$A:$A,0),1)&lt;&gt;"",$E836*INDEX(HistoricSummary!D:D,MATCH($C836,HistoricSummary!$A:$A,0),1)+$G836,""),AND($B836&lt;&gt;"",$D836="COST",$G836&lt;0),$G836,TRUE,)</f>
        <v/>
      </c>
      <c r="J836" s="235" t="str">
        <f t="array" ref="J836">IFS(AND($B836&lt;&gt;"",$E836&lt;&gt;""),IF(INDEX(HistoricSummary!E:E,MATCH($C836,HistoricSummary!$A:$A,0),1)&lt;&gt;"",$E836*INDEX(HistoricSummary!E:E,MATCH($C836,HistoricSummary!$A:$A,0),1)+$G836,""),AND($B836&lt;&gt;"",$D836="COST",$G836&lt;0),$G836,TRUE,)</f>
        <v/>
      </c>
    </row>
    <row r="837">
      <c r="A837" s="184">
        <v>42955.0</v>
      </c>
      <c r="B837" s="229" t="s">
        <v>292</v>
      </c>
      <c r="C837" s="230" t="s">
        <v>297</v>
      </c>
      <c r="D837" s="231" t="s">
        <v>475</v>
      </c>
      <c r="E837" s="231"/>
      <c r="F837" s="232"/>
      <c r="G837" s="233">
        <v>-3.14</v>
      </c>
      <c r="H837" s="230" t="s">
        <v>1194</v>
      </c>
      <c r="I837" s="235" t="str">
        <f t="array" ref="I837">IFS(AND($B837&lt;&gt;"",$E837&lt;&gt;""),IF(INDEX(HistoricSummary!D:D,MATCH($C837,HistoricSummary!$A:$A,0),1)&lt;&gt;"",$E837*INDEX(HistoricSummary!D:D,MATCH($C837,HistoricSummary!$A:$A,0),1)+$G837,""),AND($B837&lt;&gt;"",$D837="COST",$G837&lt;0),$G837,TRUE,)</f>
        <v/>
      </c>
      <c r="J837" s="235" t="str">
        <f t="array" ref="J837">IFS(AND($B837&lt;&gt;"",$E837&lt;&gt;""),IF(INDEX(HistoricSummary!E:E,MATCH($C837,HistoricSummary!$A:$A,0),1)&lt;&gt;"",$E837*INDEX(HistoricSummary!E:E,MATCH($C837,HistoricSummary!$A:$A,0),1)+$G837,""),AND($B837&lt;&gt;"",$D837="COST",$G837&lt;0),$G837,TRUE,)</f>
        <v/>
      </c>
    </row>
    <row r="838">
      <c r="A838" s="184">
        <v>42954.0</v>
      </c>
      <c r="B838" s="229" t="s">
        <v>292</v>
      </c>
      <c r="C838" s="230" t="s">
        <v>297</v>
      </c>
      <c r="D838" s="231" t="s">
        <v>475</v>
      </c>
      <c r="E838" s="231"/>
      <c r="F838" s="232"/>
      <c r="G838" s="233">
        <v>20.91</v>
      </c>
      <c r="H838" s="230" t="s">
        <v>1195</v>
      </c>
      <c r="I838" s="235" t="str">
        <f t="array" ref="I838">IFS(AND($B838&lt;&gt;"",$E838&lt;&gt;""),IF(INDEX(HistoricSummary!D:D,MATCH($C838,HistoricSummary!$A:$A,0),1)&lt;&gt;"",$E838*INDEX(HistoricSummary!D:D,MATCH($C838,HistoricSummary!$A:$A,0),1)+$G838,""),AND($B838&lt;&gt;"",$D838="COST",$G838&lt;0),$G838,TRUE,)</f>
        <v/>
      </c>
      <c r="J838" s="235" t="str">
        <f t="array" ref="J838">IFS(AND($B838&lt;&gt;"",$E838&lt;&gt;""),IF(INDEX(HistoricSummary!E:E,MATCH($C838,HistoricSummary!$A:$A,0),1)&lt;&gt;"",$E838*INDEX(HistoricSummary!E:E,MATCH($C838,HistoricSummary!$A:$A,0),1)+$G838,""),AND($B838&lt;&gt;"",$D838="COST",$G838&lt;0),$G838,TRUE,)</f>
        <v/>
      </c>
    </row>
    <row r="839">
      <c r="A839" s="184">
        <v>42950.0</v>
      </c>
      <c r="B839" s="19" t="s">
        <v>283</v>
      </c>
      <c r="C839" s="49" t="s">
        <v>286</v>
      </c>
      <c r="D839" s="19" t="s">
        <v>414</v>
      </c>
      <c r="E839" s="19">
        <v>67.0</v>
      </c>
      <c r="F839" s="232">
        <v>7.1</v>
      </c>
      <c r="G839" s="233">
        <v>-475.7</v>
      </c>
      <c r="H839" s="234" t="s">
        <v>1196</v>
      </c>
      <c r="I839" s="235">
        <f t="array" ref="I839">IFS(AND($B839&lt;&gt;"",$E839&lt;&gt;""),IF(INDEX(HistoricSummary!D:D,MATCH($C839,HistoricSummary!$A:$A,0),1)&lt;&gt;"",$E839*INDEX(HistoricSummary!D:D,MATCH($C839,HistoricSummary!$A:$A,0),1)+$G839,""),AND($B839&lt;&gt;"",$D839="COST",$G839&lt;0),$G839,TRUE,)</f>
        <v>-40.669</v>
      </c>
      <c r="J839" s="235">
        <f t="array" ref="J839">IFS(AND($B839&lt;&gt;"",$E839&lt;&gt;""),IF(INDEX(HistoricSummary!E:E,MATCH($C839,HistoricSummary!$A:$A,0),1)&lt;&gt;"",$E839*INDEX(HistoricSummary!E:E,MATCH($C839,HistoricSummary!$A:$A,0),1)+$G839,""),AND($B839&lt;&gt;"",$D839="COST",$G839&lt;0),$G839,TRUE,)</f>
        <v>-43.45495349</v>
      </c>
    </row>
    <row r="840">
      <c r="A840" s="184">
        <v>42950.0</v>
      </c>
      <c r="B840" s="19" t="s">
        <v>302</v>
      </c>
      <c r="C840" s="49" t="s">
        <v>303</v>
      </c>
      <c r="D840" s="19" t="s">
        <v>414</v>
      </c>
      <c r="E840" s="19">
        <v>45.0</v>
      </c>
      <c r="F840" s="232">
        <v>39.632</v>
      </c>
      <c r="G840" s="233">
        <v>-1783.44</v>
      </c>
      <c r="H840" s="234" t="s">
        <v>1197</v>
      </c>
      <c r="I840" s="235">
        <f t="array" ref="I840">IFS(AND($B840&lt;&gt;"",$E840&lt;&gt;""),IF(INDEX(HistoricSummary!D:D,MATCH($C840,HistoricSummary!$A:$A,0),1)&lt;&gt;"",$E840*INDEX(HistoricSummary!D:D,MATCH($C840,HistoricSummary!$A:$A,0),1)+$G840,""),AND($B840&lt;&gt;"",$D840="COST",$G840&lt;0),$G840,TRUE,)</f>
        <v>810.27</v>
      </c>
      <c r="J840" s="235">
        <f t="array" ref="J840">IFS(AND($B840&lt;&gt;"",$E840&lt;&gt;""),IF(INDEX(HistoricSummary!E:E,MATCH($C840,HistoricSummary!$A:$A,0),1)&lt;&gt;"",$E840*INDEX(HistoricSummary!E:E,MATCH($C840,HistoricSummary!$A:$A,0),1)+$G840,""),AND($B840&lt;&gt;"",$D840="COST",$G840&lt;0),$G840,TRUE,)</f>
        <v>603.0080233</v>
      </c>
    </row>
    <row r="841">
      <c r="A841" s="184">
        <v>42949.0</v>
      </c>
      <c r="B841" s="229" t="s">
        <v>292</v>
      </c>
      <c r="C841" s="230" t="s">
        <v>297</v>
      </c>
      <c r="D841" s="231" t="s">
        <v>432</v>
      </c>
      <c r="E841" s="231"/>
      <c r="F841" s="232"/>
      <c r="G841" s="233">
        <v>-0.8</v>
      </c>
      <c r="H841" s="246" t="s">
        <v>1189</v>
      </c>
      <c r="I841" s="235">
        <f t="array" ref="I841">IFS(AND($B841&lt;&gt;"",$E841&lt;&gt;""),IF(INDEX(HistoricSummary!D:D,MATCH($C841,HistoricSummary!$A:$A,0),1)&lt;&gt;"",$E841*INDEX(HistoricSummary!D:D,MATCH($C841,HistoricSummary!$A:$A,0),1)+$G841,""),AND($B841&lt;&gt;"",$D841="COST",$G841&lt;0),$G841,TRUE,)</f>
        <v>-0.8</v>
      </c>
      <c r="J841" s="235">
        <f t="array" ref="J841">IFS(AND($B841&lt;&gt;"",$E841&lt;&gt;""),IF(INDEX(HistoricSummary!E:E,MATCH($C841,HistoricSummary!$A:$A,0),1)&lt;&gt;"",$E841*INDEX(HistoricSummary!E:E,MATCH($C841,HistoricSummary!$A:$A,0),1)+$G841,""),AND($B841&lt;&gt;"",$D841="COST",$G841&lt;0),$G841,TRUE,)</f>
        <v>-0.8</v>
      </c>
    </row>
    <row r="842">
      <c r="A842" s="184">
        <v>42949.0</v>
      </c>
      <c r="B842" s="19" t="s">
        <v>298</v>
      </c>
      <c r="C842" s="49" t="s">
        <v>301</v>
      </c>
      <c r="D842" s="19" t="s">
        <v>414</v>
      </c>
      <c r="E842" s="19">
        <v>31.0</v>
      </c>
      <c r="F842" s="232">
        <v>99.369</v>
      </c>
      <c r="G842" s="233">
        <v>-3080.45</v>
      </c>
      <c r="H842" s="234" t="s">
        <v>1198</v>
      </c>
      <c r="I842" s="235" t="str">
        <f t="array" ref="I842">IFS(AND($B842&lt;&gt;"",$E842&lt;&gt;""),IF(INDEX(HistoricSummary!D:D,MATCH($C842,HistoricSummary!$A:$A,0),1)&lt;&gt;"",$E842*INDEX(HistoricSummary!D:D,MATCH($C842,HistoricSummary!$A:$A,0),1)+$G842,""),AND($B842&lt;&gt;"",$D842="COST",$G842&lt;0),$G842,TRUE,)</f>
        <v/>
      </c>
      <c r="J842" s="235" t="str">
        <f t="array" ref="J842">IFS(AND($B842&lt;&gt;"",$E842&lt;&gt;""),IF(INDEX(HistoricSummary!E:E,MATCH($C842,HistoricSummary!$A:$A,0),1)&lt;&gt;"",$E842*INDEX(HistoricSummary!E:E,MATCH($C842,HistoricSummary!$A:$A,0),1)+$G842,""),AND($B842&lt;&gt;"",$D842="COST",$G842&lt;0),$G842,TRUE,)</f>
        <v/>
      </c>
    </row>
    <row r="843">
      <c r="A843" s="184">
        <v>42949.0</v>
      </c>
      <c r="B843" s="19" t="s">
        <v>292</v>
      </c>
      <c r="C843" s="49" t="s">
        <v>297</v>
      </c>
      <c r="D843" s="19" t="s">
        <v>414</v>
      </c>
      <c r="E843" s="19">
        <v>21.0</v>
      </c>
      <c r="F843" s="232">
        <v>54.704</v>
      </c>
      <c r="G843" s="233">
        <v>-1148.78</v>
      </c>
      <c r="H843" s="234" t="s">
        <v>1199</v>
      </c>
      <c r="I843" s="235" t="str">
        <f t="array" ref="I843">IFS(AND($B843&lt;&gt;"",$E843&lt;&gt;""),IF(INDEX(HistoricSummary!D:D,MATCH($C843,HistoricSummary!$A:$A,0),1)&lt;&gt;"",$E843*INDEX(HistoricSummary!D:D,MATCH($C843,HistoricSummary!$A:$A,0),1)+$G843,""),AND($B843&lt;&gt;"",$D843="COST",$G843&lt;0),$G843,TRUE,)</f>
        <v/>
      </c>
      <c r="J843" s="235" t="str">
        <f t="array" ref="J843">IFS(AND($B843&lt;&gt;"",$E843&lt;&gt;""),IF(INDEX(HistoricSummary!E:E,MATCH($C843,HistoricSummary!$A:$A,0),1)&lt;&gt;"",$E843*INDEX(HistoricSummary!E:E,MATCH($C843,HistoricSummary!$A:$A,0),1)+$G843,""),AND($B843&lt;&gt;"",$D843="COST",$G843&lt;0),$G843,TRUE,)</f>
        <v/>
      </c>
    </row>
    <row r="844">
      <c r="A844" s="184">
        <v>42949.0</v>
      </c>
      <c r="B844" s="19" t="s">
        <v>288</v>
      </c>
      <c r="C844" s="49" t="s">
        <v>291</v>
      </c>
      <c r="D844" s="19" t="s">
        <v>414</v>
      </c>
      <c r="E844" s="19">
        <v>41.0</v>
      </c>
      <c r="F844" s="232">
        <v>10.317</v>
      </c>
      <c r="G844" s="233">
        <v>-422.98</v>
      </c>
      <c r="H844" s="234" t="s">
        <v>1200</v>
      </c>
      <c r="I844" s="235" t="str">
        <f t="array" ref="I844">IFS(AND($B844&lt;&gt;"",$E844&lt;&gt;""),IF(INDEX(HistoricSummary!D:D,MATCH($C844,HistoricSummary!$A:$A,0),1)&lt;&gt;"",$E844*INDEX(HistoricSummary!D:D,MATCH($C844,HistoricSummary!$A:$A,0),1)+$G844,""),AND($B844&lt;&gt;"",$D844="COST",$G844&lt;0),$G844,TRUE,)</f>
        <v/>
      </c>
      <c r="J844" s="235" t="str">
        <f t="array" ref="J844">IFS(AND($B844&lt;&gt;"",$E844&lt;&gt;""),IF(INDEX(HistoricSummary!E:E,MATCH($C844,HistoricSummary!$A:$A,0),1)&lt;&gt;"",$E844*INDEX(HistoricSummary!E:E,MATCH($C844,HistoricSummary!$A:$A,0),1)+$G844,""),AND($B844&lt;&gt;"",$D844="COST",$G844&lt;0),$G844,TRUE,)</f>
        <v/>
      </c>
    </row>
    <row r="845">
      <c r="A845" s="184">
        <v>42947.0</v>
      </c>
      <c r="B845" s="229"/>
      <c r="C845" s="230"/>
      <c r="D845" s="231" t="s">
        <v>432</v>
      </c>
      <c r="E845" s="231"/>
      <c r="F845" s="232"/>
      <c r="G845" s="233">
        <v>-5.0</v>
      </c>
      <c r="H845" s="230" t="s">
        <v>610</v>
      </c>
      <c r="I845" s="235" t="str">
        <f t="array" ref="I845">IFS(AND($B845&lt;&gt;"",$E845&lt;&gt;""),IF(INDEX(HistoricSummary!D:D,MATCH($C845,HistoricSummary!$A:$A,0),1)&lt;&gt;"",$E845*INDEX(HistoricSummary!D:D,MATCH($C845,HistoricSummary!$A:$A,0),1)+$G845,""),AND($B845&lt;&gt;"",$D845="COST",$G845&lt;0),$G845,TRUE,)</f>
        <v/>
      </c>
      <c r="J845" s="235" t="str">
        <f t="array" ref="J845">IFS(AND($B845&lt;&gt;"",$E845&lt;&gt;""),IF(INDEX(HistoricSummary!E:E,MATCH($C845,HistoricSummary!$A:$A,0),1)&lt;&gt;"",$E845*INDEX(HistoricSummary!E:E,MATCH($C845,HistoricSummary!$A:$A,0),1)+$G845,""),AND($B845&lt;&gt;"",$D845="COST",$G845&lt;0),$G845,TRUE,)</f>
        <v/>
      </c>
    </row>
    <row r="846">
      <c r="A846" s="184">
        <v>42947.0</v>
      </c>
      <c r="B846" s="229"/>
      <c r="C846" s="230"/>
      <c r="D846" s="231" t="s">
        <v>432</v>
      </c>
      <c r="E846" s="231"/>
      <c r="F846" s="232"/>
      <c r="G846" s="233">
        <v>-66.68</v>
      </c>
      <c r="H846" s="246" t="s">
        <v>1201</v>
      </c>
      <c r="I846" s="235" t="str">
        <f t="array" ref="I846">IFS(AND($B846&lt;&gt;"",$E846&lt;&gt;""),IF(INDEX(HistoricSummary!D:D,MATCH($C846,HistoricSummary!$A:$A,0),1)&lt;&gt;"",$E846*INDEX(HistoricSummary!D:D,MATCH($C846,HistoricSummary!$A:$A,0),1)+$G846,""),AND($B846&lt;&gt;"",$D846="COST",$G846&lt;0),$G846,TRUE,)</f>
        <v/>
      </c>
      <c r="J846" s="235" t="str">
        <f t="array" ref="J846">IFS(AND($B846&lt;&gt;"",$E846&lt;&gt;""),IF(INDEX(HistoricSummary!E:E,MATCH($C846,HistoricSummary!$A:$A,0),1)&lt;&gt;"",$E846*INDEX(HistoricSummary!E:E,MATCH($C846,HistoricSummary!$A:$A,0),1)+$G846,""),AND($B846&lt;&gt;"",$D846="COST",$G846&lt;0),$G846,TRUE,)</f>
        <v/>
      </c>
    </row>
    <row r="847">
      <c r="A847" s="184">
        <v>42927.0</v>
      </c>
      <c r="B847" s="229" t="s">
        <v>292</v>
      </c>
      <c r="C847" s="230" t="s">
        <v>295</v>
      </c>
      <c r="D847" s="231" t="s">
        <v>475</v>
      </c>
      <c r="E847" s="231"/>
      <c r="F847" s="232"/>
      <c r="G847" s="233">
        <v>-2.54</v>
      </c>
      <c r="H847" s="246" t="s">
        <v>1202</v>
      </c>
      <c r="I847" s="235" t="str">
        <f t="array" ref="I847">IFS(AND($B847&lt;&gt;"",$E847&lt;&gt;""),IF(INDEX(HistoricSummary!D:D,MATCH($C847,HistoricSummary!$A:$A,0),1)&lt;&gt;"",$E847*INDEX(HistoricSummary!D:D,MATCH($C847,HistoricSummary!$A:$A,0),1)+$G847,""),AND($B847&lt;&gt;"",$D847="COST",$G847&lt;0),$G847,TRUE,)</f>
        <v/>
      </c>
      <c r="J847" s="235" t="str">
        <f t="array" ref="J847">IFS(AND($B847&lt;&gt;"",$E847&lt;&gt;""),IF(INDEX(HistoricSummary!E:E,MATCH($C847,HistoricSummary!$A:$A,0),1)&lt;&gt;"",$E847*INDEX(HistoricSummary!E:E,MATCH($C847,HistoricSummary!$A:$A,0),1)+$G847,""),AND($B847&lt;&gt;"",$D847="COST",$G847&lt;0),$G847,TRUE,)</f>
        <v/>
      </c>
    </row>
    <row r="848">
      <c r="A848" s="184">
        <v>42926.0</v>
      </c>
      <c r="B848" s="229" t="s">
        <v>292</v>
      </c>
      <c r="C848" s="230" t="s">
        <v>295</v>
      </c>
      <c r="D848" s="231" t="s">
        <v>475</v>
      </c>
      <c r="E848" s="231"/>
      <c r="F848" s="232"/>
      <c r="G848" s="233">
        <v>19.77</v>
      </c>
      <c r="H848" s="246" t="s">
        <v>1203</v>
      </c>
      <c r="I848" s="235" t="str">
        <f t="array" ref="I848">IFS(AND($B848&lt;&gt;"",$E848&lt;&gt;""),IF(INDEX(HistoricSummary!D:D,MATCH($C848,HistoricSummary!$A:$A,0),1)&lt;&gt;"",$E848*INDEX(HistoricSummary!D:D,MATCH($C848,HistoricSummary!$A:$A,0),1)+$G848,""),AND($B848&lt;&gt;"",$D848="COST",$G848&lt;0),$G848,TRUE,)</f>
        <v/>
      </c>
      <c r="J848" s="235" t="str">
        <f t="array" ref="J848">IFS(AND($B848&lt;&gt;"",$E848&lt;&gt;""),IF(INDEX(HistoricSummary!E:E,MATCH($C848,HistoricSummary!$A:$A,0),1)&lt;&gt;"",$E848*INDEX(HistoricSummary!E:E,MATCH($C848,HistoricSummary!$A:$A,0),1)+$G848,""),AND($B848&lt;&gt;"",$D848="COST",$G848&lt;0),$G848,TRUE,)</f>
        <v/>
      </c>
    </row>
    <row r="849">
      <c r="A849" s="184">
        <v>42922.0</v>
      </c>
      <c r="B849" s="229" t="s">
        <v>298</v>
      </c>
      <c r="C849" s="230" t="s">
        <v>301</v>
      </c>
      <c r="D849" s="231" t="s">
        <v>475</v>
      </c>
      <c r="E849" s="231"/>
      <c r="F849" s="232"/>
      <c r="G849" s="233">
        <v>-31.95</v>
      </c>
      <c r="H849" s="246" t="s">
        <v>1204</v>
      </c>
      <c r="I849" s="235" t="str">
        <f t="array" ref="I849">IFS(AND($B849&lt;&gt;"",$E849&lt;&gt;""),IF(INDEX(HistoricSummary!D:D,MATCH($C849,HistoricSummary!$A:$A,0),1)&lt;&gt;"",$E849*INDEX(HistoricSummary!D:D,MATCH($C849,HistoricSummary!$A:$A,0),1)+$G849,""),AND($B849&lt;&gt;"",$D849="COST",$G849&lt;0),$G849,TRUE,)</f>
        <v/>
      </c>
      <c r="J849" s="235" t="str">
        <f t="array" ref="J849">IFS(AND($B849&lt;&gt;"",$E849&lt;&gt;""),IF(INDEX(HistoricSummary!E:E,MATCH($C849,HistoricSummary!$A:$A,0),1)&lt;&gt;"",$E849*INDEX(HistoricSummary!E:E,MATCH($C849,HistoricSummary!$A:$A,0),1)+$G849,""),AND($B849&lt;&gt;"",$D849="COST",$G849&lt;0),$G849,TRUE,)</f>
        <v/>
      </c>
    </row>
    <row r="850">
      <c r="A850" s="184">
        <v>42921.0</v>
      </c>
      <c r="B850" s="229" t="s">
        <v>298</v>
      </c>
      <c r="C850" s="230" t="s">
        <v>301</v>
      </c>
      <c r="D850" s="231" t="s">
        <v>475</v>
      </c>
      <c r="E850" s="231"/>
      <c r="F850" s="232"/>
      <c r="G850" s="233">
        <v>255.04</v>
      </c>
      <c r="H850" s="246" t="s">
        <v>1205</v>
      </c>
      <c r="I850" s="235" t="str">
        <f t="array" ref="I850">IFS(AND($B850&lt;&gt;"",$E850&lt;&gt;""),IF(INDEX(HistoricSummary!D:D,MATCH($C850,HistoricSummary!$A:$A,0),1)&lt;&gt;"",$E850*INDEX(HistoricSummary!D:D,MATCH($C850,HistoricSummary!$A:$A,0),1)+$G850,""),AND($B850&lt;&gt;"",$D850="COST",$G850&lt;0),$G850,TRUE,)</f>
        <v/>
      </c>
      <c r="J850" s="235" t="str">
        <f t="array" ref="J850">IFS(AND($B850&lt;&gt;"",$E850&lt;&gt;""),IF(INDEX(HistoricSummary!E:E,MATCH($C850,HistoricSummary!$A:$A,0),1)&lt;&gt;"",$E850*INDEX(HistoricSummary!E:E,MATCH($C850,HistoricSummary!$A:$A,0),1)+$G850,""),AND($B850&lt;&gt;"",$D850="COST",$G850&lt;0),$G850,TRUE,)</f>
        <v/>
      </c>
    </row>
    <row r="851">
      <c r="A851" s="184">
        <v>42921.0</v>
      </c>
      <c r="B851" s="229" t="s">
        <v>292</v>
      </c>
      <c r="C851" s="230" t="s">
        <v>297</v>
      </c>
      <c r="D851" s="231" t="s">
        <v>414</v>
      </c>
      <c r="E851" s="231">
        <v>286.0</v>
      </c>
      <c r="F851" s="232">
        <v>56.941</v>
      </c>
      <c r="G851" s="233">
        <v>-16285.26</v>
      </c>
      <c r="H851" s="246" t="s">
        <v>1206</v>
      </c>
      <c r="I851" s="235" t="str">
        <f t="array" ref="I851">IFS(AND($B851&lt;&gt;"",$E851&lt;&gt;""),IF(INDEX(HistoricSummary!D:D,MATCH($C851,HistoricSummary!$A:$A,0),1)&lt;&gt;"",$E851*INDEX(HistoricSummary!D:D,MATCH($C851,HistoricSummary!$A:$A,0),1)+$G851,""),AND($B851&lt;&gt;"",$D851="COST",$G851&lt;0),$G851,TRUE,)</f>
        <v/>
      </c>
      <c r="J851" s="235" t="str">
        <f t="array" ref="J851">IFS(AND($B851&lt;&gt;"",$E851&lt;&gt;""),IF(INDEX(HistoricSummary!E:E,MATCH($C851,HistoricSummary!$A:$A,0),1)&lt;&gt;"",$E851*INDEX(HistoricSummary!E:E,MATCH($C851,HistoricSummary!$A:$A,0),1)+$G851,""),AND($B851&lt;&gt;"",$D851="COST",$G851&lt;0),$G851,TRUE,)</f>
        <v/>
      </c>
    </row>
    <row r="852">
      <c r="A852" s="184">
        <v>42921.0</v>
      </c>
      <c r="B852" s="19" t="s">
        <v>292</v>
      </c>
      <c r="C852" s="49" t="s">
        <v>297</v>
      </c>
      <c r="D852" s="19" t="s">
        <v>432</v>
      </c>
      <c r="E852" s="171"/>
      <c r="F852" s="232"/>
      <c r="G852" s="233">
        <v>-4.77</v>
      </c>
      <c r="H852" s="247" t="s">
        <v>1207</v>
      </c>
      <c r="I852" s="235">
        <f t="array" ref="I852">IFS(AND($B852&lt;&gt;"",$E852&lt;&gt;""),IF(INDEX(HistoricSummary!D:D,MATCH($C852,HistoricSummary!$A:$A,0),1)&lt;&gt;"",$E852*INDEX(HistoricSummary!D:D,MATCH($C852,HistoricSummary!$A:$A,0),1)+$G852,""),AND($B852&lt;&gt;"",$D852="COST",$G852&lt;0),$G852,TRUE,)</f>
        <v>-4.77</v>
      </c>
      <c r="J852" s="235">
        <f t="array" ref="J852">IFS(AND($B852&lt;&gt;"",$E852&lt;&gt;""),IF(INDEX(HistoricSummary!E:E,MATCH($C852,HistoricSummary!$A:$A,0),1)&lt;&gt;"",$E852*INDEX(HistoricSummary!E:E,MATCH($C852,HistoricSummary!$A:$A,0),1)+$G852,""),AND($B852&lt;&gt;"",$D852="COST",$G852&lt;0),$G852,TRUE,)</f>
        <v>-4.77</v>
      </c>
    </row>
    <row r="853">
      <c r="A853" s="184">
        <v>42920.0</v>
      </c>
      <c r="B853" s="229" t="s">
        <v>283</v>
      </c>
      <c r="C853" s="230" t="s">
        <v>286</v>
      </c>
      <c r="D853" s="231" t="s">
        <v>414</v>
      </c>
      <c r="E853" s="231">
        <v>1096.0</v>
      </c>
      <c r="F853" s="232">
        <v>7.5</v>
      </c>
      <c r="G853" s="233">
        <v>-8220.0</v>
      </c>
      <c r="H853" s="246" t="s">
        <v>1208</v>
      </c>
      <c r="I853" s="235">
        <f t="array" ref="I853">IFS(AND($B853&lt;&gt;"",$E853&lt;&gt;""),IF(INDEX(HistoricSummary!D:D,MATCH($C853,HistoricSummary!$A:$A,0),1)&lt;&gt;"",$E853*INDEX(HistoricSummary!D:D,MATCH($C853,HistoricSummary!$A:$A,0),1)+$G853,""),AND($B853&lt;&gt;"",$D853="COST",$G853&lt;0),$G853,TRUE,)</f>
        <v>-1103.672</v>
      </c>
      <c r="J853" s="235">
        <f t="array" ref="J853">IFS(AND($B853&lt;&gt;"",$E853&lt;&gt;""),IF(INDEX(HistoricSummary!E:E,MATCH($C853,HistoricSummary!$A:$A,0),1)&lt;&gt;"",$E853*INDEX(HistoricSummary!E:E,MATCH($C853,HistoricSummary!$A:$A,0),1)+$G853,""),AND($B853&lt;&gt;"",$D853="COST",$G853&lt;0),$G853,TRUE,)</f>
        <v>-1149.245209</v>
      </c>
    </row>
    <row r="854">
      <c r="A854" s="184">
        <v>42919.0</v>
      </c>
      <c r="B854" s="229" t="s">
        <v>302</v>
      </c>
      <c r="C854" s="230" t="s">
        <v>303</v>
      </c>
      <c r="D854" s="231" t="s">
        <v>414</v>
      </c>
      <c r="E854" s="231">
        <v>804.0</v>
      </c>
      <c r="F854" s="232">
        <v>40.443</v>
      </c>
      <c r="G854" s="233">
        <v>-32516.18</v>
      </c>
      <c r="H854" s="246" t="s">
        <v>1209</v>
      </c>
      <c r="I854" s="235">
        <f t="array" ref="I854">IFS(AND($B854&lt;&gt;"",$E854&lt;&gt;""),IF(INDEX(HistoricSummary!D:D,MATCH($C854,HistoricSummary!$A:$A,0),1)&lt;&gt;"",$E854*INDEX(HistoricSummary!D:D,MATCH($C854,HistoricSummary!$A:$A,0),1)+$G854,""),AND($B854&lt;&gt;"",$D854="COST",$G854&lt;0),$G854,TRUE,)</f>
        <v>13824.772</v>
      </c>
      <c r="J854" s="235">
        <f t="array" ref="J854">IFS(AND($B854&lt;&gt;"",$E854&lt;&gt;""),IF(INDEX(HistoricSummary!E:E,MATCH($C854,HistoricSummary!$A:$A,0),1)&lt;&gt;"",$E854*INDEX(HistoricSummary!E:E,MATCH($C854,HistoricSummary!$A:$A,0),1)+$G854,""),AND($B854&lt;&gt;"",$D854="COST",$G854&lt;0),$G854,TRUE,)</f>
        <v>10121.69135</v>
      </c>
    </row>
    <row r="855">
      <c r="A855" s="184">
        <v>42919.0</v>
      </c>
      <c r="B855" s="19" t="s">
        <v>283</v>
      </c>
      <c r="C855" s="49" t="s">
        <v>284</v>
      </c>
      <c r="D855" s="19" t="s">
        <v>415</v>
      </c>
      <c r="E855" s="19">
        <v>-390.0</v>
      </c>
      <c r="F855" s="232">
        <v>18.19</v>
      </c>
      <c r="G855" s="233">
        <v>7094.1</v>
      </c>
      <c r="H855" s="247" t="s">
        <v>1210</v>
      </c>
      <c r="I855" s="235" t="str">
        <f t="array" ref="I855">IFS(AND($B855&lt;&gt;"",$E855&lt;&gt;""),IF(INDEX(HistoricSummary!D:D,MATCH($C855,HistoricSummary!$A:$A,0),1)&lt;&gt;"",$E855*INDEX(HistoricSummary!D:D,MATCH($C855,HistoricSummary!$A:$A,0),1)+$G855,""),AND($B855&lt;&gt;"",$D855="COST",$G855&lt;0),$G855,TRUE,)</f>
        <v/>
      </c>
      <c r="J855" s="235" t="str">
        <f t="array" ref="J855">IFS(AND($B855&lt;&gt;"",$E855&lt;&gt;""),IF(INDEX(HistoricSummary!E:E,MATCH($C855,HistoricSummary!$A:$A,0),1)&lt;&gt;"",$E855*INDEX(HistoricSummary!E:E,MATCH($C855,HistoricSummary!$A:$A,0),1)+$G855,""),AND($B855&lt;&gt;"",$D855="COST",$G855&lt;0),$G855,TRUE,)</f>
        <v/>
      </c>
    </row>
    <row r="856">
      <c r="A856" s="184">
        <v>42919.0</v>
      </c>
      <c r="B856" s="19" t="s">
        <v>292</v>
      </c>
      <c r="C856" s="49" t="s">
        <v>295</v>
      </c>
      <c r="D856" s="19" t="s">
        <v>415</v>
      </c>
      <c r="E856" s="19">
        <v>-146.0</v>
      </c>
      <c r="F856" s="232">
        <v>93.62</v>
      </c>
      <c r="G856" s="233">
        <v>13669.24</v>
      </c>
      <c r="H856" s="247" t="s">
        <v>1211</v>
      </c>
      <c r="I856" s="235" t="str">
        <f t="array" ref="I856">IFS(AND($B856&lt;&gt;"",$E856&lt;&gt;""),IF(INDEX(HistoricSummary!D:D,MATCH($C856,HistoricSummary!$A:$A,0),1)&lt;&gt;"",$E856*INDEX(HistoricSummary!D:D,MATCH($C856,HistoricSummary!$A:$A,0),1)+$G856,""),AND($B856&lt;&gt;"",$D856="COST",$G856&lt;0),$G856,TRUE,)</f>
        <v/>
      </c>
      <c r="J856" s="235" t="str">
        <f t="array" ref="J856">IFS(AND($B856&lt;&gt;"",$E856&lt;&gt;""),IF(INDEX(HistoricSummary!E:E,MATCH($C856,HistoricSummary!$A:$A,0),1)&lt;&gt;"",$E856*INDEX(HistoricSummary!E:E,MATCH($C856,HistoricSummary!$A:$A,0),1)+$G856,""),AND($B856&lt;&gt;"",$D856="COST",$G856&lt;0),$G856,TRUE,)</f>
        <v/>
      </c>
    </row>
    <row r="857">
      <c r="A857" s="184">
        <v>42919.0</v>
      </c>
      <c r="B857" s="19" t="s">
        <v>288</v>
      </c>
      <c r="C857" s="49" t="s">
        <v>291</v>
      </c>
      <c r="D857" s="19" t="s">
        <v>414</v>
      </c>
      <c r="E857" s="19">
        <v>122.0</v>
      </c>
      <c r="F857" s="232">
        <v>10.38</v>
      </c>
      <c r="G857" s="233">
        <v>-1266.54</v>
      </c>
      <c r="H857" s="247" t="s">
        <v>1212</v>
      </c>
      <c r="I857" s="235" t="str">
        <f t="array" ref="I857">IFS(AND($B857&lt;&gt;"",$E857&lt;&gt;""),IF(INDEX(HistoricSummary!D:D,MATCH($C857,HistoricSummary!$A:$A,0),1)&lt;&gt;"",$E857*INDEX(HistoricSummary!D:D,MATCH($C857,HistoricSummary!$A:$A,0),1)+$G857,""),AND($B857&lt;&gt;"",$D857="COST",$G857&lt;0),$G857,TRUE,)</f>
        <v/>
      </c>
      <c r="J857" s="235" t="str">
        <f t="array" ref="J857">IFS(AND($B857&lt;&gt;"",$E857&lt;&gt;""),IF(INDEX(HistoricSummary!E:E,MATCH($C857,HistoricSummary!$A:$A,0),1)&lt;&gt;"",$E857*INDEX(HistoricSummary!E:E,MATCH($C857,HistoricSummary!$A:$A,0),1)+$G857,""),AND($B857&lt;&gt;"",$D857="COST",$G857&lt;0),$G857,TRUE,)</f>
        <v/>
      </c>
    </row>
    <row r="858">
      <c r="A858" s="184">
        <v>42919.0</v>
      </c>
      <c r="B858" s="19" t="s">
        <v>302</v>
      </c>
      <c r="C858" s="49" t="s">
        <v>305</v>
      </c>
      <c r="D858" s="19" t="s">
        <v>415</v>
      </c>
      <c r="E858" s="19">
        <v>-251.0</v>
      </c>
      <c r="F858" s="232">
        <v>109.93</v>
      </c>
      <c r="G858" s="233">
        <v>27592.74</v>
      </c>
      <c r="H858" s="247" t="s">
        <v>1213</v>
      </c>
      <c r="I858" s="235" t="str">
        <f t="array" ref="I858">IFS(AND($B858&lt;&gt;"",$E858&lt;&gt;""),IF(INDEX(HistoricSummary!D:D,MATCH($C858,HistoricSummary!$A:$A,0),1)&lt;&gt;"",$E858*INDEX(HistoricSummary!D:D,MATCH($C858,HistoricSummary!$A:$A,0),1)+$G858,""),AND($B858&lt;&gt;"",$D858="COST",$G858&lt;0),$G858,TRUE,)</f>
        <v/>
      </c>
      <c r="J858" s="235" t="str">
        <f t="array" ref="J858">IFS(AND($B858&lt;&gt;"",$E858&lt;&gt;""),IF(INDEX(HistoricSummary!E:E,MATCH($C858,HistoricSummary!$A:$A,0),1)&lt;&gt;"",$E858*INDEX(HistoricSummary!E:E,MATCH($C858,HistoricSummary!$A:$A,0),1)+$G858,""),AND($B858&lt;&gt;"",$D858="COST",$G858&lt;0),$G858,TRUE,)</f>
        <v/>
      </c>
    </row>
    <row r="859">
      <c r="A859" s="184">
        <v>42919.0</v>
      </c>
      <c r="B859" s="19" t="s">
        <v>298</v>
      </c>
      <c r="C859" s="49" t="s">
        <v>301</v>
      </c>
      <c r="D859" s="19" t="s">
        <v>414</v>
      </c>
      <c r="E859" s="19">
        <v>67.0</v>
      </c>
      <c r="F859" s="232">
        <v>103.88</v>
      </c>
      <c r="G859" s="233">
        <v>-6959.73</v>
      </c>
      <c r="H859" s="247" t="s">
        <v>1214</v>
      </c>
      <c r="I859" s="235" t="str">
        <f t="array" ref="I859">IFS(AND($B859&lt;&gt;"",$E859&lt;&gt;""),IF(INDEX(HistoricSummary!D:D,MATCH($C859,HistoricSummary!$A:$A,0),1)&lt;&gt;"",$E859*INDEX(HistoricSummary!D:D,MATCH($C859,HistoricSummary!$A:$A,0),1)+$G859,""),AND($B859&lt;&gt;"",$D859="COST",$G859&lt;0),$G859,TRUE,)</f>
        <v/>
      </c>
      <c r="J859" s="235" t="str">
        <f t="array" ref="J859">IFS(AND($B859&lt;&gt;"",$E859&lt;&gt;""),IF(INDEX(HistoricSummary!E:E,MATCH($C859,HistoricSummary!$A:$A,0),1)&lt;&gt;"",$E859*INDEX(HistoricSummary!E:E,MATCH($C859,HistoricSummary!$A:$A,0),1)+$G859,""),AND($B859&lt;&gt;"",$D859="COST",$G859&lt;0),$G859,TRUE,)</f>
        <v/>
      </c>
    </row>
    <row r="860">
      <c r="A860" s="184">
        <v>42916.0</v>
      </c>
      <c r="B860" s="229"/>
      <c r="C860" s="230"/>
      <c r="D860" s="231" t="s">
        <v>432</v>
      </c>
      <c r="E860" s="231"/>
      <c r="F860" s="232"/>
      <c r="G860" s="233">
        <v>-55.33</v>
      </c>
      <c r="H860" s="246" t="s">
        <v>1215</v>
      </c>
      <c r="I860" s="235" t="str">
        <f t="array" ref="I860">IFS(AND($B860&lt;&gt;"",$E860&lt;&gt;""),IF(INDEX(HistoricSummary!D:D,MATCH($C860,HistoricSummary!$A:$A,0),1)&lt;&gt;"",$E860*INDEX(HistoricSummary!D:D,MATCH($C860,HistoricSummary!$A:$A,0),1)+$G860,""),AND($B860&lt;&gt;"",$D860="COST",$G860&lt;0),$G860,TRUE,)</f>
        <v/>
      </c>
      <c r="J860" s="235" t="str">
        <f t="array" ref="J860">IFS(AND($B860&lt;&gt;"",$E860&lt;&gt;""),IF(INDEX(HistoricSummary!E:E,MATCH($C860,HistoricSummary!$A:$A,0),1)&lt;&gt;"",$E860*INDEX(HistoricSummary!E:E,MATCH($C860,HistoricSummary!$A:$A,0),1)+$G860,""),AND($B860&lt;&gt;"",$D860="COST",$G860&lt;0),$G860,TRUE,)</f>
        <v/>
      </c>
    </row>
    <row r="861">
      <c r="A861" s="184">
        <v>42914.0</v>
      </c>
      <c r="B861" s="229" t="s">
        <v>302</v>
      </c>
      <c r="C861" s="230" t="s">
        <v>305</v>
      </c>
      <c r="D861" s="231" t="s">
        <v>475</v>
      </c>
      <c r="E861" s="231"/>
      <c r="F861" s="232"/>
      <c r="G861" s="233">
        <v>-14.95</v>
      </c>
      <c r="H861" s="246" t="s">
        <v>1216</v>
      </c>
      <c r="I861" s="235" t="str">
        <f t="array" ref="I861">IFS(AND($B861&lt;&gt;"",$E861&lt;&gt;""),IF(INDEX(HistoricSummary!D:D,MATCH($C861,HistoricSummary!$A:$A,0),1)&lt;&gt;"",$E861*INDEX(HistoricSummary!D:D,MATCH($C861,HistoricSummary!$A:$A,0),1)+$G861,""),AND($B861&lt;&gt;"",$D861="COST",$G861&lt;0),$G861,TRUE,)</f>
        <v/>
      </c>
      <c r="J861" s="235" t="str">
        <f t="array" ref="J861">IFS(AND($B861&lt;&gt;"",$E861&lt;&gt;""),IF(INDEX(HistoricSummary!E:E,MATCH($C861,HistoricSummary!$A:$A,0),1)&lt;&gt;"",$E861*INDEX(HistoricSummary!E:E,MATCH($C861,HistoricSummary!$A:$A,0),1)+$G861,""),AND($B861&lt;&gt;"",$D861="COST",$G861&lt;0),$G861,TRUE,)</f>
        <v/>
      </c>
    </row>
    <row r="862">
      <c r="A862" s="184">
        <v>42913.0</v>
      </c>
      <c r="B862" s="229" t="s">
        <v>302</v>
      </c>
      <c r="C862" s="230" t="s">
        <v>305</v>
      </c>
      <c r="D862" s="231" t="s">
        <v>475</v>
      </c>
      <c r="E862" s="231"/>
      <c r="F862" s="232"/>
      <c r="G862" s="233">
        <v>122.68</v>
      </c>
      <c r="H862" s="246" t="s">
        <v>1217</v>
      </c>
      <c r="I862" s="235" t="str">
        <f t="array" ref="I862">IFS(AND($B862&lt;&gt;"",$E862&lt;&gt;""),IF(INDEX(HistoricSummary!D:D,MATCH($C862,HistoricSummary!$A:$A,0),1)&lt;&gt;"",$E862*INDEX(HistoricSummary!D:D,MATCH($C862,HistoricSummary!$A:$A,0),1)+$G862,""),AND($B862&lt;&gt;"",$D862="COST",$G862&lt;0),$G862,TRUE,)</f>
        <v/>
      </c>
      <c r="J862" s="235" t="str">
        <f t="array" ref="J862">IFS(AND($B862&lt;&gt;"",$E862&lt;&gt;""),IF(INDEX(HistoricSummary!E:E,MATCH($C862,HistoricSummary!$A:$A,0),1)&lt;&gt;"",$E862*INDEX(HistoricSummary!E:E,MATCH($C862,HistoricSummary!$A:$A,0),1)+$G862,""),AND($B862&lt;&gt;"",$D862="COST",$G862&lt;0),$G862,TRUE,)</f>
        <v/>
      </c>
    </row>
    <row r="863">
      <c r="A863" s="184">
        <v>42901.0</v>
      </c>
      <c r="B863" s="19" t="s">
        <v>283</v>
      </c>
      <c r="C863" s="49" t="s">
        <v>284</v>
      </c>
      <c r="D863" s="19" t="s">
        <v>414</v>
      </c>
      <c r="E863" s="19">
        <v>111.0</v>
      </c>
      <c r="F863" s="232">
        <v>18.09</v>
      </c>
      <c r="G863" s="233">
        <v>-2007.99</v>
      </c>
      <c r="H863" s="247" t="s">
        <v>1218</v>
      </c>
      <c r="I863" s="235" t="str">
        <f t="array" ref="I863">IFS(AND($B863&lt;&gt;"",$E863&lt;&gt;""),IF(INDEX(HistoricSummary!D:D,MATCH($C863,HistoricSummary!$A:$A,0),1)&lt;&gt;"",$E863*INDEX(HistoricSummary!D:D,MATCH($C863,HistoricSummary!$A:$A,0),1)+$G863,""),AND($B863&lt;&gt;"",$D863="COST",$G863&lt;0),$G863,TRUE,)</f>
        <v/>
      </c>
      <c r="J863" s="235" t="str">
        <f t="array" ref="J863">IFS(AND($B863&lt;&gt;"",$E863&lt;&gt;""),IF(INDEX(HistoricSummary!E:E,MATCH($C863,HistoricSummary!$A:$A,0),1)&lt;&gt;"",$E863*INDEX(HistoricSummary!E:E,MATCH($C863,HistoricSummary!$A:$A,0),1)+$G863,""),AND($B863&lt;&gt;"",$D863="COST",$G863&lt;0),$G863,TRUE,)</f>
        <v/>
      </c>
    </row>
    <row r="864">
      <c r="A864" s="184">
        <v>42901.0</v>
      </c>
      <c r="B864" s="19" t="s">
        <v>302</v>
      </c>
      <c r="C864" s="49" t="s">
        <v>305</v>
      </c>
      <c r="D864" s="19" t="s">
        <v>414</v>
      </c>
      <c r="E864" s="19">
        <v>60.0</v>
      </c>
      <c r="F864" s="232">
        <v>112.018</v>
      </c>
      <c r="G864" s="233">
        <v>-6721.09</v>
      </c>
      <c r="H864" s="247" t="s">
        <v>1219</v>
      </c>
      <c r="I864" s="235" t="str">
        <f t="array" ref="I864">IFS(AND($B864&lt;&gt;"",$E864&lt;&gt;""),IF(INDEX(HistoricSummary!D:D,MATCH($C864,HistoricSummary!$A:$A,0),1)&lt;&gt;"",$E864*INDEX(HistoricSummary!D:D,MATCH($C864,HistoricSummary!$A:$A,0),1)+$G864,""),AND($B864&lt;&gt;"",$D864="COST",$G864&lt;0),$G864,TRUE,)</f>
        <v/>
      </c>
      <c r="J864" s="235" t="str">
        <f t="array" ref="J864">IFS(AND($B864&lt;&gt;"",$E864&lt;&gt;""),IF(INDEX(HistoricSummary!E:E,MATCH($C864,HistoricSummary!$A:$A,0),1)&lt;&gt;"",$E864*INDEX(HistoricSummary!E:E,MATCH($C864,HistoricSummary!$A:$A,0),1)+$G864,""),AND($B864&lt;&gt;"",$D864="COST",$G864&lt;0),$G864,TRUE,)</f>
        <v/>
      </c>
    </row>
    <row r="865">
      <c r="A865" s="184">
        <v>42901.0</v>
      </c>
      <c r="B865" s="19" t="s">
        <v>292</v>
      </c>
      <c r="C865" s="49" t="s">
        <v>295</v>
      </c>
      <c r="D865" s="19" t="s">
        <v>414</v>
      </c>
      <c r="E865" s="19">
        <v>36.0</v>
      </c>
      <c r="F865" s="232">
        <v>96.68</v>
      </c>
      <c r="G865" s="233">
        <v>-3480.61</v>
      </c>
      <c r="H865" s="247" t="s">
        <v>1220</v>
      </c>
      <c r="I865" s="235" t="str">
        <f t="array" ref="I865">IFS(AND($B865&lt;&gt;"",$E865&lt;&gt;""),IF(INDEX(HistoricSummary!D:D,MATCH($C865,HistoricSummary!$A:$A,0),1)&lt;&gt;"",$E865*INDEX(HistoricSummary!D:D,MATCH($C865,HistoricSummary!$A:$A,0),1)+$G865,""),AND($B865&lt;&gt;"",$D865="COST",$G865&lt;0),$G865,TRUE,)</f>
        <v/>
      </c>
      <c r="J865" s="235" t="str">
        <f t="array" ref="J865">IFS(AND($B865&lt;&gt;"",$E865&lt;&gt;""),IF(INDEX(HistoricSummary!E:E,MATCH($C865,HistoricSummary!$A:$A,0),1)&lt;&gt;"",$E865*INDEX(HistoricSummary!E:E,MATCH($C865,HistoricSummary!$A:$A,0),1)+$G865,""),AND($B865&lt;&gt;"",$D865="COST",$G865&lt;0),$G865,TRUE,)</f>
        <v/>
      </c>
    </row>
    <row r="866">
      <c r="A866" s="184">
        <v>42901.0</v>
      </c>
      <c r="B866" s="19" t="s">
        <v>298</v>
      </c>
      <c r="C866" s="49" t="s">
        <v>301</v>
      </c>
      <c r="D866" s="19" t="s">
        <v>414</v>
      </c>
      <c r="E866" s="19">
        <v>66.0</v>
      </c>
      <c r="F866" s="232">
        <v>107.07</v>
      </c>
      <c r="G866" s="233">
        <v>-7066.71</v>
      </c>
      <c r="H866" s="247" t="s">
        <v>1221</v>
      </c>
      <c r="I866" s="235" t="str">
        <f t="array" ref="I866">IFS(AND($B866&lt;&gt;"",$E866&lt;&gt;""),IF(INDEX(HistoricSummary!D:D,MATCH($C866,HistoricSummary!$A:$A,0),1)&lt;&gt;"",$E866*INDEX(HistoricSummary!D:D,MATCH($C866,HistoricSummary!$A:$A,0),1)+$G866,""),AND($B866&lt;&gt;"",$D866="COST",$G866&lt;0),$G866,TRUE,)</f>
        <v/>
      </c>
      <c r="J866" s="235" t="str">
        <f t="array" ref="J866">IFS(AND($B866&lt;&gt;"",$E866&lt;&gt;""),IF(INDEX(HistoricSummary!E:E,MATCH($C866,HistoricSummary!$A:$A,0),1)&lt;&gt;"",$E866*INDEX(HistoricSummary!E:E,MATCH($C866,HistoricSummary!$A:$A,0),1)+$G866,""),AND($B866&lt;&gt;"",$D866="COST",$G866&lt;0),$G866,TRUE,)</f>
        <v/>
      </c>
    </row>
    <row r="867">
      <c r="A867" s="184">
        <v>42901.0</v>
      </c>
      <c r="B867" s="19" t="s">
        <v>288</v>
      </c>
      <c r="C867" s="49" t="s">
        <v>291</v>
      </c>
      <c r="D867" s="19" t="s">
        <v>414</v>
      </c>
      <c r="E867" s="19">
        <v>167.0</v>
      </c>
      <c r="F867" s="232">
        <v>10.83</v>
      </c>
      <c r="G867" s="233">
        <v>-1808.18</v>
      </c>
      <c r="H867" s="247" t="s">
        <v>1222</v>
      </c>
      <c r="I867" s="235" t="str">
        <f t="array" ref="I867">IFS(AND($B867&lt;&gt;"",$E867&lt;&gt;""),IF(INDEX(HistoricSummary!D:D,MATCH($C867,HistoricSummary!$A:$A,0),1)&lt;&gt;"",$E867*INDEX(HistoricSummary!D:D,MATCH($C867,HistoricSummary!$A:$A,0),1)+$G867,""),AND($B867&lt;&gt;"",$D867="COST",$G867&lt;0),$G867,TRUE,)</f>
        <v/>
      </c>
      <c r="J867" s="235" t="str">
        <f t="array" ref="J867">IFS(AND($B867&lt;&gt;"",$E867&lt;&gt;""),IF(INDEX(HistoricSummary!E:E,MATCH($C867,HistoricSummary!$A:$A,0),1)&lt;&gt;"",$E867*INDEX(HistoricSummary!E:E,MATCH($C867,HistoricSummary!$A:$A,0),1)+$G867,""),AND($B867&lt;&gt;"",$D867="COST",$G867&lt;0),$G867,TRUE,)</f>
        <v/>
      </c>
    </row>
    <row r="868">
      <c r="A868" s="184">
        <v>42894.0</v>
      </c>
      <c r="B868" s="229" t="s">
        <v>292</v>
      </c>
      <c r="C868" s="230" t="s">
        <v>295</v>
      </c>
      <c r="D868" s="231" t="s">
        <v>475</v>
      </c>
      <c r="E868" s="231"/>
      <c r="F868" s="232"/>
      <c r="G868" s="233">
        <v>-1.66</v>
      </c>
      <c r="H868" s="246" t="s">
        <v>1223</v>
      </c>
      <c r="I868" s="235" t="str">
        <f t="array" ref="I868">IFS(AND($B868&lt;&gt;"",$E868&lt;&gt;""),IF(INDEX(HistoricSummary!D:D,MATCH($C868,HistoricSummary!$A:$A,0),1)&lt;&gt;"",$E868*INDEX(HistoricSummary!D:D,MATCH($C868,HistoricSummary!$A:$A,0),1)+$G868,""),AND($B868&lt;&gt;"",$D868="COST",$G868&lt;0),$G868,TRUE,)</f>
        <v/>
      </c>
      <c r="J868" s="235" t="str">
        <f t="array" ref="J868">IFS(AND($B868&lt;&gt;"",$E868&lt;&gt;""),IF(INDEX(HistoricSummary!E:E,MATCH($C868,HistoricSummary!$A:$A,0),1)&lt;&gt;"",$E868*INDEX(HistoricSummary!E:E,MATCH($C868,HistoricSummary!$A:$A,0),1)+$G868,""),AND($B868&lt;&gt;"",$D868="COST",$G868&lt;0),$G868,TRUE,)</f>
        <v/>
      </c>
    </row>
    <row r="869">
      <c r="A869" s="184">
        <v>42893.0</v>
      </c>
      <c r="B869" s="229" t="s">
        <v>292</v>
      </c>
      <c r="C869" s="230" t="s">
        <v>295</v>
      </c>
      <c r="D869" s="231" t="s">
        <v>475</v>
      </c>
      <c r="E869" s="231"/>
      <c r="F869" s="232"/>
      <c r="G869" s="233">
        <v>15.3</v>
      </c>
      <c r="H869" s="246" t="s">
        <v>1224</v>
      </c>
      <c r="I869" s="235" t="str">
        <f t="array" ref="I869">IFS(AND($B869&lt;&gt;"",$E869&lt;&gt;""),IF(INDEX(HistoricSummary!D:D,MATCH($C869,HistoricSummary!$A:$A,0),1)&lt;&gt;"",$E869*INDEX(HistoricSummary!D:D,MATCH($C869,HistoricSummary!$A:$A,0),1)+$G869,""),AND($B869&lt;&gt;"",$D869="COST",$G869&lt;0),$G869,TRUE,)</f>
        <v/>
      </c>
      <c r="J869" s="235" t="str">
        <f t="array" ref="J869">IFS(AND($B869&lt;&gt;"",$E869&lt;&gt;""),IF(INDEX(HistoricSummary!E:E,MATCH($C869,HistoricSummary!$A:$A,0),1)&lt;&gt;"",$E869*INDEX(HistoricSummary!E:E,MATCH($C869,HistoricSummary!$A:$A,0),1)+$G869,""),AND($B869&lt;&gt;"",$D869="COST",$G869&lt;0),$G869,TRUE,)</f>
        <v/>
      </c>
    </row>
    <row r="870">
      <c r="A870" s="184">
        <v>42886.0</v>
      </c>
      <c r="B870" s="229"/>
      <c r="C870" s="230"/>
      <c r="D870" s="231" t="s">
        <v>432</v>
      </c>
      <c r="E870" s="231"/>
      <c r="F870" s="232"/>
      <c r="G870" s="233">
        <v>-5.0</v>
      </c>
      <c r="H870" s="246" t="s">
        <v>610</v>
      </c>
      <c r="I870" s="235" t="str">
        <f t="array" ref="I870">IFS(AND($B870&lt;&gt;"",$E870&lt;&gt;""),IF(INDEX(HistoricSummary!D:D,MATCH($C870,HistoricSummary!$A:$A,0),1)&lt;&gt;"",$E870*INDEX(HistoricSummary!D:D,MATCH($C870,HistoricSummary!$A:$A,0),1)+$G870,""),AND($B870&lt;&gt;"",$D870="COST",$G870&lt;0),$G870,TRUE,)</f>
        <v/>
      </c>
      <c r="J870" s="235" t="str">
        <f t="array" ref="J870">IFS(AND($B870&lt;&gt;"",$E870&lt;&gt;""),IF(INDEX(HistoricSummary!E:E,MATCH($C870,HistoricSummary!$A:$A,0),1)&lt;&gt;"",$E870*INDEX(HistoricSummary!E:E,MATCH($C870,HistoricSummary!$A:$A,0),1)+$G870,""),AND($B870&lt;&gt;"",$D870="COST",$G870&lt;0),$G870,TRUE,)</f>
        <v/>
      </c>
    </row>
    <row r="871">
      <c r="A871" s="184">
        <v>42886.0</v>
      </c>
      <c r="B871" s="229"/>
      <c r="C871" s="230"/>
      <c r="D871" s="231" t="s">
        <v>432</v>
      </c>
      <c r="E871" s="231"/>
      <c r="F871" s="232"/>
      <c r="G871" s="233">
        <v>-30.68</v>
      </c>
      <c r="H871" s="246" t="s">
        <v>1225</v>
      </c>
      <c r="I871" s="235" t="str">
        <f t="array" ref="I871">IFS(AND($B871&lt;&gt;"",$E871&lt;&gt;""),IF(INDEX(HistoricSummary!D:D,MATCH($C871,HistoricSummary!$A:$A,0),1)&lt;&gt;"",$E871*INDEX(HistoricSummary!D:D,MATCH($C871,HistoricSummary!$A:$A,0),1)+$G871,""),AND($B871&lt;&gt;"",$D871="COST",$G871&lt;0),$G871,TRUE,)</f>
        <v/>
      </c>
      <c r="J871" s="235" t="str">
        <f t="array" ref="J871">IFS(AND($B871&lt;&gt;"",$E871&lt;&gt;""),IF(INDEX(HistoricSummary!E:E,MATCH($C871,HistoricSummary!$A:$A,0),1)&lt;&gt;"",$E871*INDEX(HistoricSummary!E:E,MATCH($C871,HistoricSummary!$A:$A,0),1)+$G871,""),AND($B871&lt;&gt;"",$D871="COST",$G871&lt;0),$G871,TRUE,)</f>
        <v/>
      </c>
    </row>
    <row r="872">
      <c r="A872" s="184">
        <v>42871.0</v>
      </c>
      <c r="B872" s="19" t="s">
        <v>298</v>
      </c>
      <c r="C872" s="49" t="s">
        <v>301</v>
      </c>
      <c r="D872" s="19" t="s">
        <v>414</v>
      </c>
      <c r="E872" s="19">
        <v>10.0</v>
      </c>
      <c r="F872" s="232">
        <v>101.508</v>
      </c>
      <c r="G872" s="233">
        <v>-1015.08</v>
      </c>
      <c r="H872" s="247" t="s">
        <v>1226</v>
      </c>
      <c r="I872" s="235" t="str">
        <f t="array" ref="I872">IFS(AND($B872&lt;&gt;"",$E872&lt;&gt;""),IF(INDEX(HistoricSummary!D:D,MATCH($C872,HistoricSummary!$A:$A,0),1)&lt;&gt;"",$E872*INDEX(HistoricSummary!D:D,MATCH($C872,HistoricSummary!$A:$A,0),1)+$G872,""),AND($B872&lt;&gt;"",$D872="COST",$G872&lt;0),$G872,TRUE,)</f>
        <v/>
      </c>
      <c r="J872" s="235" t="str">
        <f t="array" ref="J872">IFS(AND($B872&lt;&gt;"",$E872&lt;&gt;""),IF(INDEX(HistoricSummary!E:E,MATCH($C872,HistoricSummary!$A:$A,0),1)&lt;&gt;"",$E872*INDEX(HistoricSummary!E:E,MATCH($C872,HistoricSummary!$A:$A,0),1)+$G872,""),AND($B872&lt;&gt;"",$D872="COST",$G872&lt;0),$G872,TRUE,)</f>
        <v/>
      </c>
    </row>
    <row r="873">
      <c r="A873" s="184">
        <v>42870.0</v>
      </c>
      <c r="B873" s="229"/>
      <c r="C873" s="230"/>
      <c r="D873" s="231" t="s">
        <v>454</v>
      </c>
      <c r="E873" s="231"/>
      <c r="F873" s="232"/>
      <c r="G873" s="233">
        <v>30.0</v>
      </c>
      <c r="H873" s="246" t="s">
        <v>1227</v>
      </c>
      <c r="I873" s="235" t="str">
        <f t="array" ref="I873">IFS(AND($B873&lt;&gt;"",$E873&lt;&gt;""),IF(INDEX(HistoricSummary!D:D,MATCH($C873,HistoricSummary!$A:$A,0),1)&lt;&gt;"",$E873*INDEX(HistoricSummary!D:D,MATCH($C873,HistoricSummary!$A:$A,0),1)+$G873,""),AND($B873&lt;&gt;"",$D873="COST",$G873&lt;0),$G873,TRUE,)</f>
        <v/>
      </c>
      <c r="J873" s="235" t="str">
        <f t="array" ref="J873">IFS(AND($B873&lt;&gt;"",$E873&lt;&gt;""),IF(INDEX(HistoricSummary!E:E,MATCH($C873,HistoricSummary!$A:$A,0),1)&lt;&gt;"",$E873*INDEX(HistoricSummary!E:E,MATCH($C873,HistoricSummary!$A:$A,0),1)+$G873,""),AND($B873&lt;&gt;"",$D873="COST",$G873&lt;0),$G873,TRUE,)</f>
        <v/>
      </c>
    </row>
    <row r="874">
      <c r="A874" s="184">
        <v>42866.0</v>
      </c>
      <c r="B874" s="229"/>
      <c r="C874" s="230"/>
      <c r="D874" s="231" t="s">
        <v>454</v>
      </c>
      <c r="E874" s="231"/>
      <c r="F874" s="232"/>
      <c r="G874" s="233">
        <v>500.0</v>
      </c>
      <c r="H874" s="246" t="s">
        <v>1228</v>
      </c>
      <c r="I874" s="235" t="str">
        <f t="array" ref="I874">IFS(AND($B874&lt;&gt;"",$E874&lt;&gt;""),IF(INDEX(HistoricSummary!D:D,MATCH($C874,HistoricSummary!$A:$A,0),1)&lt;&gt;"",$E874*INDEX(HistoricSummary!D:D,MATCH($C874,HistoricSummary!$A:$A,0),1)+$G874,""),AND($B874&lt;&gt;"",$D874="COST",$G874&lt;0),$G874,TRUE,)</f>
        <v/>
      </c>
      <c r="J874" s="235" t="str">
        <f t="array" ref="J874">IFS(AND($B874&lt;&gt;"",$E874&lt;&gt;""),IF(INDEX(HistoricSummary!E:E,MATCH($C874,HistoricSummary!$A:$A,0),1)&lt;&gt;"",$E874*INDEX(HistoricSummary!E:E,MATCH($C874,HistoricSummary!$A:$A,0),1)+$G874,""),AND($B874&lt;&gt;"",$D874="COST",$G874&lt;0),$G874,TRUE,)</f>
        <v/>
      </c>
    </row>
    <row r="875">
      <c r="A875" s="184">
        <v>42864.0</v>
      </c>
      <c r="B875" s="229"/>
      <c r="C875" s="230"/>
      <c r="D875" s="231" t="s">
        <v>454</v>
      </c>
      <c r="E875" s="231"/>
      <c r="F875" s="232"/>
      <c r="G875" s="233">
        <v>500.0</v>
      </c>
      <c r="H875" s="246" t="s">
        <v>1228</v>
      </c>
      <c r="I875" s="235" t="str">
        <f t="array" ref="I875">IFS(AND($B875&lt;&gt;"",$E875&lt;&gt;""),IF(INDEX(HistoricSummary!D:D,MATCH($C875,HistoricSummary!$A:$A,0),1)&lt;&gt;"",$E875*INDEX(HistoricSummary!D:D,MATCH($C875,HistoricSummary!$A:$A,0),1)+$G875,""),AND($B875&lt;&gt;"",$D875="COST",$G875&lt;0),$G875,TRUE,)</f>
        <v/>
      </c>
      <c r="J875" s="235" t="str">
        <f t="array" ref="J875">IFS(AND($B875&lt;&gt;"",$E875&lt;&gt;""),IF(INDEX(HistoricSummary!E:E,MATCH($C875,HistoricSummary!$A:$A,0),1)&lt;&gt;"",$E875*INDEX(HistoricSummary!E:E,MATCH($C875,HistoricSummary!$A:$A,0),1)+$G875,""),AND($B875&lt;&gt;"",$D875="COST",$G875&lt;0),$G875,TRUE,)</f>
        <v/>
      </c>
    </row>
    <row r="876">
      <c r="A876" s="184">
        <v>42858.0</v>
      </c>
      <c r="B876" s="19" t="s">
        <v>283</v>
      </c>
      <c r="C876" s="49" t="s">
        <v>284</v>
      </c>
      <c r="D876" s="19" t="s">
        <v>414</v>
      </c>
      <c r="E876" s="19">
        <v>98.0</v>
      </c>
      <c r="F876" s="232">
        <v>19.25</v>
      </c>
      <c r="G876" s="233">
        <v>-1886.5</v>
      </c>
      <c r="H876" s="247" t="s">
        <v>1229</v>
      </c>
      <c r="I876" s="235" t="str">
        <f t="array" ref="I876">IFS(AND($B876&lt;&gt;"",$E876&lt;&gt;""),IF(INDEX(HistoricSummary!D:D,MATCH($C876,HistoricSummary!$A:$A,0),1)&lt;&gt;"",$E876*INDEX(HistoricSummary!D:D,MATCH($C876,HistoricSummary!$A:$A,0),1)+$G876,""),AND($B876&lt;&gt;"",$D876="COST",$G876&lt;0),$G876,TRUE,)</f>
        <v/>
      </c>
      <c r="J876" s="235" t="str">
        <f t="array" ref="J876">IFS(AND($B876&lt;&gt;"",$E876&lt;&gt;""),IF(INDEX(HistoricSummary!E:E,MATCH($C876,HistoricSummary!$A:$A,0),1)&lt;&gt;"",$E876*INDEX(HistoricSummary!E:E,MATCH($C876,HistoricSummary!$A:$A,0),1)+$G876,""),AND($B876&lt;&gt;"",$D876="COST",$G876&lt;0),$G876,TRUE,)</f>
        <v/>
      </c>
    </row>
    <row r="877" ht="1.5" customHeight="1">
      <c r="A877" s="184">
        <v>42858.0</v>
      </c>
      <c r="B877" s="19" t="s">
        <v>288</v>
      </c>
      <c r="C877" s="49" t="s">
        <v>291</v>
      </c>
      <c r="D877" s="19" t="s">
        <v>414</v>
      </c>
      <c r="E877" s="19">
        <v>195.0</v>
      </c>
      <c r="F877" s="232">
        <v>11.05</v>
      </c>
      <c r="G877" s="233">
        <v>-2154.76</v>
      </c>
      <c r="H877" s="247" t="s">
        <v>1230</v>
      </c>
      <c r="I877" s="235" t="str">
        <f t="array" ref="I877">IFS(AND($B877&lt;&gt;"",$E877&lt;&gt;""),IF(INDEX(HistoricSummary!D:D,MATCH($C877,HistoricSummary!$A:$A,0),1)&lt;&gt;"",$E877*INDEX(HistoricSummary!D:D,MATCH($C877,HistoricSummary!$A:$A,0),1)+$G877,""),AND($B877&lt;&gt;"",$D877="COST",$G877&lt;0),$G877,TRUE,)</f>
        <v/>
      </c>
      <c r="J877" s="235" t="str">
        <f t="array" ref="J877">IFS(AND($B877&lt;&gt;"",$E877&lt;&gt;""),IF(INDEX(HistoricSummary!E:E,MATCH($C877,HistoricSummary!$A:$A,0),1)&lt;&gt;"",$E877*INDEX(HistoricSummary!E:E,MATCH($C877,HistoricSummary!$A:$A,0),1)+$G877,""),AND($B877&lt;&gt;"",$D877="COST",$G877&lt;0),$G877,TRUE,)</f>
        <v/>
      </c>
    </row>
    <row r="878" ht="1.5" customHeight="1">
      <c r="A878" s="184">
        <v>42858.0</v>
      </c>
      <c r="B878" s="19" t="s">
        <v>292</v>
      </c>
      <c r="C878" s="49" t="s">
        <v>295</v>
      </c>
      <c r="D878" s="19" t="s">
        <v>414</v>
      </c>
      <c r="E878" s="19">
        <v>44.0</v>
      </c>
      <c r="F878" s="232">
        <v>97.617</v>
      </c>
      <c r="G878" s="233">
        <v>-4295.13</v>
      </c>
      <c r="H878" s="247" t="s">
        <v>1231</v>
      </c>
      <c r="I878" s="235" t="str">
        <f t="array" ref="I878">IFS(AND($B878&lt;&gt;"",$E878&lt;&gt;""),IF(INDEX(HistoricSummary!D:D,MATCH($C878,HistoricSummary!$A:$A,0),1)&lt;&gt;"",$E878*INDEX(HistoricSummary!D:D,MATCH($C878,HistoricSummary!$A:$A,0),1)+$G878,""),AND($B878&lt;&gt;"",$D878="COST",$G878&lt;0),$G878,TRUE,)</f>
        <v/>
      </c>
      <c r="J878" s="235" t="str">
        <f t="array" ref="J878">IFS(AND($B878&lt;&gt;"",$E878&lt;&gt;""),IF(INDEX(HistoricSummary!E:E,MATCH($C878,HistoricSummary!$A:$A,0),1)&lt;&gt;"",$E878*INDEX(HistoricSummary!E:E,MATCH($C878,HistoricSummary!$A:$A,0),1)+$G878,""),AND($B878&lt;&gt;"",$D878="COST",$G878&lt;0),$G878,TRUE,)</f>
        <v/>
      </c>
    </row>
    <row r="879" ht="1.5" customHeight="1">
      <c r="A879" s="184">
        <v>42858.0</v>
      </c>
      <c r="B879" s="19" t="s">
        <v>302</v>
      </c>
      <c r="C879" s="49" t="s">
        <v>305</v>
      </c>
      <c r="D879" s="19" t="s">
        <v>414</v>
      </c>
      <c r="E879" s="19">
        <v>76.0</v>
      </c>
      <c r="F879" s="232">
        <v>112.55</v>
      </c>
      <c r="G879" s="233">
        <v>-8554.15</v>
      </c>
      <c r="H879" s="247" t="s">
        <v>1232</v>
      </c>
      <c r="I879" s="235" t="str">
        <f t="array" ref="I879">IFS(AND($B879&lt;&gt;"",$E879&lt;&gt;""),IF(INDEX(HistoricSummary!D:D,MATCH($C879,HistoricSummary!$A:$A,0),1)&lt;&gt;"",$E879*INDEX(HistoricSummary!D:D,MATCH($C879,HistoricSummary!$A:$A,0),1)+$G879,""),AND($B879&lt;&gt;"",$D879="COST",$G879&lt;0),$G879,TRUE,)</f>
        <v/>
      </c>
      <c r="J879" s="235" t="str">
        <f t="array" ref="J879">IFS(AND($B879&lt;&gt;"",$E879&lt;&gt;""),IF(INDEX(HistoricSummary!E:E,MATCH($C879,HistoricSummary!$A:$A,0),1)&lt;&gt;"",$E879*INDEX(HistoricSummary!E:E,MATCH($C879,HistoricSummary!$A:$A,0),1)+$G879,""),AND($B879&lt;&gt;"",$D879="COST",$G879&lt;0),$G879,TRUE,)</f>
        <v/>
      </c>
    </row>
    <row r="880">
      <c r="A880" s="184">
        <v>42858.0</v>
      </c>
      <c r="B880" s="19" t="s">
        <v>298</v>
      </c>
      <c r="C880" s="49" t="s">
        <v>301</v>
      </c>
      <c r="D880" s="19" t="s">
        <v>414</v>
      </c>
      <c r="E880" s="19">
        <v>111.0</v>
      </c>
      <c r="F880" s="232">
        <v>104.22</v>
      </c>
      <c r="G880" s="233">
        <v>-11568.3</v>
      </c>
      <c r="H880" s="247" t="s">
        <v>1233</v>
      </c>
      <c r="I880" s="235" t="str">
        <f t="array" ref="I880">IFS(AND($B880&lt;&gt;"",$E880&lt;&gt;""),IF(INDEX(HistoricSummary!D:D,MATCH($C880,HistoricSummary!$A:$A,0),1)&lt;&gt;"",$E880*INDEX(HistoricSummary!D:D,MATCH($C880,HistoricSummary!$A:$A,0),1)+$G880,""),AND($B880&lt;&gt;"",$D880="COST",$G880&lt;0),$G880,TRUE,)</f>
        <v/>
      </c>
      <c r="J880" s="235" t="str">
        <f t="array" ref="J880">IFS(AND($B880&lt;&gt;"",$E880&lt;&gt;""),IF(INDEX(HistoricSummary!E:E,MATCH($C880,HistoricSummary!$A:$A,0),1)&lt;&gt;"",$E880*INDEX(HistoricSummary!E:E,MATCH($C880,HistoricSummary!$A:$A,0),1)+$G880,""),AND($B880&lt;&gt;"",$D880="COST",$G880&lt;0),$G880,TRUE,)</f>
        <v/>
      </c>
    </row>
    <row r="881">
      <c r="A881" s="184">
        <v>42857.0</v>
      </c>
      <c r="B881" s="19" t="s">
        <v>283</v>
      </c>
      <c r="C881" s="49" t="s">
        <v>284</v>
      </c>
      <c r="D881" s="19" t="s">
        <v>414</v>
      </c>
      <c r="E881" s="19">
        <v>181.0</v>
      </c>
      <c r="F881" s="232">
        <v>19.31</v>
      </c>
      <c r="G881" s="233">
        <v>-3495.11</v>
      </c>
      <c r="H881" s="234" t="s">
        <v>1234</v>
      </c>
      <c r="I881" s="235" t="str">
        <f t="array" ref="I881">IFS(AND($B881&lt;&gt;"",$E881&lt;&gt;""),IF(INDEX(HistoricSummary!D:D,MATCH($C881,HistoricSummary!$A:$A,0),1)&lt;&gt;"",$E881*INDEX(HistoricSummary!D:D,MATCH($C881,HistoricSummary!$A:$A,0),1)+$G881,""),AND($B881&lt;&gt;"",$D881="COST",$G881&lt;0),$G881,TRUE,)</f>
        <v/>
      </c>
      <c r="J881" s="235" t="str">
        <f t="array" ref="J881">IFS(AND($B881&lt;&gt;"",$E881&lt;&gt;""),IF(INDEX(HistoricSummary!E:E,MATCH($C881,HistoricSummary!$A:$A,0),1)&lt;&gt;"",$E881*INDEX(HistoricSummary!E:E,MATCH($C881,HistoricSummary!$A:$A,0),1)+$G881,""),AND($B881&lt;&gt;"",$D881="COST",$G881&lt;0),$G881,TRUE,)</f>
        <v/>
      </c>
    </row>
    <row r="882" ht="1.5" customHeight="1">
      <c r="A882" s="184">
        <v>42856.0</v>
      </c>
      <c r="B882" s="19" t="s">
        <v>292</v>
      </c>
      <c r="C882" s="49" t="s">
        <v>295</v>
      </c>
      <c r="D882" s="19" t="s">
        <v>414</v>
      </c>
      <c r="E882" s="19">
        <v>66.0</v>
      </c>
      <c r="F882" s="232">
        <v>97.561</v>
      </c>
      <c r="G882" s="233">
        <v>-6439.03</v>
      </c>
      <c r="H882" s="234" t="s">
        <v>1235</v>
      </c>
      <c r="I882" s="235" t="str">
        <f t="array" ref="I882">IFS(AND($B882&lt;&gt;"",$E882&lt;&gt;""),IF(INDEX(HistoricSummary!D:D,MATCH($C882,HistoricSummary!$A:$A,0),1)&lt;&gt;"",$E882*INDEX(HistoricSummary!D:D,MATCH($C882,HistoricSummary!$A:$A,0),1)+$G882,""),AND($B882&lt;&gt;"",$D882="COST",$G882&lt;0),$G882,TRUE,)</f>
        <v/>
      </c>
      <c r="J882" s="235" t="str">
        <f t="array" ref="J882">IFS(AND($B882&lt;&gt;"",$E882&lt;&gt;""),IF(INDEX(HistoricSummary!E:E,MATCH($C882,HistoricSummary!$A:$A,0),1)&lt;&gt;"",$E882*INDEX(HistoricSummary!E:E,MATCH($C882,HistoricSummary!$A:$A,0),1)+$G882,""),AND($B882&lt;&gt;"",$D882="COST",$G882&lt;0),$G882,TRUE,)</f>
        <v/>
      </c>
    </row>
    <row r="883" ht="1.5" customHeight="1">
      <c r="A883" s="184">
        <v>42856.0</v>
      </c>
      <c r="B883" s="19" t="s">
        <v>302</v>
      </c>
      <c r="C883" s="49" t="s">
        <v>305</v>
      </c>
      <c r="D883" s="19" t="s">
        <v>414</v>
      </c>
      <c r="E883" s="19">
        <v>115.0</v>
      </c>
      <c r="F883" s="232">
        <v>112.8</v>
      </c>
      <c r="G883" s="233">
        <v>-12972.31</v>
      </c>
      <c r="H883" s="234" t="s">
        <v>1236</v>
      </c>
      <c r="I883" s="235" t="str">
        <f t="array" ref="I883">IFS(AND($B883&lt;&gt;"",$E883&lt;&gt;""),IF(INDEX(HistoricSummary!D:D,MATCH($C883,HistoricSummary!$A:$A,0),1)&lt;&gt;"",$E883*INDEX(HistoricSummary!D:D,MATCH($C883,HistoricSummary!$A:$A,0),1)+$G883,""),AND($B883&lt;&gt;"",$D883="COST",$G883&lt;0),$G883,TRUE,)</f>
        <v/>
      </c>
      <c r="J883" s="235" t="str">
        <f t="array" ref="J883">IFS(AND($B883&lt;&gt;"",$E883&lt;&gt;""),IF(INDEX(HistoricSummary!E:E,MATCH($C883,HistoricSummary!$A:$A,0),1)&lt;&gt;"",$E883*INDEX(HistoricSummary!E:E,MATCH($C883,HistoricSummary!$A:$A,0),1)+$G883,""),AND($B883&lt;&gt;"",$D883="COST",$G883&lt;0),$G883,TRUE,)</f>
        <v/>
      </c>
    </row>
    <row r="884">
      <c r="A884" s="184">
        <v>42856.0</v>
      </c>
      <c r="B884" s="19" t="s">
        <v>288</v>
      </c>
      <c r="C884" s="49" t="s">
        <v>291</v>
      </c>
      <c r="D884" s="19" t="s">
        <v>414</v>
      </c>
      <c r="E884" s="19">
        <v>290.0</v>
      </c>
      <c r="F884" s="232">
        <v>11.16</v>
      </c>
      <c r="G884" s="233">
        <v>-3235.89</v>
      </c>
      <c r="H884" s="234" t="s">
        <v>1237</v>
      </c>
      <c r="I884" s="235" t="str">
        <f t="array" ref="I884">IFS(AND($B884&lt;&gt;"",$E884&lt;&gt;""),IF(INDEX(HistoricSummary!D:D,MATCH($C884,HistoricSummary!$A:$A,0),1)&lt;&gt;"",$E884*INDEX(HistoricSummary!D:D,MATCH($C884,HistoricSummary!$A:$A,0),1)+$G884,""),AND($B884&lt;&gt;"",$D884="COST",$G884&lt;0),$G884,TRUE,)</f>
        <v/>
      </c>
      <c r="J884" s="235" t="str">
        <f t="array" ref="J884">IFS(AND($B884&lt;&gt;"",$E884&lt;&gt;""),IF(INDEX(HistoricSummary!E:E,MATCH($C884,HistoricSummary!$A:$A,0),1)&lt;&gt;"",$E884*INDEX(HistoricSummary!E:E,MATCH($C884,HistoricSummary!$A:$A,0),1)+$G884,""),AND($B884&lt;&gt;"",$D884="COST",$G884&lt;0),$G884,TRUE,)</f>
        <v/>
      </c>
    </row>
    <row r="885">
      <c r="A885" s="184">
        <v>42856.0</v>
      </c>
      <c r="B885" s="19" t="s">
        <v>298</v>
      </c>
      <c r="C885" s="49" t="s">
        <v>301</v>
      </c>
      <c r="D885" s="19" t="s">
        <v>414</v>
      </c>
      <c r="E885" s="19">
        <v>166.0</v>
      </c>
      <c r="F885" s="232">
        <v>103.67</v>
      </c>
      <c r="G885" s="233">
        <v>-17209.62</v>
      </c>
      <c r="H885" s="234" t="s">
        <v>1238</v>
      </c>
      <c r="I885" s="235" t="str">
        <f t="array" ref="I885">IFS(AND($B885&lt;&gt;"",$E885&lt;&gt;""),IF(INDEX(HistoricSummary!D:D,MATCH($C885,HistoricSummary!$A:$A,0),1)&lt;&gt;"",$E885*INDEX(HistoricSummary!D:D,MATCH($C885,HistoricSummary!$A:$A,0),1)+$G885,""),AND($B885&lt;&gt;"",$D885="COST",$G885&lt;0),$G885,TRUE,)</f>
        <v/>
      </c>
      <c r="J885" s="235" t="str">
        <f t="array" ref="J885">IFS(AND($B885&lt;&gt;"",$E885&lt;&gt;""),IF(INDEX(HistoricSummary!E:E,MATCH($C885,HistoricSummary!$A:$A,0),1)&lt;&gt;"",$E885*INDEX(HistoricSummary!E:E,MATCH($C885,HistoricSummary!$A:$A,0),1)+$G885,""),AND($B885&lt;&gt;"",$D885="COST",$G885&lt;0),$G885,TRUE,)</f>
        <v/>
      </c>
    </row>
    <row r="886">
      <c r="A886" s="184">
        <v>42853.0</v>
      </c>
      <c r="B886" s="229"/>
      <c r="C886" s="230"/>
      <c r="D886" s="231" t="s">
        <v>454</v>
      </c>
      <c r="E886" s="231"/>
      <c r="F886" s="232"/>
      <c r="G886" s="233">
        <v>43355.53</v>
      </c>
      <c r="H886" s="230" t="s">
        <v>1239</v>
      </c>
      <c r="I886" s="235" t="str">
        <f t="array" ref="I886">IFS(AND($B886&lt;&gt;"",$E886&lt;&gt;""),IF(INDEX(HistoricSummary!D:D,MATCH($C886,HistoricSummary!$A:$A,0),1)&lt;&gt;"",$E886*INDEX(HistoricSummary!D:D,MATCH($C886,HistoricSummary!$A:$A,0),1)+$G886,""),AND($B886&lt;&gt;"",$D886="COST",$G886&lt;0),$G886,TRUE,)</f>
        <v/>
      </c>
      <c r="J886" s="235" t="str">
        <f t="array" ref="J886">IFS(AND($B886&lt;&gt;"",$E886&lt;&gt;""),IF(INDEX(HistoricSummary!E:E,MATCH($C886,HistoricSummary!$A:$A,0),1)&lt;&gt;"",$E886*INDEX(HistoricSummary!E:E,MATCH($C886,HistoricSummary!$A:$A,0),1)+$G886,""),AND($B886&lt;&gt;"",$D886="COST",$G886&lt;0),$G886,TRUE,)</f>
        <v/>
      </c>
    </row>
    <row r="887">
      <c r="A887" s="184">
        <v>42846.0</v>
      </c>
      <c r="B887" s="229"/>
      <c r="C887" s="230"/>
      <c r="D887" s="231" t="s">
        <v>454</v>
      </c>
      <c r="E887" s="231"/>
      <c r="F887" s="232"/>
      <c r="G887" s="233">
        <v>1.0</v>
      </c>
      <c r="H887" s="230" t="s">
        <v>1240</v>
      </c>
      <c r="I887" s="235" t="str">
        <f t="array" ref="I887">IFS(AND($B887&lt;&gt;"",$E887&lt;&gt;""),IF(INDEX(HistoricSummary!D:D,MATCH($C887,HistoricSummary!$A:$A,0),1)&lt;&gt;"",$E887*INDEX(HistoricSummary!D:D,MATCH($C887,HistoricSummary!$A:$A,0),1)+$G887,""),AND($B887&lt;&gt;"",$D887="COST",$G887&lt;0),$G887,TRUE,)</f>
        <v/>
      </c>
      <c r="J887" s="235" t="str">
        <f t="array" ref="J887">IFS(AND($B887&lt;&gt;"",$E887&lt;&gt;""),IF(INDEX(HistoricSummary!E:E,MATCH($C887,HistoricSummary!$A:$A,0),1)&lt;&gt;"",$E887*INDEX(HistoricSummary!E:E,MATCH($C887,HistoricSummary!$A:$A,0),1)+$G887,""),AND($B887&lt;&gt;"",$D887="COST",$G887&lt;0),$G887,TRUE,)</f>
        <v/>
      </c>
    </row>
    <row r="888">
      <c r="A888" s="248">
        <v>42845.0</v>
      </c>
      <c r="B888" s="249"/>
      <c r="C888" s="250"/>
      <c r="D888" s="251" t="s">
        <v>432</v>
      </c>
      <c r="E888" s="249"/>
      <c r="F888" s="252"/>
      <c r="G888" s="253">
        <v>-6.0</v>
      </c>
      <c r="H888" s="236" t="s">
        <v>1241</v>
      </c>
      <c r="I888" s="235" t="str">
        <f t="array" ref="I888">IFS(AND($B888&lt;&gt;"",$E888&lt;&gt;""),IF(INDEX(HistoricSummary!D:D,MATCH($C888,HistoricSummary!$A:$A,0),1)&lt;&gt;"",$E888*INDEX(HistoricSummary!D:D,MATCH($C888,HistoricSummary!$A:$A,0),1)+$G888,""),AND($B888&lt;&gt;"",$D888="COST",$G888&lt;0),$G888,TRUE,)</f>
        <v/>
      </c>
      <c r="J888" s="235" t="str">
        <f t="array" ref="J888">IFS(AND($B888&lt;&gt;"",$E888&lt;&gt;""),IF(INDEX(HistoricSummary!E:E,MATCH($C888,HistoricSummary!$A:$A,0),1)&lt;&gt;"",$E888*INDEX(HistoricSummary!E:E,MATCH($C888,HistoricSummary!$A:$A,0),1)+$G888,""),AND($B888&lt;&gt;"",$D888="COST",$G888&lt;0),$G888,TRUE,)</f>
        <v/>
      </c>
    </row>
    <row r="889">
      <c r="A889" s="248">
        <v>42845.0</v>
      </c>
      <c r="B889" s="249"/>
      <c r="C889" s="250"/>
      <c r="D889" s="251" t="s">
        <v>454</v>
      </c>
      <c r="E889" s="249"/>
      <c r="F889" s="252"/>
      <c r="G889" s="253">
        <v>-45404.0</v>
      </c>
      <c r="H889" s="236" t="s">
        <v>1242</v>
      </c>
      <c r="I889" s="235" t="str">
        <f t="array" ref="I889">IFS(AND($B889&lt;&gt;"",$E889&lt;&gt;""),IF(INDEX(HistoricSummary!D:D,MATCH($C889,HistoricSummary!$A:$A,0),1)&lt;&gt;"",$E889*INDEX(HistoricSummary!D:D,MATCH($C889,HistoricSummary!$A:$A,0),1)+$G889,""),AND($B889&lt;&gt;"",$D889="COST",$G889&lt;0),$G889,TRUE,)</f>
        <v/>
      </c>
      <c r="J889" s="235" t="str">
        <f t="array" ref="J889">IFS(AND($B889&lt;&gt;"",$E889&lt;&gt;""),IF(INDEX(HistoricSummary!E:E,MATCH($C889,HistoricSummary!$A:$A,0),1)&lt;&gt;"",$E889*INDEX(HistoricSummary!E:E,MATCH($C889,HistoricSummary!$A:$A,0),1)+$G889,""),AND($B889&lt;&gt;"",$D889="COST",$G889&lt;0),$G889,TRUE,)</f>
        <v/>
      </c>
    </row>
    <row r="890">
      <c r="A890" s="248">
        <v>42845.0</v>
      </c>
      <c r="B890" s="249"/>
      <c r="C890" s="250"/>
      <c r="D890" s="251" t="s">
        <v>454</v>
      </c>
      <c r="E890" s="249"/>
      <c r="F890" s="252"/>
      <c r="G890" s="253">
        <v>-452.53</v>
      </c>
      <c r="H890" s="236" t="s">
        <v>1243</v>
      </c>
      <c r="I890" s="235" t="str">
        <f t="array" ref="I890">IFS(AND($B890&lt;&gt;"",$E890&lt;&gt;""),IF(INDEX(HistoricSummary!D:D,MATCH($C890,HistoricSummary!$A:$A,0),1)&lt;&gt;"",$E890*INDEX(HistoricSummary!D:D,MATCH($C890,HistoricSummary!$A:$A,0),1)+$G890,""),AND($B890&lt;&gt;"",$D890="COST",$G890&lt;0),$G890,TRUE,)</f>
        <v/>
      </c>
      <c r="J890" s="235" t="str">
        <f t="array" ref="J890">IFS(AND($B890&lt;&gt;"",$E890&lt;&gt;""),IF(INDEX(HistoricSummary!E:E,MATCH($C890,HistoricSummary!$A:$A,0),1)&lt;&gt;"",$E890*INDEX(HistoricSummary!E:E,MATCH($C890,HistoricSummary!$A:$A,0),1)+$G890,""),AND($B890&lt;&gt;"",$D890="COST",$G890&lt;0),$G890,TRUE,)</f>
        <v/>
      </c>
    </row>
    <row r="891">
      <c r="A891" s="254">
        <v>42845.0</v>
      </c>
      <c r="B891" s="255" t="s">
        <v>298</v>
      </c>
      <c r="C891" s="256" t="s">
        <v>301</v>
      </c>
      <c r="D891" s="255" t="s">
        <v>415</v>
      </c>
      <c r="E891" s="257">
        <v>-179.0</v>
      </c>
      <c r="F891" s="258">
        <v>107.2757</v>
      </c>
      <c r="G891" s="259">
        <v>19185.08</v>
      </c>
      <c r="H891" s="236" t="s">
        <v>1244</v>
      </c>
      <c r="I891" s="235" t="str">
        <f t="array" ref="I891">IFS(AND($B891&lt;&gt;"",$E891&lt;&gt;""),IF(INDEX(HistoricSummary!D:D,MATCH($C891,HistoricSummary!$A:$A,0),1)&lt;&gt;"",$E891*INDEX(HistoricSummary!D:D,MATCH($C891,HistoricSummary!$A:$A,0),1)+$G891,""),AND($B891&lt;&gt;"",$D891="COST",$G891&lt;0),$G891,TRUE,)</f>
        <v/>
      </c>
      <c r="J891" s="235" t="str">
        <f t="array" ref="J891">IFS(AND($B891&lt;&gt;"",$E891&lt;&gt;""),IF(INDEX(HistoricSummary!E:E,MATCH($C891,HistoricSummary!$A:$A,0),1)&lt;&gt;"",$E891*INDEX(HistoricSummary!E:E,MATCH($C891,HistoricSummary!$A:$A,0),1)+$G891,""),AND($B891&lt;&gt;"",$D891="COST",$G891&lt;0),$G891,TRUE,)</f>
        <v/>
      </c>
    </row>
    <row r="892">
      <c r="A892" s="254">
        <v>42845.0</v>
      </c>
      <c r="B892" s="255" t="s">
        <v>288</v>
      </c>
      <c r="C892" s="256" t="s">
        <v>291</v>
      </c>
      <c r="D892" s="255" t="s">
        <v>415</v>
      </c>
      <c r="E892" s="257">
        <v>-292.0</v>
      </c>
      <c r="F892" s="258">
        <v>11.4687</v>
      </c>
      <c r="G892" s="259">
        <v>3340.35</v>
      </c>
      <c r="H892" s="236" t="s">
        <v>1245</v>
      </c>
      <c r="I892" s="235" t="str">
        <f t="array" ref="I892">IFS(AND($B892&lt;&gt;"",$E892&lt;&gt;""),IF(INDEX(HistoricSummary!D:D,MATCH($C892,HistoricSummary!$A:$A,0),1)&lt;&gt;"",$E892*INDEX(HistoricSummary!D:D,MATCH($C892,HistoricSummary!$A:$A,0),1)+$G892,""),AND($B892&lt;&gt;"",$D892="COST",$G892&lt;0),$G892,TRUE,)</f>
        <v/>
      </c>
      <c r="J892" s="235" t="str">
        <f t="array" ref="J892">IFS(AND($B892&lt;&gt;"",$E892&lt;&gt;""),IF(INDEX(HistoricSummary!E:E,MATCH($C892,HistoricSummary!$A:$A,0),1)&lt;&gt;"",$E892*INDEX(HistoricSummary!E:E,MATCH($C892,HistoricSummary!$A:$A,0),1)+$G892,""),AND($B892&lt;&gt;"",$D892="COST",$G892&lt;0),$G892,TRUE,)</f>
        <v/>
      </c>
    </row>
    <row r="893">
      <c r="A893" s="254">
        <v>42845.0</v>
      </c>
      <c r="B893" s="255" t="s">
        <v>292</v>
      </c>
      <c r="C893" s="256" t="s">
        <v>295</v>
      </c>
      <c r="D893" s="255" t="s">
        <v>415</v>
      </c>
      <c r="E893" s="257">
        <v>-67.0</v>
      </c>
      <c r="F893" s="258">
        <v>99.6126</v>
      </c>
      <c r="G893" s="259">
        <v>6665.55</v>
      </c>
      <c r="H893" s="236" t="s">
        <v>1246</v>
      </c>
      <c r="I893" s="235" t="str">
        <f t="array" ref="I893">IFS(AND($B893&lt;&gt;"",$E893&lt;&gt;""),IF(INDEX(HistoricSummary!D:D,MATCH($C893,HistoricSummary!$A:$A,0),1)&lt;&gt;"",$E893*INDEX(HistoricSummary!D:D,MATCH($C893,HistoricSummary!$A:$A,0),1)+$G893,""),AND($B893&lt;&gt;"",$D893="COST",$G893&lt;0),$G893,TRUE,)</f>
        <v/>
      </c>
      <c r="J893" s="235" t="str">
        <f t="array" ref="J893">IFS(AND($B893&lt;&gt;"",$E893&lt;&gt;""),IF(INDEX(HistoricSummary!E:E,MATCH($C893,HistoricSummary!$A:$A,0),1)&lt;&gt;"",$E893*INDEX(HistoricSummary!E:E,MATCH($C893,HistoricSummary!$A:$A,0),1)+$G893,""),AND($B893&lt;&gt;"",$D893="COST",$G893&lt;0),$G893,TRUE,)</f>
        <v/>
      </c>
    </row>
    <row r="894" ht="1.5" customHeight="1">
      <c r="A894" s="254">
        <v>42845.0</v>
      </c>
      <c r="B894" s="255" t="s">
        <v>283</v>
      </c>
      <c r="C894" s="256" t="s">
        <v>284</v>
      </c>
      <c r="D894" s="255" t="s">
        <v>415</v>
      </c>
      <c r="E894" s="257">
        <v>-211.0</v>
      </c>
      <c r="F894" s="258">
        <v>14.3195</v>
      </c>
      <c r="G894" s="259">
        <v>3012.92</v>
      </c>
      <c r="H894" s="236" t="s">
        <v>1247</v>
      </c>
      <c r="I894" s="235" t="str">
        <f t="array" ref="I894">IFS(AND($B894&lt;&gt;"",$E894&lt;&gt;""),IF(INDEX(HistoricSummary!D:D,MATCH($C894,HistoricSummary!$A:$A,0),1)&lt;&gt;"",$E894*INDEX(HistoricSummary!D:D,MATCH($C894,HistoricSummary!$A:$A,0),1)+$G894,""),AND($B894&lt;&gt;"",$D894="COST",$G894&lt;0),$G894,TRUE,)</f>
        <v/>
      </c>
      <c r="J894" s="235" t="str">
        <f t="array" ref="J894">IFS(AND($B894&lt;&gt;"",$E894&lt;&gt;""),IF(INDEX(HistoricSummary!E:E,MATCH($C894,HistoricSummary!$A:$A,0),1)&lt;&gt;"",$E894*INDEX(HistoricSummary!E:E,MATCH($C894,HistoricSummary!$A:$A,0),1)+$G894,""),AND($B894&lt;&gt;"",$D894="COST",$G894&lt;0),$G894,TRUE,)</f>
        <v/>
      </c>
    </row>
    <row r="895" ht="1.5" customHeight="1">
      <c r="A895" s="254">
        <v>42845.0</v>
      </c>
      <c r="B895" s="255" t="s">
        <v>302</v>
      </c>
      <c r="C895" s="260" t="s">
        <v>305</v>
      </c>
      <c r="D895" s="255" t="s">
        <v>415</v>
      </c>
      <c r="E895" s="257">
        <v>-120.0</v>
      </c>
      <c r="F895" s="258">
        <v>112.3483</v>
      </c>
      <c r="G895" s="259">
        <v>13469.67</v>
      </c>
      <c r="H895" s="236" t="s">
        <v>1248</v>
      </c>
      <c r="I895" s="235" t="str">
        <f t="array" ref="I895">IFS(AND($B895&lt;&gt;"",$E895&lt;&gt;""),IF(INDEX(HistoricSummary!D:D,MATCH($C895,HistoricSummary!$A:$A,0),1)&lt;&gt;"",$E895*INDEX(HistoricSummary!D:D,MATCH($C895,HistoricSummary!$A:$A,0),1)+$G895,""),AND($B895&lt;&gt;"",$D895="COST",$G895&lt;0),$G895,TRUE,)</f>
        <v/>
      </c>
      <c r="J895" s="235" t="str">
        <f t="array" ref="J895">IFS(AND($B895&lt;&gt;"",$E895&lt;&gt;""),IF(INDEX(HistoricSummary!E:E,MATCH($C895,HistoricSummary!$A:$A,0),1)&lt;&gt;"",$E895*INDEX(HistoricSummary!E:E,MATCH($C895,HistoricSummary!$A:$A,0),1)+$G895,""),AND($B895&lt;&gt;"",$D895="COST",$G895&lt;0),$G895,TRUE,)</f>
        <v/>
      </c>
    </row>
    <row r="896" ht="1.5" customHeight="1">
      <c r="A896" s="184">
        <v>42845.0</v>
      </c>
      <c r="B896" s="19" t="s">
        <v>292</v>
      </c>
      <c r="C896" s="49" t="s">
        <v>295</v>
      </c>
      <c r="D896" s="19" t="s">
        <v>475</v>
      </c>
      <c r="E896" s="19"/>
      <c r="F896" s="232"/>
      <c r="G896" s="233">
        <v>4.9</v>
      </c>
      <c r="H896" s="236" t="s">
        <v>1249</v>
      </c>
      <c r="I896" s="235" t="str">
        <f t="array" ref="I896">IFS(AND($B896&lt;&gt;"",$E896&lt;&gt;""),IF(INDEX(HistoricSummary!D:D,MATCH($C896,HistoricSummary!$A:$A,0),1)&lt;&gt;"",$E896*INDEX(HistoricSummary!D:D,MATCH($C896,HistoricSummary!$A:$A,0),1)+$G896,""),AND($B896&lt;&gt;"",$D896="COST",$G896&lt;0),$G896,TRUE,)</f>
        <v/>
      </c>
      <c r="J896" s="235" t="str">
        <f t="array" ref="J896">IFS(AND($B896&lt;&gt;"",$E896&lt;&gt;""),IF(INDEX(HistoricSummary!E:E,MATCH($C896,HistoricSummary!$A:$A,0),1)&lt;&gt;"",$E896*INDEX(HistoricSummary!E:E,MATCH($C896,HistoricSummary!$A:$A,0),1)+$G896,""),AND($B896&lt;&gt;"",$D896="COST",$G896&lt;0),$G896,TRUE,)</f>
        <v/>
      </c>
    </row>
    <row r="897">
      <c r="A897" s="184">
        <v>42836.0</v>
      </c>
      <c r="B897" s="19" t="s">
        <v>298</v>
      </c>
      <c r="C897" s="49" t="s">
        <v>301</v>
      </c>
      <c r="D897" s="19" t="s">
        <v>475</v>
      </c>
      <c r="E897" s="19"/>
      <c r="F897" s="232"/>
      <c r="G897" s="233">
        <v>56.77</v>
      </c>
      <c r="H897" s="236" t="s">
        <v>1250</v>
      </c>
      <c r="I897" s="235" t="str">
        <f t="array" ref="I897">IFS(AND($B897&lt;&gt;"",$E897&lt;&gt;""),IF(INDEX(HistoricSummary!D:D,MATCH($C897,HistoricSummary!$A:$A,0),1)&lt;&gt;"",$E897*INDEX(HistoricSummary!D:D,MATCH($C897,HistoricSummary!$A:$A,0),1)+$G897,""),AND($B897&lt;&gt;"",$D897="COST",$G897&lt;0),$G897,TRUE,)</f>
        <v/>
      </c>
      <c r="J897" s="235" t="str">
        <f t="array" ref="J897">IFS(AND($B897&lt;&gt;"",$E897&lt;&gt;""),IF(INDEX(HistoricSummary!E:E,MATCH($C897,HistoricSummary!$A:$A,0),1)&lt;&gt;"",$E897*INDEX(HistoricSummary!E:E,MATCH($C897,HistoricSummary!$A:$A,0),1)+$G897,""),AND($B897&lt;&gt;"",$D897="COST",$G897&lt;0),$G897,TRUE,)</f>
        <v/>
      </c>
    </row>
    <row r="898" ht="1.5" customHeight="1">
      <c r="A898" s="184">
        <v>42835.0</v>
      </c>
      <c r="B898" s="19" t="s">
        <v>302</v>
      </c>
      <c r="C898" s="49" t="s">
        <v>305</v>
      </c>
      <c r="D898" s="19" t="s">
        <v>475</v>
      </c>
      <c r="E898" s="19"/>
      <c r="F898" s="232"/>
      <c r="G898" s="233">
        <v>29.55</v>
      </c>
      <c r="H898" s="236" t="s">
        <v>1251</v>
      </c>
      <c r="I898" s="235" t="str">
        <f t="array" ref="I898">IFS(AND($B898&lt;&gt;"",$E898&lt;&gt;""),IF(INDEX(HistoricSummary!D:D,MATCH($C898,HistoricSummary!$A:$A,0),1)&lt;&gt;"",$E898*INDEX(HistoricSummary!D:D,MATCH($C898,HistoricSummary!$A:$A,0),1)+$G898,""),AND($B898&lt;&gt;"",$D898="COST",$G898&lt;0),$G898,TRUE,)</f>
        <v/>
      </c>
      <c r="J898" s="235" t="str">
        <f t="array" ref="J898">IFS(AND($B898&lt;&gt;"",$E898&lt;&gt;""),IF(INDEX(HistoricSummary!E:E,MATCH($C898,HistoricSummary!$A:$A,0),1)&lt;&gt;"",$E898*INDEX(HistoricSummary!E:E,MATCH($C898,HistoricSummary!$A:$A,0),1)+$G898,""),AND($B898&lt;&gt;"",$D898="COST",$G898&lt;0),$G898,TRUE,)</f>
        <v/>
      </c>
    </row>
    <row r="899" ht="1.5" customHeight="1">
      <c r="A899" s="184">
        <v>42829.0</v>
      </c>
      <c r="B899" s="171"/>
      <c r="C899" s="261"/>
      <c r="D899" s="19" t="s">
        <v>432</v>
      </c>
      <c r="E899" s="171"/>
      <c r="F899" s="232"/>
      <c r="G899" s="233">
        <v>-0.16</v>
      </c>
      <c r="H899" s="236" t="s">
        <v>1252</v>
      </c>
      <c r="I899" s="235" t="str">
        <f t="array" ref="I899">IFS(AND($B899&lt;&gt;"",$E899&lt;&gt;""),IF(INDEX(HistoricSummary!D:D,MATCH($C899,HistoricSummary!$A:$A,0),1)&lt;&gt;"",$E899*INDEX(HistoricSummary!D:D,MATCH($C899,HistoricSummary!$A:$A,0),1)+$G899,""),AND($B899&lt;&gt;"",$D899="COST",$G899&lt;0),$G899,TRUE,)</f>
        <v/>
      </c>
      <c r="J899" s="235" t="str">
        <f t="array" ref="J899">IFS(AND($B899&lt;&gt;"",$E899&lt;&gt;""),IF(INDEX(HistoricSummary!E:E,MATCH($C899,HistoricSummary!$A:$A,0),1)&lt;&gt;"",$E899*INDEX(HistoricSummary!E:E,MATCH($C899,HistoricSummary!$A:$A,0),1)+$G899,""),AND($B899&lt;&gt;"",$D899="COST",$G899&lt;0),$G899,TRUE,)</f>
        <v/>
      </c>
    </row>
    <row r="900" ht="1.5" customHeight="1">
      <c r="A900" s="184">
        <v>42803.0</v>
      </c>
      <c r="B900" s="19" t="s">
        <v>292</v>
      </c>
      <c r="C900" s="49" t="s">
        <v>295</v>
      </c>
      <c r="D900" s="19" t="s">
        <v>475</v>
      </c>
      <c r="E900" s="19"/>
      <c r="F900" s="232"/>
      <c r="G900" s="233">
        <v>4.5</v>
      </c>
      <c r="H900" s="236" t="s">
        <v>1253</v>
      </c>
      <c r="I900" s="235" t="str">
        <f t="array" ref="I900">IFS(AND($B900&lt;&gt;"",$E900&lt;&gt;""),IF(INDEX(HistoricSummary!D:D,MATCH($C900,HistoricSummary!$A:$A,0),1)&lt;&gt;"",$E900*INDEX(HistoricSummary!D:D,MATCH($C900,HistoricSummary!$A:$A,0),1)+$G900,""),AND($B900&lt;&gt;"",$D900="COST",$G900&lt;0),$G900,TRUE,)</f>
        <v/>
      </c>
      <c r="J900" s="235" t="str">
        <f t="array" ref="J900">IFS(AND($B900&lt;&gt;"",$E900&lt;&gt;""),IF(INDEX(HistoricSummary!E:E,MATCH($C900,HistoricSummary!$A:$A,0),1)&lt;&gt;"",$E900*INDEX(HistoricSummary!E:E,MATCH($C900,HistoricSummary!$A:$A,0),1)+$G900,""),AND($B900&lt;&gt;"",$D900="COST",$G900&lt;0),$G900,TRUE,)</f>
        <v/>
      </c>
    </row>
    <row r="901">
      <c r="A901" s="184">
        <v>42787.0</v>
      </c>
      <c r="B901" s="19" t="s">
        <v>298</v>
      </c>
      <c r="C901" s="49" t="s">
        <v>301</v>
      </c>
      <c r="D901" s="19" t="s">
        <v>414</v>
      </c>
      <c r="E901" s="19">
        <v>23.0</v>
      </c>
      <c r="F901" s="232">
        <v>105.6173</v>
      </c>
      <c r="G901" s="233">
        <v>-2437.7</v>
      </c>
      <c r="H901" s="236" t="s">
        <v>1254</v>
      </c>
      <c r="I901" s="235" t="str">
        <f t="array" ref="I901">IFS(AND($B901&lt;&gt;"",$E901&lt;&gt;""),IF(INDEX(HistoricSummary!D:D,MATCH($C901,HistoricSummary!$A:$A,0),1)&lt;&gt;"",$E901*INDEX(HistoricSummary!D:D,MATCH($C901,HistoricSummary!$A:$A,0),1)+$G901,""),AND($B901&lt;&gt;"",$D901="COST",$G901&lt;0),$G901,TRUE,)</f>
        <v/>
      </c>
      <c r="J901" s="235" t="str">
        <f t="array" ref="J901">IFS(AND($B901&lt;&gt;"",$E901&lt;&gt;""),IF(INDEX(HistoricSummary!E:E,MATCH($C901,HistoricSummary!$A:$A,0),1)&lt;&gt;"",$E901*INDEX(HistoricSummary!E:E,MATCH($C901,HistoricSummary!$A:$A,0),1)+$G901,""),AND($B901&lt;&gt;"",$D901="COST",$G901&lt;0),$G901,TRUE,)</f>
        <v/>
      </c>
    </row>
    <row r="902">
      <c r="A902" s="184">
        <v>42787.0</v>
      </c>
      <c r="B902" s="19" t="s">
        <v>302</v>
      </c>
      <c r="C902" s="49" t="s">
        <v>305</v>
      </c>
      <c r="D902" s="19" t="s">
        <v>415</v>
      </c>
      <c r="E902" s="19">
        <v>-16.0</v>
      </c>
      <c r="F902" s="232">
        <v>114.4055</v>
      </c>
      <c r="G902" s="233">
        <v>1821.99</v>
      </c>
      <c r="H902" s="236" t="s">
        <v>1255</v>
      </c>
      <c r="I902" s="235" t="str">
        <f t="array" ref="I902">IFS(AND($B902&lt;&gt;"",$E902&lt;&gt;""),IF(INDEX(HistoricSummary!D:D,MATCH($C902,HistoricSummary!$A:$A,0),1)&lt;&gt;"",$E902*INDEX(HistoricSummary!D:D,MATCH($C902,HistoricSummary!$A:$A,0),1)+$G902,""),AND($B902&lt;&gt;"",$D902="COST",$G902&lt;0),$G902,TRUE,)</f>
        <v/>
      </c>
      <c r="J902" s="235" t="str">
        <f t="array" ref="J902">IFS(AND($B902&lt;&gt;"",$E902&lt;&gt;""),IF(INDEX(HistoricSummary!E:E,MATCH($C902,HistoricSummary!$A:$A,0),1)&lt;&gt;"",$E902*INDEX(HistoricSummary!E:E,MATCH($C902,HistoricSummary!$A:$A,0),1)+$G902,""),AND($B902&lt;&gt;"",$D902="COST",$G902&lt;0),$G902,TRUE,)</f>
        <v/>
      </c>
    </row>
    <row r="903">
      <c r="A903" s="184">
        <v>42776.0</v>
      </c>
      <c r="B903" s="19" t="s">
        <v>292</v>
      </c>
      <c r="C903" s="49" t="s">
        <v>295</v>
      </c>
      <c r="D903" s="19" t="s">
        <v>475</v>
      </c>
      <c r="E903" s="19"/>
      <c r="F903" s="232"/>
      <c r="G903" s="233">
        <v>4.87</v>
      </c>
      <c r="H903" s="236" t="s">
        <v>1256</v>
      </c>
      <c r="I903" s="235" t="str">
        <f t="array" ref="I903">IFS(AND($B903&lt;&gt;"",$E903&lt;&gt;""),IF(INDEX(HistoricSummary!D:D,MATCH($C903,HistoricSummary!$A:$A,0),1)&lt;&gt;"",$E903*INDEX(HistoricSummary!D:D,MATCH($C903,HistoricSummary!$A:$A,0),1)+$G903,""),AND($B903&lt;&gt;"",$D903="COST",$G903&lt;0),$G903,TRUE,)</f>
        <v/>
      </c>
      <c r="J903" s="235" t="str">
        <f t="array" ref="J903">IFS(AND($B903&lt;&gt;"",$E903&lt;&gt;""),IF(INDEX(HistoricSummary!E:E,MATCH($C903,HistoricSummary!$A:$A,0),1)&lt;&gt;"",$E903*INDEX(HistoricSummary!E:E,MATCH($C903,HistoricSummary!$A:$A,0),1)+$G903,""),AND($B903&lt;&gt;"",$D903="COST",$G903&lt;0),$G903,TRUE,)</f>
        <v/>
      </c>
    </row>
    <row r="904">
      <c r="A904" s="184">
        <v>42739.0</v>
      </c>
      <c r="B904" s="171"/>
      <c r="C904" s="261"/>
      <c r="D904" s="19" t="s">
        <v>432</v>
      </c>
      <c r="E904" s="171"/>
      <c r="F904" s="232"/>
      <c r="G904" s="233">
        <v>-0.18</v>
      </c>
      <c r="H904" s="236" t="s">
        <v>1257</v>
      </c>
      <c r="I904" s="235" t="str">
        <f t="array" ref="I904">IFS(AND($B904&lt;&gt;"",$E904&lt;&gt;""),IF(INDEX(HistoricSummary!D:D,MATCH($C904,HistoricSummary!$A:$A,0),1)&lt;&gt;"",$E904*INDEX(HistoricSummary!D:D,MATCH($C904,HistoricSummary!$A:$A,0),1)+$G904,""),AND($B904&lt;&gt;"",$D904="COST",$G904&lt;0),$G904,TRUE,)</f>
        <v/>
      </c>
      <c r="J904" s="235" t="str">
        <f t="array" ref="J904">IFS(AND($B904&lt;&gt;"",$E904&lt;&gt;""),IF(INDEX(HistoricSummary!E:E,MATCH($C904,HistoricSummary!$A:$A,0),1)&lt;&gt;"",$E904*INDEX(HistoricSummary!E:E,MATCH($C904,HistoricSummary!$A:$A,0),1)+$G904,""),AND($B904&lt;&gt;"",$D904="COST",$G904&lt;0),$G904,TRUE,)</f>
        <v/>
      </c>
    </row>
    <row r="905">
      <c r="A905" s="184">
        <v>42738.0</v>
      </c>
      <c r="B905" s="19" t="s">
        <v>292</v>
      </c>
      <c r="C905" s="49" t="s">
        <v>295</v>
      </c>
      <c r="D905" s="19" t="s">
        <v>475</v>
      </c>
      <c r="E905" s="19"/>
      <c r="F905" s="232"/>
      <c r="G905" s="233">
        <v>5.12</v>
      </c>
      <c r="H905" s="236" t="s">
        <v>1258</v>
      </c>
      <c r="I905" s="235" t="str">
        <f t="array" ref="I905">IFS(AND($B905&lt;&gt;"",$E905&lt;&gt;""),IF(INDEX(HistoricSummary!D:D,MATCH($C905,HistoricSummary!$A:$A,0),1)&lt;&gt;"",$E905*INDEX(HistoricSummary!D:D,MATCH($C905,HistoricSummary!$A:$A,0),1)+$G905,""),AND($B905&lt;&gt;"",$D905="COST",$G905&lt;0),$G905,TRUE,)</f>
        <v/>
      </c>
      <c r="J905" s="235" t="str">
        <f t="array" ref="J905">IFS(AND($B905&lt;&gt;"",$E905&lt;&gt;""),IF(INDEX(HistoricSummary!E:E,MATCH($C905,HistoricSummary!$A:$A,0),1)&lt;&gt;"",$E905*INDEX(HistoricSummary!E:E,MATCH($C905,HistoricSummary!$A:$A,0),1)+$G905,""),AND($B905&lt;&gt;"",$D905="COST",$G905&lt;0),$G905,TRUE,)</f>
        <v/>
      </c>
    </row>
    <row r="906">
      <c r="A906" s="184">
        <v>42737.0</v>
      </c>
      <c r="B906" s="19" t="s">
        <v>298</v>
      </c>
      <c r="C906" s="49" t="s">
        <v>301</v>
      </c>
      <c r="D906" s="19" t="s">
        <v>475</v>
      </c>
      <c r="E906" s="19"/>
      <c r="F906" s="232"/>
      <c r="G906" s="233">
        <v>2.51</v>
      </c>
      <c r="H906" s="236" t="s">
        <v>1259</v>
      </c>
      <c r="I906" s="235" t="str">
        <f t="array" ref="I906">IFS(AND($B906&lt;&gt;"",$E906&lt;&gt;""),IF(INDEX(HistoricSummary!D:D,MATCH($C906,HistoricSummary!$A:$A,0),1)&lt;&gt;"",$E906*INDEX(HistoricSummary!D:D,MATCH($C906,HistoricSummary!$A:$A,0),1)+$G906,""),AND($B906&lt;&gt;"",$D906="COST",$G906&lt;0),$G906,TRUE,)</f>
        <v/>
      </c>
      <c r="J906" s="235" t="str">
        <f t="array" ref="J906">IFS(AND($B906&lt;&gt;"",$E906&lt;&gt;""),IF(INDEX(HistoricSummary!E:E,MATCH($C906,HistoricSummary!$A:$A,0),1)&lt;&gt;"",$E906*INDEX(HistoricSummary!E:E,MATCH($C906,HistoricSummary!$A:$A,0),1)+$G906,""),AND($B906&lt;&gt;"",$D906="COST",$G906&lt;0),$G906,TRUE,)</f>
        <v/>
      </c>
    </row>
    <row r="907">
      <c r="A907" s="184">
        <v>42737.0</v>
      </c>
      <c r="B907" s="19" t="s">
        <v>298</v>
      </c>
      <c r="C907" s="49" t="s">
        <v>301</v>
      </c>
      <c r="D907" s="19" t="s">
        <v>475</v>
      </c>
      <c r="E907" s="19"/>
      <c r="F907" s="232"/>
      <c r="G907" s="233">
        <v>230.23</v>
      </c>
      <c r="H907" s="236" t="s">
        <v>1260</v>
      </c>
      <c r="I907" s="235" t="str">
        <f t="array" ref="I907">IFS(AND($B907&lt;&gt;"",$E907&lt;&gt;""),IF(INDEX(HistoricSummary!D:D,MATCH($C907,HistoricSummary!$A:$A,0),1)&lt;&gt;"",$E907*INDEX(HistoricSummary!D:D,MATCH($C907,HistoricSummary!$A:$A,0),1)+$G907,""),AND($B907&lt;&gt;"",$D907="COST",$G907&lt;0),$G907,TRUE,)</f>
        <v/>
      </c>
      <c r="J907" s="235" t="str">
        <f t="array" ref="J907">IFS(AND($B907&lt;&gt;"",$E907&lt;&gt;""),IF(INDEX(HistoricSummary!E:E,MATCH($C907,HistoricSummary!$A:$A,0),1)&lt;&gt;"",$E907*INDEX(HistoricSummary!E:E,MATCH($C907,HistoricSummary!$A:$A,0),1)+$G907,""),AND($B907&lt;&gt;"",$D907="COST",$G907&lt;0),$G907,TRUE,)</f>
        <v/>
      </c>
    </row>
    <row r="908">
      <c r="A908" s="184">
        <v>42733.0</v>
      </c>
      <c r="B908" s="19" t="s">
        <v>298</v>
      </c>
      <c r="C908" s="49" t="s">
        <v>301</v>
      </c>
      <c r="D908" s="19" t="s">
        <v>475</v>
      </c>
      <c r="E908" s="19"/>
      <c r="F908" s="232"/>
      <c r="G908" s="233">
        <v>71.1</v>
      </c>
      <c r="H908" s="236" t="s">
        <v>1261</v>
      </c>
      <c r="I908" s="235" t="str">
        <f t="array" ref="I908">IFS(AND($B908&lt;&gt;"",$E908&lt;&gt;""),IF(INDEX(HistoricSummary!D:D,MATCH($C908,HistoricSummary!$A:$A,0),1)&lt;&gt;"",$E908*INDEX(HistoricSummary!D:D,MATCH($C908,HistoricSummary!$A:$A,0),1)+$G908,""),AND($B908&lt;&gt;"",$D908="COST",$G908&lt;0),$G908,TRUE,)</f>
        <v/>
      </c>
      <c r="J908" s="235" t="str">
        <f t="array" ref="J908">IFS(AND($B908&lt;&gt;"",$E908&lt;&gt;""),IF(INDEX(HistoricSummary!E:E,MATCH($C908,HistoricSummary!$A:$A,0),1)&lt;&gt;"",$E908*INDEX(HistoricSummary!E:E,MATCH($C908,HistoricSummary!$A:$A,0),1)+$G908,""),AND($B908&lt;&gt;"",$D908="COST",$G908&lt;0),$G908,TRUE,)</f>
        <v/>
      </c>
    </row>
    <row r="909">
      <c r="A909" s="184">
        <v>42733.0</v>
      </c>
      <c r="B909" s="19" t="s">
        <v>302</v>
      </c>
      <c r="C909" s="49" t="s">
        <v>305</v>
      </c>
      <c r="D909" s="19" t="s">
        <v>475</v>
      </c>
      <c r="E909" s="19"/>
      <c r="F909" s="232"/>
      <c r="G909" s="233">
        <v>46.16</v>
      </c>
      <c r="H909" s="236" t="s">
        <v>1262</v>
      </c>
      <c r="I909" s="235" t="str">
        <f t="array" ref="I909">IFS(AND($B909&lt;&gt;"",$E909&lt;&gt;""),IF(INDEX(HistoricSummary!D:D,MATCH($C909,HistoricSummary!$A:$A,0),1)&lt;&gt;"",$E909*INDEX(HistoricSummary!D:D,MATCH($C909,HistoricSummary!$A:$A,0),1)+$G909,""),AND($B909&lt;&gt;"",$D909="COST",$G909&lt;0),$G909,TRUE,)</f>
        <v/>
      </c>
      <c r="J909" s="235" t="str">
        <f t="array" ref="J909">IFS(AND($B909&lt;&gt;"",$E909&lt;&gt;""),IF(INDEX(HistoricSummary!E:E,MATCH($C909,HistoricSummary!$A:$A,0),1)&lt;&gt;"",$E909*INDEX(HistoricSummary!E:E,MATCH($C909,HistoricSummary!$A:$A,0),1)+$G909,""),AND($B909&lt;&gt;"",$D909="COST",$G909&lt;0),$G909,TRUE,)</f>
        <v/>
      </c>
    </row>
    <row r="910">
      <c r="A910" s="184">
        <v>42713.0</v>
      </c>
      <c r="B910" s="19" t="s">
        <v>292</v>
      </c>
      <c r="C910" s="49" t="s">
        <v>295</v>
      </c>
      <c r="D910" s="19" t="s">
        <v>475</v>
      </c>
      <c r="E910" s="19"/>
      <c r="F910" s="232"/>
      <c r="G910" s="233">
        <v>4.57</v>
      </c>
      <c r="H910" s="236" t="s">
        <v>1263</v>
      </c>
      <c r="I910" s="235" t="str">
        <f t="array" ref="I910">IFS(AND($B910&lt;&gt;"",$E910&lt;&gt;""),IF(INDEX(HistoricSummary!D:D,MATCH($C910,HistoricSummary!$A:$A,0),1)&lt;&gt;"",$E910*INDEX(HistoricSummary!D:D,MATCH($C910,HistoricSummary!$A:$A,0),1)+$G910,""),AND($B910&lt;&gt;"",$D910="COST",$G910&lt;0),$G910,TRUE,)</f>
        <v/>
      </c>
      <c r="J910" s="235" t="str">
        <f t="array" ref="J910">IFS(AND($B910&lt;&gt;"",$E910&lt;&gt;""),IF(INDEX(HistoricSummary!E:E,MATCH($C910,HistoricSummary!$A:$A,0),1)&lt;&gt;"",$E910*INDEX(HistoricSummary!E:E,MATCH($C910,HistoricSummary!$A:$A,0),1)+$G910,""),AND($B910&lt;&gt;"",$D910="COST",$G910&lt;0),$G910,TRUE,)</f>
        <v/>
      </c>
    </row>
    <row r="911">
      <c r="A911" s="184">
        <v>42683.0</v>
      </c>
      <c r="B911" s="19" t="s">
        <v>292</v>
      </c>
      <c r="C911" s="49" t="s">
        <v>295</v>
      </c>
      <c r="D911" s="19" t="s">
        <v>475</v>
      </c>
      <c r="E911" s="19"/>
      <c r="F911" s="232"/>
      <c r="G911" s="233">
        <v>4.57</v>
      </c>
      <c r="H911" s="236" t="s">
        <v>1263</v>
      </c>
      <c r="I911" s="235" t="str">
        <f t="array" ref="I911">IFS(AND($B911&lt;&gt;"",$E911&lt;&gt;""),IF(INDEX(HistoricSummary!D:D,MATCH($C911,HistoricSummary!$A:$A,0),1)&lt;&gt;"",$E911*INDEX(HistoricSummary!D:D,MATCH($C911,HistoricSummary!$A:$A,0),1)+$G911,""),AND($B911&lt;&gt;"",$D911="COST",$G911&lt;0),$G911,TRUE,)</f>
        <v/>
      </c>
      <c r="J911" s="235" t="str">
        <f t="array" ref="J911">IFS(AND($B911&lt;&gt;"",$E911&lt;&gt;""),IF(INDEX(HistoricSummary!E:E,MATCH($C911,HistoricSummary!$A:$A,0),1)&lt;&gt;"",$E911*INDEX(HistoricSummary!E:E,MATCH($C911,HistoricSummary!$A:$A,0),1)+$G911,""),AND($B911&lt;&gt;"",$D911="COST",$G911&lt;0),$G911,TRUE,)</f>
        <v/>
      </c>
    </row>
    <row r="912">
      <c r="A912" s="184">
        <v>42653.0</v>
      </c>
      <c r="B912" s="171"/>
      <c r="C912" s="261"/>
      <c r="D912" s="262" t="s">
        <v>432</v>
      </c>
      <c r="E912" s="171"/>
      <c r="F912" s="232"/>
      <c r="G912" s="233">
        <v>-0.16</v>
      </c>
      <c r="H912" s="236" t="s">
        <v>1252</v>
      </c>
      <c r="I912" s="235" t="str">
        <f t="array" ref="I912">IFS(AND($B912&lt;&gt;"",$E912&lt;&gt;""),IF(INDEX(HistoricSummary!D:D,MATCH($C912,HistoricSummary!$A:$A,0),1)&lt;&gt;"",$E912*INDEX(HistoricSummary!D:D,MATCH($C912,HistoricSummary!$A:$A,0),1)+$G912,""),AND($B912&lt;&gt;"",$D912="COST",$G912&lt;0),$G912,TRUE,)</f>
        <v/>
      </c>
      <c r="J912" s="235" t="str">
        <f t="array" ref="J912">IFS(AND($B912&lt;&gt;"",$E912&lt;&gt;""),IF(INDEX(HistoricSummary!E:E,MATCH($C912,HistoricSummary!$A:$A,0),1)&lt;&gt;"",$E912*INDEX(HistoricSummary!E:E,MATCH($C912,HistoricSummary!$A:$A,0),1)+$G912,""),AND($B912&lt;&gt;"",$D912="COST",$G912&lt;0),$G912,TRUE,)</f>
        <v/>
      </c>
    </row>
    <row r="913">
      <c r="A913" s="184">
        <v>42644.0</v>
      </c>
      <c r="B913" s="19" t="s">
        <v>292</v>
      </c>
      <c r="C913" s="49" t="s">
        <v>295</v>
      </c>
      <c r="D913" s="19" t="s">
        <v>475</v>
      </c>
      <c r="E913" s="19"/>
      <c r="F913" s="232"/>
      <c r="G913" s="233">
        <v>4.4</v>
      </c>
      <c r="H913" s="236" t="s">
        <v>1264</v>
      </c>
      <c r="I913" s="235" t="str">
        <f t="array" ref="I913">IFS(AND($B913&lt;&gt;"",$E913&lt;&gt;""),IF(INDEX(HistoricSummary!D:D,MATCH($C913,HistoricSummary!$A:$A,0),1)&lt;&gt;"",$E913*INDEX(HistoricSummary!D:D,MATCH($C913,HistoricSummary!$A:$A,0),1)+$G913,""),AND($B913&lt;&gt;"",$D913="COST",$G913&lt;0),$G913,TRUE,)</f>
        <v/>
      </c>
      <c r="J913" s="235" t="str">
        <f t="array" ref="J913">IFS(AND($B913&lt;&gt;"",$E913&lt;&gt;""),IF(INDEX(HistoricSummary!E:E,MATCH($C913,HistoricSummary!$A:$A,0),1)&lt;&gt;"",$E913*INDEX(HistoricSummary!E:E,MATCH($C913,HistoricSummary!$A:$A,0),1)+$G913,""),AND($B913&lt;&gt;"",$D913="COST",$G913&lt;0),$G913,TRUE,)</f>
        <v/>
      </c>
    </row>
    <row r="914">
      <c r="A914" s="184">
        <v>42641.0</v>
      </c>
      <c r="B914" s="19" t="s">
        <v>298</v>
      </c>
      <c r="C914" s="49" t="s">
        <v>301</v>
      </c>
      <c r="D914" s="19" t="s">
        <v>475</v>
      </c>
      <c r="E914" s="19"/>
      <c r="F914" s="232"/>
      <c r="G914" s="233">
        <v>58.66</v>
      </c>
      <c r="H914" s="236" t="s">
        <v>1265</v>
      </c>
      <c r="I914" s="235" t="str">
        <f t="array" ref="I914">IFS(AND($B914&lt;&gt;"",$E914&lt;&gt;""),IF(INDEX(HistoricSummary!D:D,MATCH($C914,HistoricSummary!$A:$A,0),1)&lt;&gt;"",$E914*INDEX(HistoricSummary!D:D,MATCH($C914,HistoricSummary!$A:$A,0),1)+$G914,""),AND($B914&lt;&gt;"",$D914="COST",$G914&lt;0),$G914,TRUE,)</f>
        <v/>
      </c>
      <c r="J914" s="235" t="str">
        <f t="array" ref="J914">IFS(AND($B914&lt;&gt;"",$E914&lt;&gt;""),IF(INDEX(HistoricSummary!E:E,MATCH($C914,HistoricSummary!$A:$A,0),1)&lt;&gt;"",$E914*INDEX(HistoricSummary!E:E,MATCH($C914,HistoricSummary!$A:$A,0),1)+$G914,""),AND($B914&lt;&gt;"",$D914="COST",$G914&lt;0),$G914,TRUE,)</f>
        <v/>
      </c>
    </row>
    <row r="915">
      <c r="A915" s="184">
        <v>42634.0</v>
      </c>
      <c r="B915" s="19" t="s">
        <v>302</v>
      </c>
      <c r="C915" s="49" t="s">
        <v>305</v>
      </c>
      <c r="D915" s="19" t="s">
        <v>475</v>
      </c>
      <c r="E915" s="19"/>
      <c r="F915" s="232"/>
      <c r="G915" s="233">
        <v>31.85</v>
      </c>
      <c r="H915" s="236" t="s">
        <v>1266</v>
      </c>
      <c r="I915" s="235" t="str">
        <f t="array" ref="I915">IFS(AND($B915&lt;&gt;"",$E915&lt;&gt;""),IF(INDEX(HistoricSummary!D:D,MATCH($C915,HistoricSummary!$A:$A,0),1)&lt;&gt;"",$E915*INDEX(HistoricSummary!D:D,MATCH($C915,HistoricSummary!$A:$A,0),1)+$G915,""),AND($B915&lt;&gt;"",$D915="COST",$G915&lt;0),$G915,TRUE,)</f>
        <v/>
      </c>
      <c r="J915" s="235" t="str">
        <f t="array" ref="J915">IFS(AND($B915&lt;&gt;"",$E915&lt;&gt;""),IF(INDEX(HistoricSummary!E:E,MATCH($C915,HistoricSummary!$A:$A,0),1)&lt;&gt;"",$E915*INDEX(HistoricSummary!E:E,MATCH($C915,HistoricSummary!$A:$A,0),1)+$G915,""),AND($B915&lt;&gt;"",$D915="COST",$G915&lt;0),$G915,TRUE,)</f>
        <v/>
      </c>
    </row>
    <row r="916">
      <c r="A916" s="184">
        <v>42632.0</v>
      </c>
      <c r="B916" s="19" t="s">
        <v>292</v>
      </c>
      <c r="C916" s="49" t="s">
        <v>295</v>
      </c>
      <c r="D916" s="19" t="s">
        <v>475</v>
      </c>
      <c r="E916" s="19"/>
      <c r="F916" s="232"/>
      <c r="G916" s="233">
        <v>3.31</v>
      </c>
      <c r="H916" s="236" t="s">
        <v>1267</v>
      </c>
      <c r="I916" s="235" t="str">
        <f t="array" ref="I916">IFS(AND($B916&lt;&gt;"",$E916&lt;&gt;""),IF(INDEX(HistoricSummary!D:D,MATCH($C916,HistoricSummary!$A:$A,0),1)&lt;&gt;"",$E916*INDEX(HistoricSummary!D:D,MATCH($C916,HistoricSummary!$A:$A,0),1)+$G916,""),AND($B916&lt;&gt;"",$D916="COST",$G916&lt;0),$G916,TRUE,)</f>
        <v/>
      </c>
      <c r="J916" s="235" t="str">
        <f t="array" ref="J916">IFS(AND($B916&lt;&gt;"",$E916&lt;&gt;""),IF(INDEX(HistoricSummary!E:E,MATCH($C916,HistoricSummary!$A:$A,0),1)&lt;&gt;"",$E916*INDEX(HistoricSummary!E:E,MATCH($C916,HistoricSummary!$A:$A,0),1)+$G916,""),AND($B916&lt;&gt;"",$D916="COST",$G916&lt;0),$G916,TRUE,)</f>
        <v/>
      </c>
    </row>
    <row r="917">
      <c r="A917" s="184">
        <v>42632.0</v>
      </c>
      <c r="B917" s="19" t="s">
        <v>298</v>
      </c>
      <c r="C917" s="49" t="s">
        <v>301</v>
      </c>
      <c r="D917" s="19" t="s">
        <v>475</v>
      </c>
      <c r="E917" s="19"/>
      <c r="F917" s="232"/>
      <c r="G917" s="233">
        <v>21.31</v>
      </c>
      <c r="H917" s="236" t="s">
        <v>1268</v>
      </c>
      <c r="I917" s="235" t="str">
        <f t="array" ref="I917">IFS(AND($B917&lt;&gt;"",$E917&lt;&gt;""),IF(INDEX(HistoricSummary!D:D,MATCH($C917,HistoricSummary!$A:$A,0),1)&lt;&gt;"",$E917*INDEX(HistoricSummary!D:D,MATCH($C917,HistoricSummary!$A:$A,0),1)+$G917,""),AND($B917&lt;&gt;"",$D917="COST",$G917&lt;0),$G917,TRUE,)</f>
        <v/>
      </c>
      <c r="J917" s="235" t="str">
        <f t="array" ref="J917">IFS(AND($B917&lt;&gt;"",$E917&lt;&gt;""),IF(INDEX(HistoricSummary!E:E,MATCH($C917,HistoricSummary!$A:$A,0),1)&lt;&gt;"",$E917*INDEX(HistoricSummary!E:E,MATCH($C917,HistoricSummary!$A:$A,0),1)+$G917,""),AND($B917&lt;&gt;"",$D917="COST",$G917&lt;0),$G917,TRUE,)</f>
        <v/>
      </c>
    </row>
    <row r="918">
      <c r="A918" s="184">
        <v>42625.0</v>
      </c>
      <c r="B918" s="19" t="s">
        <v>292</v>
      </c>
      <c r="C918" s="49" t="s">
        <v>295</v>
      </c>
      <c r="D918" s="19" t="s">
        <v>475</v>
      </c>
      <c r="E918" s="19"/>
      <c r="F918" s="232"/>
      <c r="G918" s="233">
        <v>4.53</v>
      </c>
      <c r="H918" s="236" t="s">
        <v>1269</v>
      </c>
      <c r="I918" s="235" t="str">
        <f t="array" ref="I918">IFS(AND($B918&lt;&gt;"",$E918&lt;&gt;""),IF(INDEX(HistoricSummary!D:D,MATCH($C918,HistoricSummary!$A:$A,0),1)&lt;&gt;"",$E918*INDEX(HistoricSummary!D:D,MATCH($C918,HistoricSummary!$A:$A,0),1)+$G918,""),AND($B918&lt;&gt;"",$D918="COST",$G918&lt;0),$G918,TRUE,)</f>
        <v/>
      </c>
      <c r="J918" s="235" t="str">
        <f t="array" ref="J918">IFS(AND($B918&lt;&gt;"",$E918&lt;&gt;""),IF(INDEX(HistoricSummary!E:E,MATCH($C918,HistoricSummary!$A:$A,0),1)&lt;&gt;"",$E918*INDEX(HistoricSummary!E:E,MATCH($C918,HistoricSummary!$A:$A,0),1)+$G918,""),AND($B918&lt;&gt;"",$D918="COST",$G918&lt;0),$G918,TRUE,)</f>
        <v/>
      </c>
    </row>
    <row r="919">
      <c r="A919" s="184">
        <v>42605.0</v>
      </c>
      <c r="B919" s="19" t="s">
        <v>292</v>
      </c>
      <c r="C919" s="49" t="s">
        <v>295</v>
      </c>
      <c r="D919" s="19" t="s">
        <v>475</v>
      </c>
      <c r="E919" s="19"/>
      <c r="F919" s="232"/>
      <c r="G919" s="233">
        <v>4.7</v>
      </c>
      <c r="H919" s="236" t="s">
        <v>1270</v>
      </c>
      <c r="I919" s="235" t="str">
        <f t="array" ref="I919">IFS(AND($B919&lt;&gt;"",$E919&lt;&gt;""),IF(INDEX(HistoricSummary!D:D,MATCH($C919,HistoricSummary!$A:$A,0),1)&lt;&gt;"",$E919*INDEX(HistoricSummary!D:D,MATCH($C919,HistoricSummary!$A:$A,0),1)+$G919,""),AND($B919&lt;&gt;"",$D919="COST",$G919&lt;0),$G919,TRUE,)</f>
        <v/>
      </c>
      <c r="J919" s="235" t="str">
        <f t="array" ref="J919">IFS(AND($B919&lt;&gt;"",$E919&lt;&gt;""),IF(INDEX(HistoricSummary!E:E,MATCH($C919,HistoricSummary!$A:$A,0),1)&lt;&gt;"",$E919*INDEX(HistoricSummary!E:E,MATCH($C919,HistoricSummary!$A:$A,0),1)+$G919,""),AND($B919&lt;&gt;"",$D919="COST",$G919&lt;0),$G919,TRUE,)</f>
        <v/>
      </c>
    </row>
    <row r="920">
      <c r="A920" s="184">
        <v>42563.0</v>
      </c>
      <c r="B920" s="19" t="s">
        <v>292</v>
      </c>
      <c r="C920" s="49" t="s">
        <v>295</v>
      </c>
      <c r="D920" s="19" t="s">
        <v>475</v>
      </c>
      <c r="E920" s="19"/>
      <c r="F920" s="232"/>
      <c r="G920" s="233">
        <v>4.69</v>
      </c>
      <c r="H920" s="236" t="s">
        <v>1271</v>
      </c>
      <c r="I920" s="235" t="str">
        <f t="array" ref="I920">IFS(AND($B920&lt;&gt;"",$E920&lt;&gt;""),IF(INDEX(HistoricSummary!D:D,MATCH($C920,HistoricSummary!$A:$A,0),1)&lt;&gt;"",$E920*INDEX(HistoricSummary!D:D,MATCH($C920,HistoricSummary!$A:$A,0),1)+$G920,""),AND($B920&lt;&gt;"",$D920="COST",$G920&lt;0),$G920,TRUE,)</f>
        <v/>
      </c>
      <c r="J920" s="235" t="str">
        <f t="array" ref="J920">IFS(AND($B920&lt;&gt;"",$E920&lt;&gt;""),IF(INDEX(HistoricSummary!E:E,MATCH($C920,HistoricSummary!$A:$A,0),1)&lt;&gt;"",$E920*INDEX(HistoricSummary!E:E,MATCH($C920,HistoricSummary!$A:$A,0),1)+$G920,""),AND($B920&lt;&gt;"",$D920="COST",$G920&lt;0),$G920,TRUE,)</f>
        <v/>
      </c>
    </row>
    <row r="921">
      <c r="A921" s="184">
        <v>42557.0</v>
      </c>
      <c r="B921" s="171"/>
      <c r="C921" s="261"/>
      <c r="D921" s="262" t="s">
        <v>432</v>
      </c>
      <c r="E921" s="171"/>
      <c r="F921" s="232"/>
      <c r="G921" s="233">
        <v>-0.17</v>
      </c>
      <c r="H921" s="236" t="s">
        <v>1272</v>
      </c>
      <c r="I921" s="235" t="str">
        <f t="array" ref="I921">IFS(AND($B921&lt;&gt;"",$E921&lt;&gt;""),IF(INDEX(HistoricSummary!D:D,MATCH($C921,HistoricSummary!$A:$A,0),1)&lt;&gt;"",$E921*INDEX(HistoricSummary!D:D,MATCH($C921,HistoricSummary!$A:$A,0),1)+$G921,""),AND($B921&lt;&gt;"",$D921="COST",$G921&lt;0),$G921,TRUE,)</f>
        <v/>
      </c>
      <c r="J921" s="235" t="str">
        <f t="array" ref="J921">IFS(AND($B921&lt;&gt;"",$E921&lt;&gt;""),IF(INDEX(HistoricSummary!E:E,MATCH($C921,HistoricSummary!$A:$A,0),1)&lt;&gt;"",$E921*INDEX(HistoricSummary!E:E,MATCH($C921,HistoricSummary!$A:$A,0),1)+$G921,""),AND($B921&lt;&gt;"",$D921="COST",$G921&lt;0),$G921,TRUE,)</f>
        <v/>
      </c>
    </row>
    <row r="922">
      <c r="A922" s="184">
        <v>42551.0</v>
      </c>
      <c r="B922" s="19" t="s">
        <v>302</v>
      </c>
      <c r="C922" s="49" t="s">
        <v>305</v>
      </c>
      <c r="D922" s="19" t="s">
        <v>475</v>
      </c>
      <c r="E922" s="19"/>
      <c r="F922" s="232"/>
      <c r="G922" s="233">
        <v>27.41</v>
      </c>
      <c r="H922" s="236" t="s">
        <v>1273</v>
      </c>
      <c r="I922" s="235" t="str">
        <f t="array" ref="I922">IFS(AND($B922&lt;&gt;"",$E922&lt;&gt;""),IF(INDEX(HistoricSummary!D:D,MATCH($C922,HistoricSummary!$A:$A,0),1)&lt;&gt;"",$E922*INDEX(HistoricSummary!D:D,MATCH($C922,HistoricSummary!$A:$A,0),1)+$G922,""),AND($B922&lt;&gt;"",$D922="COST",$G922&lt;0),$G922,TRUE,)</f>
        <v/>
      </c>
      <c r="J922" s="235" t="str">
        <f t="array" ref="J922">IFS(AND($B922&lt;&gt;"",$E922&lt;&gt;""),IF(INDEX(HistoricSummary!E:E,MATCH($C922,HistoricSummary!$A:$A,0),1)&lt;&gt;"",$E922*INDEX(HistoricSummary!E:E,MATCH($C922,HistoricSummary!$A:$A,0),1)+$G922,""),AND($B922&lt;&gt;"",$D922="COST",$G922&lt;0),$G922,TRUE,)</f>
        <v/>
      </c>
    </row>
    <row r="923">
      <c r="A923" s="184">
        <v>42550.0</v>
      </c>
      <c r="B923" s="19" t="s">
        <v>298</v>
      </c>
      <c r="C923" s="49" t="s">
        <v>301</v>
      </c>
      <c r="D923" s="19" t="s">
        <v>475</v>
      </c>
      <c r="E923" s="19"/>
      <c r="F923" s="232"/>
      <c r="G923" s="233">
        <v>56.25</v>
      </c>
      <c r="H923" s="236" t="s">
        <v>1274</v>
      </c>
      <c r="I923" s="235" t="str">
        <f t="array" ref="I923">IFS(AND($B923&lt;&gt;"",$E923&lt;&gt;""),IF(INDEX(HistoricSummary!D:D,MATCH($C923,HistoricSummary!$A:$A,0),1)&lt;&gt;"",$E923*INDEX(HistoricSummary!D:D,MATCH($C923,HistoricSummary!$A:$A,0),1)+$G923,""),AND($B923&lt;&gt;"",$D923="COST",$G923&lt;0),$G923,TRUE,)</f>
        <v/>
      </c>
      <c r="J923" s="235" t="str">
        <f t="array" ref="J923">IFS(AND($B923&lt;&gt;"",$E923&lt;&gt;""),IF(INDEX(HistoricSummary!E:E,MATCH($C923,HistoricSummary!$A:$A,0),1)&lt;&gt;"",$E923*INDEX(HistoricSummary!E:E,MATCH($C923,HistoricSummary!$A:$A,0),1)+$G923,""),AND($B923&lt;&gt;"",$D923="COST",$G923&lt;0),$G923,TRUE,)</f>
        <v/>
      </c>
    </row>
    <row r="924">
      <c r="A924" s="184">
        <v>42536.0</v>
      </c>
      <c r="B924" s="19" t="s">
        <v>292</v>
      </c>
      <c r="C924" s="49" t="s">
        <v>295</v>
      </c>
      <c r="D924" s="19" t="s">
        <v>475</v>
      </c>
      <c r="E924" s="19"/>
      <c r="F924" s="232"/>
      <c r="G924" s="233">
        <v>4.72</v>
      </c>
      <c r="H924" s="236" t="s">
        <v>1275</v>
      </c>
      <c r="I924" s="235" t="str">
        <f t="array" ref="I924">IFS(AND($B924&lt;&gt;"",$E924&lt;&gt;""),IF(INDEX(HistoricSummary!D:D,MATCH($C924,HistoricSummary!$A:$A,0),1)&lt;&gt;"",$E924*INDEX(HistoricSummary!D:D,MATCH($C924,HistoricSummary!$A:$A,0),1)+$G924,""),AND($B924&lt;&gt;"",$D924="COST",$G924&lt;0),$G924,TRUE,)</f>
        <v/>
      </c>
      <c r="J924" s="235" t="str">
        <f t="array" ref="J924">IFS(AND($B924&lt;&gt;"",$E924&lt;&gt;""),IF(INDEX(HistoricSummary!E:E,MATCH($C924,HistoricSummary!$A:$A,0),1)&lt;&gt;"",$E924*INDEX(HistoricSummary!E:E,MATCH($C924,HistoricSummary!$A:$A,0),1)+$G924,""),AND($B924&lt;&gt;"",$D924="COST",$G924&lt;0),$G924,TRUE,)</f>
        <v/>
      </c>
    </row>
    <row r="925">
      <c r="A925" s="184">
        <v>42501.0</v>
      </c>
      <c r="B925" s="19" t="s">
        <v>292</v>
      </c>
      <c r="C925" s="49" t="s">
        <v>295</v>
      </c>
      <c r="D925" s="19" t="s">
        <v>475</v>
      </c>
      <c r="E925" s="19"/>
      <c r="F925" s="232"/>
      <c r="G925" s="233">
        <v>4.65</v>
      </c>
      <c r="H925" s="236" t="s">
        <v>1276</v>
      </c>
      <c r="I925" s="235" t="str">
        <f t="array" ref="I925">IFS(AND($B925&lt;&gt;"",$E925&lt;&gt;""),IF(INDEX(HistoricSummary!D:D,MATCH($C925,HistoricSummary!$A:$A,0),1)&lt;&gt;"",$E925*INDEX(HistoricSummary!D:D,MATCH($C925,HistoricSummary!$A:$A,0),1)+$G925,""),AND($B925&lt;&gt;"",$D925="COST",$G925&lt;0),$G925,TRUE,)</f>
        <v/>
      </c>
      <c r="J925" s="235" t="str">
        <f t="array" ref="J925">IFS(AND($B925&lt;&gt;"",$E925&lt;&gt;""),IF(INDEX(HistoricSummary!E:E,MATCH($C925,HistoricSummary!$A:$A,0),1)&lt;&gt;"",$E925*INDEX(HistoricSummary!E:E,MATCH($C925,HistoricSummary!$A:$A,0),1)+$G925,""),AND($B925&lt;&gt;"",$D925="COST",$G925&lt;0),$G925,TRUE,)</f>
        <v/>
      </c>
    </row>
    <row r="926">
      <c r="A926" s="184">
        <v>42478.0</v>
      </c>
      <c r="B926" s="229"/>
      <c r="C926" s="229"/>
      <c r="D926" s="229" t="s">
        <v>432</v>
      </c>
      <c r="E926" s="238"/>
      <c r="F926" s="239"/>
      <c r="G926" s="233">
        <v>6.89</v>
      </c>
      <c r="H926" s="237" t="s">
        <v>1277</v>
      </c>
      <c r="I926" s="235" t="str">
        <f t="array" ref="I926">IFS(AND($B926&lt;&gt;"",$E926&lt;&gt;""),IF(INDEX(HistoricSummary!D:D,MATCH($C926,HistoricSummary!$A:$A,0),1)&lt;&gt;"",$E926*INDEX(HistoricSummary!D:D,MATCH($C926,HistoricSummary!$A:$A,0),1)+$G926,""),AND($B926&lt;&gt;"",$D926="COST",$G926&lt;0),$G926,TRUE,)</f>
        <v/>
      </c>
      <c r="J926" s="235" t="str">
        <f t="array" ref="J926">IFS(AND($B926&lt;&gt;"",$E926&lt;&gt;""),IF(INDEX(HistoricSummary!E:E,MATCH($C926,HistoricSummary!$A:$A,0),1)&lt;&gt;"",$E926*INDEX(HistoricSummary!E:E,MATCH($C926,HistoricSummary!$A:$A,0),1)+$G926,""),AND($B926&lt;&gt;"",$D926="COST",$G926&lt;0),$G926,TRUE,)</f>
        <v/>
      </c>
    </row>
    <row r="927">
      <c r="A927" s="184">
        <v>42478.0</v>
      </c>
      <c r="B927" s="19" t="s">
        <v>292</v>
      </c>
      <c r="C927" s="49" t="s">
        <v>295</v>
      </c>
      <c r="D927" s="19" t="s">
        <v>414</v>
      </c>
      <c r="E927" s="19">
        <v>11.0</v>
      </c>
      <c r="F927" s="232">
        <v>97.7077</v>
      </c>
      <c r="G927" s="233">
        <v>-1083.28</v>
      </c>
      <c r="H927" s="236" t="s">
        <v>1278</v>
      </c>
      <c r="I927" s="235" t="str">
        <f t="array" ref="I927">IFS(AND($B927&lt;&gt;"",$E927&lt;&gt;""),IF(INDEX(HistoricSummary!D:D,MATCH($C927,HistoricSummary!$A:$A,0),1)&lt;&gt;"",$E927*INDEX(HistoricSummary!D:D,MATCH($C927,HistoricSummary!$A:$A,0),1)+$G927,""),AND($B927&lt;&gt;"",$D927="COST",$G927&lt;0),$G927,TRUE,)</f>
        <v/>
      </c>
      <c r="J927" s="235" t="str">
        <f t="array" ref="J927">IFS(AND($B927&lt;&gt;"",$E927&lt;&gt;""),IF(INDEX(HistoricSummary!E:E,MATCH($C927,HistoricSummary!$A:$A,0),1)&lt;&gt;"",$E927*INDEX(HistoricSummary!E:E,MATCH($C927,HistoricSummary!$A:$A,0),1)+$G927,""),AND($B927&lt;&gt;"",$D927="COST",$G927&lt;0),$G927,TRUE,)</f>
        <v/>
      </c>
    </row>
    <row r="928">
      <c r="A928" s="184">
        <v>42478.0</v>
      </c>
      <c r="B928" s="19" t="s">
        <v>298</v>
      </c>
      <c r="C928" s="49" t="s">
        <v>301</v>
      </c>
      <c r="D928" s="19" t="s">
        <v>414</v>
      </c>
      <c r="E928" s="19">
        <v>19.0</v>
      </c>
      <c r="F928" s="232">
        <v>112.6586</v>
      </c>
      <c r="G928" s="233">
        <v>-2149.01</v>
      </c>
      <c r="H928" s="236" t="s">
        <v>1279</v>
      </c>
      <c r="I928" s="235" t="str">
        <f t="array" ref="I928">IFS(AND($B928&lt;&gt;"",$E928&lt;&gt;""),IF(INDEX(HistoricSummary!D:D,MATCH($C928,HistoricSummary!$A:$A,0),1)&lt;&gt;"",$E928*INDEX(HistoricSummary!D:D,MATCH($C928,HistoricSummary!$A:$A,0),1)+$G928,""),AND($B928&lt;&gt;"",$D928="COST",$G928&lt;0),$G928,TRUE,)</f>
        <v/>
      </c>
      <c r="J928" s="235" t="str">
        <f t="array" ref="J928">IFS(AND($B928&lt;&gt;"",$E928&lt;&gt;""),IF(INDEX(HistoricSummary!E:E,MATCH($C928,HistoricSummary!$A:$A,0),1)&lt;&gt;"",$E928*INDEX(HistoricSummary!E:E,MATCH($C928,HistoricSummary!$A:$A,0),1)+$G928,""),AND($B928&lt;&gt;"",$D928="COST",$G928&lt;0),$G928,TRUE,)</f>
        <v/>
      </c>
    </row>
    <row r="929">
      <c r="A929" s="184">
        <v>42478.0</v>
      </c>
      <c r="B929" s="19" t="s">
        <v>302</v>
      </c>
      <c r="C929" s="49" t="s">
        <v>305</v>
      </c>
      <c r="D929" s="19" t="s">
        <v>414</v>
      </c>
      <c r="E929" s="19">
        <v>21.0</v>
      </c>
      <c r="F929" s="232">
        <v>94.3352</v>
      </c>
      <c r="G929" s="233">
        <v>-1989.54</v>
      </c>
      <c r="H929" s="236" t="s">
        <v>1280</v>
      </c>
      <c r="I929" s="235" t="str">
        <f t="array" ref="I929">IFS(AND($B929&lt;&gt;"",$E929&lt;&gt;""),IF(INDEX(HistoricSummary!D:D,MATCH($C929,HistoricSummary!$A:$A,0),1)&lt;&gt;"",$E929*INDEX(HistoricSummary!D:D,MATCH($C929,HistoricSummary!$A:$A,0),1)+$G929,""),AND($B929&lt;&gt;"",$D929="COST",$G929&lt;0),$G929,TRUE,)</f>
        <v/>
      </c>
      <c r="J929" s="235" t="str">
        <f t="array" ref="J929">IFS(AND($B929&lt;&gt;"",$E929&lt;&gt;""),IF(INDEX(HistoricSummary!E:E,MATCH($C929,HistoricSummary!$A:$A,0),1)&lt;&gt;"",$E929*INDEX(HistoricSummary!E:E,MATCH($C929,HistoricSummary!$A:$A,0),1)+$G929,""),AND($B929&lt;&gt;"",$D929="COST",$G929&lt;0),$G929,TRUE,)</f>
        <v/>
      </c>
    </row>
    <row r="930">
      <c r="A930" s="184">
        <v>42471.0</v>
      </c>
      <c r="B930" s="19" t="s">
        <v>292</v>
      </c>
      <c r="C930" s="49" t="s">
        <v>295</v>
      </c>
      <c r="D930" s="19" t="s">
        <v>475</v>
      </c>
      <c r="E930" s="19"/>
      <c r="F930" s="232"/>
      <c r="G930" s="233">
        <v>4.08</v>
      </c>
      <c r="H930" s="236" t="s">
        <v>1281</v>
      </c>
      <c r="I930" s="235" t="str">
        <f t="array" ref="I930">IFS(AND($B930&lt;&gt;"",$E930&lt;&gt;""),IF(INDEX(HistoricSummary!D:D,MATCH($C930,HistoricSummary!$A:$A,0),1)&lt;&gt;"",$E930*INDEX(HistoricSummary!D:D,MATCH($C930,HistoricSummary!$A:$A,0),1)+$G930,""),AND($B930&lt;&gt;"",$D930="COST",$G930&lt;0),$G930,TRUE,)</f>
        <v/>
      </c>
      <c r="J930" s="235" t="str">
        <f t="array" ref="J930">IFS(AND($B930&lt;&gt;"",$E930&lt;&gt;""),IF(INDEX(HistoricSummary!E:E,MATCH($C930,HistoricSummary!$A:$A,0),1)&lt;&gt;"",$E930*INDEX(HistoricSummary!E:E,MATCH($C930,HistoricSummary!$A:$A,0),1)+$G930,""),AND($B930&lt;&gt;"",$D930="COST",$G930&lt;0),$G930,TRUE,)</f>
        <v/>
      </c>
    </row>
    <row r="931">
      <c r="A931" s="184">
        <v>42459.0</v>
      </c>
      <c r="B931" s="19" t="s">
        <v>298</v>
      </c>
      <c r="C931" s="49" t="s">
        <v>301</v>
      </c>
      <c r="D931" s="19" t="s">
        <v>475</v>
      </c>
      <c r="E931" s="19"/>
      <c r="F931" s="232"/>
      <c r="G931" s="233">
        <v>41.4</v>
      </c>
      <c r="H931" s="236" t="s">
        <v>1282</v>
      </c>
      <c r="I931" s="235" t="str">
        <f t="array" ref="I931">IFS(AND($B931&lt;&gt;"",$E931&lt;&gt;""),IF(INDEX(HistoricSummary!D:D,MATCH($C931,HistoricSummary!$A:$A,0),1)&lt;&gt;"",$E931*INDEX(HistoricSummary!D:D,MATCH($C931,HistoricSummary!$A:$A,0),1)+$G931,""),AND($B931&lt;&gt;"",$D931="COST",$G931&lt;0),$G931,TRUE,)</f>
        <v/>
      </c>
      <c r="J931" s="235" t="str">
        <f t="array" ref="J931">IFS(AND($B931&lt;&gt;"",$E931&lt;&gt;""),IF(INDEX(HistoricSummary!E:E,MATCH($C931,HistoricSummary!$A:$A,0),1)&lt;&gt;"",$E931*INDEX(HistoricSummary!E:E,MATCH($C931,HistoricSummary!$A:$A,0),1)+$G931,""),AND($B931&lt;&gt;"",$D931="COST",$G931&lt;0),$G931,TRUE,)</f>
        <v/>
      </c>
    </row>
    <row r="932">
      <c r="A932" s="184">
        <v>42452.0</v>
      </c>
      <c r="B932" s="19" t="s">
        <v>302</v>
      </c>
      <c r="C932" s="49" t="s">
        <v>305</v>
      </c>
      <c r="D932" s="19" t="s">
        <v>475</v>
      </c>
      <c r="E932" s="19"/>
      <c r="F932" s="232"/>
      <c r="G932" s="233">
        <v>23.94</v>
      </c>
      <c r="H932" s="236" t="s">
        <v>1283</v>
      </c>
      <c r="I932" s="235" t="str">
        <f t="array" ref="I932">IFS(AND($B932&lt;&gt;"",$E932&lt;&gt;""),IF(INDEX(HistoricSummary!D:D,MATCH($C932,HistoricSummary!$A:$A,0),1)&lt;&gt;"",$E932*INDEX(HistoricSummary!D:D,MATCH($C932,HistoricSummary!$A:$A,0),1)+$G932,""),AND($B932&lt;&gt;"",$D932="COST",$G932&lt;0),$G932,TRUE,)</f>
        <v/>
      </c>
      <c r="J932" s="235" t="str">
        <f t="array" ref="J932">IFS(AND($B932&lt;&gt;"",$E932&lt;&gt;""),IF(INDEX(HistoricSummary!E:E,MATCH($C932,HistoricSummary!$A:$A,0),1)&lt;&gt;"",$E932*INDEX(HistoricSummary!E:E,MATCH($C932,HistoricSummary!$A:$A,0),1)+$G932,""),AND($B932&lt;&gt;"",$D932="COST",$G932&lt;0),$G932,TRUE,)</f>
        <v/>
      </c>
    </row>
    <row r="933">
      <c r="A933" s="184">
        <v>42437.0</v>
      </c>
      <c r="B933" s="19" t="s">
        <v>292</v>
      </c>
      <c r="C933" s="49" t="s">
        <v>295</v>
      </c>
      <c r="D933" s="19" t="s">
        <v>475</v>
      </c>
      <c r="E933" s="19"/>
      <c r="F933" s="232"/>
      <c r="G933" s="233">
        <v>3.92</v>
      </c>
      <c r="H933" s="236" t="s">
        <v>1284</v>
      </c>
      <c r="I933" s="235" t="str">
        <f t="array" ref="I933">IFS(AND($B933&lt;&gt;"",$E933&lt;&gt;""),IF(INDEX(HistoricSummary!D:D,MATCH($C933,HistoricSummary!$A:$A,0),1)&lt;&gt;"",$E933*INDEX(HistoricSummary!D:D,MATCH($C933,HistoricSummary!$A:$A,0),1)+$G933,""),AND($B933&lt;&gt;"",$D933="COST",$G933&lt;0),$G933,TRUE,)</f>
        <v/>
      </c>
      <c r="J933" s="235" t="str">
        <f t="array" ref="J933">IFS(AND($B933&lt;&gt;"",$E933&lt;&gt;""),IF(INDEX(HistoricSummary!E:E,MATCH($C933,HistoricSummary!$A:$A,0),1)&lt;&gt;"",$E933*INDEX(HistoricSummary!E:E,MATCH($C933,HistoricSummary!$A:$A,0),1)+$G933,""),AND($B933&lt;&gt;"",$D933="COST",$G933&lt;0),$G933,TRUE,)</f>
        <v/>
      </c>
    </row>
    <row r="934">
      <c r="A934" s="184">
        <v>42409.0</v>
      </c>
      <c r="B934" s="19" t="s">
        <v>292</v>
      </c>
      <c r="C934" s="49" t="s">
        <v>295</v>
      </c>
      <c r="D934" s="19" t="s">
        <v>475</v>
      </c>
      <c r="E934" s="19"/>
      <c r="F934" s="232"/>
      <c r="G934" s="233">
        <v>3.92</v>
      </c>
      <c r="H934" s="236" t="s">
        <v>1284</v>
      </c>
      <c r="I934" s="235" t="str">
        <f t="array" ref="I934">IFS(AND($B934&lt;&gt;"",$E934&lt;&gt;""),IF(INDEX(HistoricSummary!D:D,MATCH($C934,HistoricSummary!$A:$A,0),1)&lt;&gt;"",$E934*INDEX(HistoricSummary!D:D,MATCH($C934,HistoricSummary!$A:$A,0),1)+$G934,""),AND($B934&lt;&gt;"",$D934="COST",$G934&lt;0),$G934,TRUE,)</f>
        <v/>
      </c>
      <c r="J934" s="235" t="str">
        <f t="array" ref="J934">IFS(AND($B934&lt;&gt;"",$E934&lt;&gt;""),IF(INDEX(HistoricSummary!E:E,MATCH($C934,HistoricSummary!$A:$A,0),1)&lt;&gt;"",$E934*INDEX(HistoricSummary!E:E,MATCH($C934,HistoricSummary!$A:$A,0),1)+$G934,""),AND($B934&lt;&gt;"",$D934="COST",$G934&lt;0),$G934,TRUE,)</f>
        <v/>
      </c>
    </row>
    <row r="935">
      <c r="A935" s="184">
        <v>42375.0</v>
      </c>
      <c r="B935" s="171"/>
      <c r="C935" s="261"/>
      <c r="D935" s="262" t="s">
        <v>432</v>
      </c>
      <c r="E935" s="171"/>
      <c r="F935" s="232"/>
      <c r="G935" s="233">
        <v>-0.22</v>
      </c>
      <c r="H935" s="236" t="s">
        <v>1285</v>
      </c>
      <c r="I935" s="235" t="str">
        <f t="array" ref="I935">IFS(AND($B935&lt;&gt;"",$E935&lt;&gt;""),IF(INDEX(HistoricSummary!D:D,MATCH($C935,HistoricSummary!$A:$A,0),1)&lt;&gt;"",$E935*INDEX(HistoricSummary!D:D,MATCH($C935,HistoricSummary!$A:$A,0),1)+$G935,""),AND($B935&lt;&gt;"",$D935="COST",$G935&lt;0),$G935,TRUE,)</f>
        <v/>
      </c>
      <c r="J935" s="235" t="str">
        <f t="array" ref="J935">IFS(AND($B935&lt;&gt;"",$E935&lt;&gt;""),IF(INDEX(HistoricSummary!E:E,MATCH($C935,HistoricSummary!$A:$A,0),1)&lt;&gt;"",$E935*INDEX(HistoricSummary!E:E,MATCH($C935,HistoricSummary!$A:$A,0),1)+$G935,""),AND($B935&lt;&gt;"",$D935="COST",$G935&lt;0),$G935,TRUE,)</f>
        <v/>
      </c>
    </row>
    <row r="936">
      <c r="A936" s="184">
        <v>42374.0</v>
      </c>
      <c r="B936" s="19" t="s">
        <v>302</v>
      </c>
      <c r="C936" s="49" t="s">
        <v>305</v>
      </c>
      <c r="D936" s="19" t="s">
        <v>475</v>
      </c>
      <c r="E936" s="19"/>
      <c r="F936" s="232"/>
      <c r="G936" s="233">
        <v>29.75</v>
      </c>
      <c r="H936" s="236" t="s">
        <v>1286</v>
      </c>
      <c r="I936" s="235" t="str">
        <f t="array" ref="I936">IFS(AND($B936&lt;&gt;"",$E936&lt;&gt;""),IF(INDEX(HistoricSummary!D:D,MATCH($C936,HistoricSummary!$A:$A,0),1)&lt;&gt;"",$E936*INDEX(HistoricSummary!D:D,MATCH($C936,HistoricSummary!$A:$A,0),1)+$G936,""),AND($B936&lt;&gt;"",$D936="COST",$G936&lt;0),$G936,TRUE,)</f>
        <v/>
      </c>
      <c r="J936" s="235" t="str">
        <f t="array" ref="J936">IFS(AND($B936&lt;&gt;"",$E936&lt;&gt;""),IF(INDEX(HistoricSummary!E:E,MATCH($C936,HistoricSummary!$A:$A,0),1)&lt;&gt;"",$E936*INDEX(HistoricSummary!E:E,MATCH($C936,HistoricSummary!$A:$A,0),1)+$G936,""),AND($B936&lt;&gt;"",$D936="COST",$G936&lt;0),$G936,TRUE,)</f>
        <v/>
      </c>
    </row>
    <row r="937">
      <c r="A937" s="184">
        <v>42374.0</v>
      </c>
      <c r="B937" s="19" t="s">
        <v>292</v>
      </c>
      <c r="C937" s="49" t="s">
        <v>295</v>
      </c>
      <c r="D937" s="19" t="s">
        <v>475</v>
      </c>
      <c r="E937" s="19"/>
      <c r="F937" s="232"/>
      <c r="G937" s="233">
        <v>4.14</v>
      </c>
      <c r="H937" s="236" t="s">
        <v>1287</v>
      </c>
      <c r="I937" s="235" t="str">
        <f t="array" ref="I937">IFS(AND($B937&lt;&gt;"",$E937&lt;&gt;""),IF(INDEX(HistoricSummary!D:D,MATCH($C937,HistoricSummary!$A:$A,0),1)&lt;&gt;"",$E937*INDEX(HistoricSummary!D:D,MATCH($C937,HistoricSummary!$A:$A,0),1)+$G937,""),AND($B937&lt;&gt;"",$D937="COST",$G937&lt;0),$G937,TRUE,)</f>
        <v/>
      </c>
      <c r="J937" s="235" t="str">
        <f t="array" ref="J937">IFS(AND($B937&lt;&gt;"",$E937&lt;&gt;""),IF(INDEX(HistoricSummary!E:E,MATCH($C937,HistoricSummary!$A:$A,0),1)&lt;&gt;"",$E937*INDEX(HistoricSummary!E:E,MATCH($C937,HistoricSummary!$A:$A,0),1)+$G937,""),AND($B937&lt;&gt;"",$D937="COST",$G937&lt;0),$G937,TRUE,)</f>
        <v/>
      </c>
    </row>
    <row r="938">
      <c r="A938" s="184">
        <v>42373.0</v>
      </c>
      <c r="B938" s="19" t="s">
        <v>298</v>
      </c>
      <c r="C938" s="49" t="s">
        <v>301</v>
      </c>
      <c r="D938" s="19" t="s">
        <v>475</v>
      </c>
      <c r="E938" s="19"/>
      <c r="F938" s="232"/>
      <c r="G938" s="233">
        <v>61.86</v>
      </c>
      <c r="H938" s="236" t="s">
        <v>1288</v>
      </c>
      <c r="I938" s="235" t="str">
        <f t="array" ref="I938">IFS(AND($B938&lt;&gt;"",$E938&lt;&gt;""),IF(INDEX(HistoricSummary!D:D,MATCH($C938,HistoricSummary!$A:$A,0),1)&lt;&gt;"",$E938*INDEX(HistoricSummary!D:D,MATCH($C938,HistoricSummary!$A:$A,0),1)+$G938,""),AND($B938&lt;&gt;"",$D938="COST",$G938&lt;0),$G938,TRUE,)</f>
        <v/>
      </c>
      <c r="J938" s="235" t="str">
        <f t="array" ref="J938">IFS(AND($B938&lt;&gt;"",$E938&lt;&gt;""),IF(INDEX(HistoricSummary!E:E,MATCH($C938,HistoricSummary!$A:$A,0),1)&lt;&gt;"",$E938*INDEX(HistoricSummary!E:E,MATCH($C938,HistoricSummary!$A:$A,0),1)+$G938,""),AND($B938&lt;&gt;"",$D938="COST",$G938&lt;0),$G938,TRUE,)</f>
        <v/>
      </c>
    </row>
    <row r="939">
      <c r="A939" s="184">
        <v>42373.0</v>
      </c>
      <c r="B939" s="19" t="s">
        <v>298</v>
      </c>
      <c r="C939" s="49" t="s">
        <v>301</v>
      </c>
      <c r="D939" s="19" t="s">
        <v>475</v>
      </c>
      <c r="E939" s="19"/>
      <c r="F939" s="232"/>
      <c r="G939" s="233">
        <v>1.85</v>
      </c>
      <c r="H939" s="236" t="s">
        <v>1289</v>
      </c>
      <c r="I939" s="235" t="str">
        <f t="array" ref="I939">IFS(AND($B939&lt;&gt;"",$E939&lt;&gt;""),IF(INDEX(HistoricSummary!D:D,MATCH($C939,HistoricSummary!$A:$A,0),1)&lt;&gt;"",$E939*INDEX(HistoricSummary!D:D,MATCH($C939,HistoricSummary!$A:$A,0),1)+$G939,""),AND($B939&lt;&gt;"",$D939="COST",$G939&lt;0),$G939,TRUE,)</f>
        <v/>
      </c>
      <c r="J939" s="235" t="str">
        <f t="array" ref="J939">IFS(AND($B939&lt;&gt;"",$E939&lt;&gt;""),IF(INDEX(HistoricSummary!E:E,MATCH($C939,HistoricSummary!$A:$A,0),1)&lt;&gt;"",$E939*INDEX(HistoricSummary!E:E,MATCH($C939,HistoricSummary!$A:$A,0),1)+$G939,""),AND($B939&lt;&gt;"",$D939="COST",$G939&lt;0),$G939,TRUE,)</f>
        <v/>
      </c>
    </row>
    <row r="940">
      <c r="A940" s="184">
        <v>42373.0</v>
      </c>
      <c r="B940" s="19" t="s">
        <v>298</v>
      </c>
      <c r="C940" s="49" t="s">
        <v>301</v>
      </c>
      <c r="D940" s="19" t="s">
        <v>475</v>
      </c>
      <c r="E940" s="19"/>
      <c r="F940" s="232"/>
      <c r="G940" s="233">
        <v>87.38</v>
      </c>
      <c r="H940" s="236" t="s">
        <v>1290</v>
      </c>
      <c r="I940" s="235" t="str">
        <f t="array" ref="I940">IFS(AND($B940&lt;&gt;"",$E940&lt;&gt;""),IF(INDEX(HistoricSummary!D:D,MATCH($C940,HistoricSummary!$A:$A,0),1)&lt;&gt;"",$E940*INDEX(HistoricSummary!D:D,MATCH($C940,HistoricSummary!$A:$A,0),1)+$G940,""),AND($B940&lt;&gt;"",$D940="COST",$G940&lt;0),$G940,TRUE,)</f>
        <v/>
      </c>
      <c r="J940" s="235" t="str">
        <f t="array" ref="J940">IFS(AND($B940&lt;&gt;"",$E940&lt;&gt;""),IF(INDEX(HistoricSummary!E:E,MATCH($C940,HistoricSummary!$A:$A,0),1)&lt;&gt;"",$E940*INDEX(HistoricSummary!E:E,MATCH($C940,HistoricSummary!$A:$A,0),1)+$G940,""),AND($B940&lt;&gt;"",$D940="COST",$G940&lt;0),$G940,TRUE,)</f>
        <v/>
      </c>
    </row>
    <row r="941">
      <c r="A941" s="184">
        <v>42348.0</v>
      </c>
      <c r="B941" s="19" t="s">
        <v>298</v>
      </c>
      <c r="C941" s="49" t="s">
        <v>301</v>
      </c>
      <c r="D941" s="19" t="s">
        <v>414</v>
      </c>
      <c r="E941" s="19">
        <v>1.0</v>
      </c>
      <c r="F941" s="232">
        <v>107.2959</v>
      </c>
      <c r="G941" s="233">
        <v>-115.8</v>
      </c>
      <c r="H941" s="236" t="s">
        <v>1291</v>
      </c>
      <c r="I941" s="235" t="str">
        <f t="array" ref="I941">IFS(AND($B941&lt;&gt;"",$E941&lt;&gt;""),IF(INDEX(HistoricSummary!D:D,MATCH($C941,HistoricSummary!$A:$A,0),1)&lt;&gt;"",$E941*INDEX(HistoricSummary!D:D,MATCH($C941,HistoricSummary!$A:$A,0),1)+$G941,""),AND($B941&lt;&gt;"",$D941="COST",$G941&lt;0),$G941,TRUE,)</f>
        <v/>
      </c>
      <c r="J941" s="235" t="str">
        <f t="array" ref="J941">IFS(AND($B941&lt;&gt;"",$E941&lt;&gt;""),IF(INDEX(HistoricSummary!E:E,MATCH($C941,HistoricSummary!$A:$A,0),1)&lt;&gt;"",$E941*INDEX(HistoricSummary!E:E,MATCH($C941,HistoricSummary!$A:$A,0),1)+$G941,""),AND($B941&lt;&gt;"",$D941="COST",$G941&lt;0),$G941,TRUE,)</f>
        <v/>
      </c>
    </row>
    <row r="942">
      <c r="A942" s="184">
        <v>42348.0</v>
      </c>
      <c r="B942" s="19" t="s">
        <v>302</v>
      </c>
      <c r="C942" s="49" t="s">
        <v>305</v>
      </c>
      <c r="D942" s="19" t="s">
        <v>414</v>
      </c>
      <c r="E942" s="19">
        <v>7.0</v>
      </c>
      <c r="F942" s="232">
        <v>96.1932</v>
      </c>
      <c r="G942" s="233">
        <v>-681.85</v>
      </c>
      <c r="H942" s="236" t="s">
        <v>1292</v>
      </c>
      <c r="I942" s="235" t="str">
        <f t="array" ref="I942">IFS(AND($B942&lt;&gt;"",$E942&lt;&gt;""),IF(INDEX(HistoricSummary!D:D,MATCH($C942,HistoricSummary!$A:$A,0),1)&lt;&gt;"",$E942*INDEX(HistoricSummary!D:D,MATCH($C942,HistoricSummary!$A:$A,0),1)+$G942,""),AND($B942&lt;&gt;"",$D942="COST",$G942&lt;0),$G942,TRUE,)</f>
        <v/>
      </c>
      <c r="J942" s="235" t="str">
        <f t="array" ref="J942">IFS(AND($B942&lt;&gt;"",$E942&lt;&gt;""),IF(INDEX(HistoricSummary!E:E,MATCH($C942,HistoricSummary!$A:$A,0),1)&lt;&gt;"",$E942*INDEX(HistoricSummary!E:E,MATCH($C942,HistoricSummary!$A:$A,0),1)+$G942,""),AND($B942&lt;&gt;"",$D942="COST",$G942&lt;0),$G942,TRUE,)</f>
        <v/>
      </c>
    </row>
    <row r="943">
      <c r="A943" s="184">
        <v>42348.0</v>
      </c>
      <c r="B943" s="19" t="s">
        <v>288</v>
      </c>
      <c r="C943" s="49" t="s">
        <v>291</v>
      </c>
      <c r="D943" s="19" t="s">
        <v>414</v>
      </c>
      <c r="E943" s="19">
        <v>17.0</v>
      </c>
      <c r="F943" s="232">
        <v>9.4474</v>
      </c>
      <c r="G943" s="233">
        <v>-169.11</v>
      </c>
      <c r="H943" s="236" t="s">
        <v>1293</v>
      </c>
      <c r="I943" s="235" t="str">
        <f t="array" ref="I943">IFS(AND($B943&lt;&gt;"",$E943&lt;&gt;""),IF(INDEX(HistoricSummary!D:D,MATCH($C943,HistoricSummary!$A:$A,0),1)&lt;&gt;"",$E943*INDEX(HistoricSummary!D:D,MATCH($C943,HistoricSummary!$A:$A,0),1)+$G943,""),AND($B943&lt;&gt;"",$D943="COST",$G943&lt;0),$G943,TRUE,)</f>
        <v/>
      </c>
      <c r="J943" s="235" t="str">
        <f t="array" ref="J943">IFS(AND($B943&lt;&gt;"",$E943&lt;&gt;""),IF(INDEX(HistoricSummary!E:E,MATCH($C943,HistoricSummary!$A:$A,0),1)&lt;&gt;"",$E943*INDEX(HistoricSummary!E:E,MATCH($C943,HistoricSummary!$A:$A,0),1)+$G943,""),AND($B943&lt;&gt;"",$D943="COST",$G943&lt;0),$G943,TRUE,)</f>
        <v/>
      </c>
    </row>
    <row r="944">
      <c r="A944" s="184">
        <v>42348.0</v>
      </c>
      <c r="B944" s="19" t="s">
        <v>292</v>
      </c>
      <c r="C944" s="49" t="s">
        <v>295</v>
      </c>
      <c r="D944" s="19" t="s">
        <v>414</v>
      </c>
      <c r="E944" s="19">
        <v>1.0</v>
      </c>
      <c r="F944" s="232">
        <v>97.2815</v>
      </c>
      <c r="G944" s="233">
        <v>-105.78</v>
      </c>
      <c r="H944" s="236" t="s">
        <v>1294</v>
      </c>
      <c r="I944" s="235" t="str">
        <f t="array" ref="I944">IFS(AND($B944&lt;&gt;"",$E944&lt;&gt;""),IF(INDEX(HistoricSummary!D:D,MATCH($C944,HistoricSummary!$A:$A,0),1)&lt;&gt;"",$E944*INDEX(HistoricSummary!D:D,MATCH($C944,HistoricSummary!$A:$A,0),1)+$G944,""),AND($B944&lt;&gt;"",$D944="COST",$G944&lt;0),$G944,TRUE,)</f>
        <v/>
      </c>
      <c r="J944" s="235" t="str">
        <f t="array" ref="J944">IFS(AND($B944&lt;&gt;"",$E944&lt;&gt;""),IF(INDEX(HistoricSummary!E:E,MATCH($C944,HistoricSummary!$A:$A,0),1)&lt;&gt;"",$E944*INDEX(HistoricSummary!E:E,MATCH($C944,HistoricSummary!$A:$A,0),1)+$G944,""),AND($B944&lt;&gt;"",$D944="COST",$G944&lt;0),$G944,TRUE,)</f>
        <v/>
      </c>
    </row>
    <row r="945">
      <c r="A945" s="184">
        <v>42348.0</v>
      </c>
      <c r="B945" s="19" t="s">
        <v>283</v>
      </c>
      <c r="C945" s="49" t="s">
        <v>284</v>
      </c>
      <c r="D945" s="19" t="s">
        <v>414</v>
      </c>
      <c r="E945" s="19">
        <v>30.0</v>
      </c>
      <c r="F945" s="232">
        <v>13.1056</v>
      </c>
      <c r="G945" s="233">
        <v>-401.67</v>
      </c>
      <c r="H945" s="236" t="s">
        <v>1295</v>
      </c>
      <c r="I945" s="235" t="str">
        <f t="array" ref="I945">IFS(AND($B945&lt;&gt;"",$E945&lt;&gt;""),IF(INDEX(HistoricSummary!D:D,MATCH($C945,HistoricSummary!$A:$A,0),1)&lt;&gt;"",$E945*INDEX(HistoricSummary!D:D,MATCH($C945,HistoricSummary!$A:$A,0),1)+$G945,""),AND($B945&lt;&gt;"",$D945="COST",$G945&lt;0),$G945,TRUE,)</f>
        <v/>
      </c>
      <c r="J945" s="235" t="str">
        <f t="array" ref="J945">IFS(AND($B945&lt;&gt;"",$E945&lt;&gt;""),IF(INDEX(HistoricSummary!E:E,MATCH($C945,HistoricSummary!$A:$A,0),1)&lt;&gt;"",$E945*INDEX(HistoricSummary!E:E,MATCH($C945,HistoricSummary!$A:$A,0),1)+$G945,""),AND($B945&lt;&gt;"",$D945="COST",$G945&lt;0),$G945,TRUE,)</f>
        <v/>
      </c>
    </row>
    <row r="946">
      <c r="A946" s="184">
        <v>42347.0</v>
      </c>
      <c r="B946" s="19" t="s">
        <v>292</v>
      </c>
      <c r="C946" s="49" t="s">
        <v>295</v>
      </c>
      <c r="D946" s="19" t="s">
        <v>475</v>
      </c>
      <c r="E946" s="19"/>
      <c r="F946" s="232"/>
      <c r="G946" s="233">
        <v>4.1</v>
      </c>
      <c r="H946" s="236" t="s">
        <v>1296</v>
      </c>
      <c r="I946" s="235" t="str">
        <f t="array" ref="I946">IFS(AND($B946&lt;&gt;"",$E946&lt;&gt;""),IF(INDEX(HistoricSummary!D:D,MATCH($C946,HistoricSummary!$A:$A,0),1)&lt;&gt;"",$E946*INDEX(HistoricSummary!D:D,MATCH($C946,HistoricSummary!$A:$A,0),1)+$G946,""),AND($B946&lt;&gt;"",$D946="COST",$G946&lt;0),$G946,TRUE,)</f>
        <v/>
      </c>
      <c r="J946" s="235" t="str">
        <f t="array" ref="J946">IFS(AND($B946&lt;&gt;"",$E946&lt;&gt;""),IF(INDEX(HistoricSummary!E:E,MATCH($C946,HistoricSummary!$A:$A,0),1)&lt;&gt;"",$E946*INDEX(HistoricSummary!E:E,MATCH($C946,HistoricSummary!$A:$A,0),1)+$G946,""),AND($B946&lt;&gt;"",$D946="COST",$G946&lt;0),$G946,TRUE,)</f>
        <v/>
      </c>
    </row>
    <row r="947">
      <c r="A947" s="184">
        <v>42318.0</v>
      </c>
      <c r="B947" s="19" t="s">
        <v>292</v>
      </c>
      <c r="C947" s="49" t="s">
        <v>295</v>
      </c>
      <c r="D947" s="19" t="s">
        <v>475</v>
      </c>
      <c r="E947" s="19"/>
      <c r="F947" s="232"/>
      <c r="G947" s="233">
        <v>4.09</v>
      </c>
      <c r="H947" s="236" t="s">
        <v>1297</v>
      </c>
      <c r="I947" s="235" t="str">
        <f t="array" ref="I947">IFS(AND($B947&lt;&gt;"",$E947&lt;&gt;""),IF(INDEX(HistoricSummary!D:D,MATCH($C947,HistoricSummary!$A:$A,0),1)&lt;&gt;"",$E947*INDEX(HistoricSummary!D:D,MATCH($C947,HistoricSummary!$A:$A,0),1)+$G947,""),AND($B947&lt;&gt;"",$D947="COST",$G947&lt;0),$G947,TRUE,)</f>
        <v/>
      </c>
      <c r="J947" s="235" t="str">
        <f t="array" ref="J947">IFS(AND($B947&lt;&gt;"",$E947&lt;&gt;""),IF(INDEX(HistoricSummary!E:E,MATCH($C947,HistoricSummary!$A:$A,0),1)&lt;&gt;"",$E947*INDEX(HistoricSummary!E:E,MATCH($C947,HistoricSummary!$A:$A,0),1)+$G947,""),AND($B947&lt;&gt;"",$D947="COST",$G947&lt;0),$G947,TRUE,)</f>
        <v/>
      </c>
    </row>
    <row r="948">
      <c r="A948" s="184">
        <v>42314.0</v>
      </c>
      <c r="B948" s="19" t="s">
        <v>302</v>
      </c>
      <c r="C948" s="49" t="s">
        <v>305</v>
      </c>
      <c r="D948" s="19" t="s">
        <v>414</v>
      </c>
      <c r="E948" s="19">
        <v>8.0</v>
      </c>
      <c r="F948" s="232">
        <v>98.96531</v>
      </c>
      <c r="G948" s="233">
        <v>-800.22</v>
      </c>
      <c r="H948" s="236" t="s">
        <v>1298</v>
      </c>
      <c r="I948" s="235" t="str">
        <f t="array" ref="I948">IFS(AND($B948&lt;&gt;"",$E948&lt;&gt;""),IF(INDEX(HistoricSummary!D:D,MATCH($C948,HistoricSummary!$A:$A,0),1)&lt;&gt;"",$E948*INDEX(HistoricSummary!D:D,MATCH($C948,HistoricSummary!$A:$A,0),1)+$G948,""),AND($B948&lt;&gt;"",$D948="COST",$G948&lt;0),$G948,TRUE,)</f>
        <v/>
      </c>
      <c r="J948" s="235" t="str">
        <f t="array" ref="J948">IFS(AND($B948&lt;&gt;"",$E948&lt;&gt;""),IF(INDEX(HistoricSummary!E:E,MATCH($C948,HistoricSummary!$A:$A,0),1)&lt;&gt;"",$E948*INDEX(HistoricSummary!E:E,MATCH($C948,HistoricSummary!$A:$A,0),1)+$G948,""),AND($B948&lt;&gt;"",$D948="COST",$G948&lt;0),$G948,TRUE,)</f>
        <v/>
      </c>
    </row>
    <row r="949">
      <c r="A949" s="184">
        <v>42314.0</v>
      </c>
      <c r="B949" s="19" t="s">
        <v>298</v>
      </c>
      <c r="C949" s="49" t="s">
        <v>301</v>
      </c>
      <c r="D949" s="19" t="s">
        <v>414</v>
      </c>
      <c r="E949" s="19">
        <v>9.0</v>
      </c>
      <c r="F949" s="232">
        <v>104.23462</v>
      </c>
      <c r="G949" s="233">
        <v>-946.61</v>
      </c>
      <c r="H949" s="236" t="s">
        <v>1299</v>
      </c>
      <c r="I949" s="235" t="str">
        <f t="array" ref="I949">IFS(AND($B949&lt;&gt;"",$E949&lt;&gt;""),IF(INDEX(HistoricSummary!D:D,MATCH($C949,HistoricSummary!$A:$A,0),1)&lt;&gt;"",$E949*INDEX(HistoricSummary!D:D,MATCH($C949,HistoricSummary!$A:$A,0),1)+$G949,""),AND($B949&lt;&gt;"",$D949="COST",$G949&lt;0),$G949,TRUE,)</f>
        <v/>
      </c>
      <c r="J949" s="235" t="str">
        <f t="array" ref="J949">IFS(AND($B949&lt;&gt;"",$E949&lt;&gt;""),IF(INDEX(HistoricSummary!E:E,MATCH($C949,HistoricSummary!$A:$A,0),1)&lt;&gt;"",$E949*INDEX(HistoricSummary!E:E,MATCH($C949,HistoricSummary!$A:$A,0),1)+$G949,""),AND($B949&lt;&gt;"",$D949="COST",$G949&lt;0),$G949,TRUE,)</f>
        <v/>
      </c>
    </row>
    <row r="950">
      <c r="A950" s="184">
        <v>42314.0</v>
      </c>
      <c r="B950" s="19" t="s">
        <v>283</v>
      </c>
      <c r="C950" s="49" t="s">
        <v>284</v>
      </c>
      <c r="D950" s="19" t="s">
        <v>414</v>
      </c>
      <c r="E950" s="19">
        <v>2.0</v>
      </c>
      <c r="F950" s="232">
        <v>14.30627</v>
      </c>
      <c r="G950" s="233">
        <v>-37.11</v>
      </c>
      <c r="H950" s="236" t="s">
        <v>1300</v>
      </c>
      <c r="I950" s="235" t="str">
        <f t="array" ref="I950">IFS(AND($B950&lt;&gt;"",$E950&lt;&gt;""),IF(INDEX(HistoricSummary!D:D,MATCH($C950,HistoricSummary!$A:$A,0),1)&lt;&gt;"",$E950*INDEX(HistoricSummary!D:D,MATCH($C950,HistoricSummary!$A:$A,0),1)+$G950,""),AND($B950&lt;&gt;"",$D950="COST",$G950&lt;0),$G950,TRUE,)</f>
        <v/>
      </c>
      <c r="J950" s="235" t="str">
        <f t="array" ref="J950">IFS(AND($B950&lt;&gt;"",$E950&lt;&gt;""),IF(INDEX(HistoricSummary!E:E,MATCH($C950,HistoricSummary!$A:$A,0),1)&lt;&gt;"",$E950*INDEX(HistoricSummary!E:E,MATCH($C950,HistoricSummary!$A:$A,0),1)+$G950,""),AND($B950&lt;&gt;"",$D950="COST",$G950&lt;0),$G950,TRUE,)</f>
        <v/>
      </c>
    </row>
    <row r="951">
      <c r="A951" s="184">
        <v>42314.0</v>
      </c>
      <c r="B951" s="19" t="s">
        <v>288</v>
      </c>
      <c r="C951" s="49" t="s">
        <v>291</v>
      </c>
      <c r="D951" s="19" t="s">
        <v>414</v>
      </c>
      <c r="E951" s="19">
        <v>20.0</v>
      </c>
      <c r="F951" s="232">
        <v>9.70023</v>
      </c>
      <c r="G951" s="233">
        <v>-202.5</v>
      </c>
      <c r="H951" s="236" t="s">
        <v>1301</v>
      </c>
      <c r="I951" s="235" t="str">
        <f t="array" ref="I951">IFS(AND($B951&lt;&gt;"",$E951&lt;&gt;""),IF(INDEX(HistoricSummary!D:D,MATCH($C951,HistoricSummary!$A:$A,0),1)&lt;&gt;"",$E951*INDEX(HistoricSummary!D:D,MATCH($C951,HistoricSummary!$A:$A,0),1)+$G951,""),AND($B951&lt;&gt;"",$D951="COST",$G951&lt;0),$G951,TRUE,)</f>
        <v/>
      </c>
      <c r="J951" s="235" t="str">
        <f t="array" ref="J951">IFS(AND($B951&lt;&gt;"",$E951&lt;&gt;""),IF(INDEX(HistoricSummary!E:E,MATCH($C951,HistoricSummary!$A:$A,0),1)&lt;&gt;"",$E951*INDEX(HistoricSummary!E:E,MATCH($C951,HistoricSummary!$A:$A,0),1)+$G951,""),AND($B951&lt;&gt;"",$D951="COST",$G951&lt;0),$G951,TRUE,)</f>
        <v/>
      </c>
    </row>
    <row r="952">
      <c r="A952" s="248">
        <v>42303.0</v>
      </c>
      <c r="B952" s="251" t="s">
        <v>288</v>
      </c>
      <c r="C952" s="263" t="s">
        <v>291</v>
      </c>
      <c r="D952" s="264" t="s">
        <v>414</v>
      </c>
      <c r="E952" s="251">
        <v>255.0</v>
      </c>
      <c r="F952" s="252">
        <v>10.2342</v>
      </c>
      <c r="G952" s="253">
        <v>-2618.23</v>
      </c>
      <c r="H952" s="236" t="s">
        <v>1302</v>
      </c>
      <c r="I952" s="235" t="str">
        <f t="array" ref="I952">IFS(AND($B952&lt;&gt;"",$E952&lt;&gt;""),IF(INDEX(HistoricSummary!D:D,MATCH($C952,HistoricSummary!$A:$A,0),1)&lt;&gt;"",$E952*INDEX(HistoricSummary!D:D,MATCH($C952,HistoricSummary!$A:$A,0),1)+$G952,""),AND($B952&lt;&gt;"",$D952="COST",$G952&lt;0),$G952,TRUE,)</f>
        <v/>
      </c>
      <c r="J952" s="235" t="str">
        <f t="array" ref="J952">IFS(AND($B952&lt;&gt;"",$E952&lt;&gt;""),IF(INDEX(HistoricSummary!E:E,MATCH($C952,HistoricSummary!$A:$A,0),1)&lt;&gt;"",$E952*INDEX(HistoricSummary!E:E,MATCH($C952,HistoricSummary!$A:$A,0),1)+$G952,""),AND($B952&lt;&gt;"",$D952="COST",$G952&lt;0),$G952,TRUE,)</f>
        <v/>
      </c>
    </row>
    <row r="953">
      <c r="A953" s="248">
        <v>42303.0</v>
      </c>
      <c r="B953" s="251" t="s">
        <v>292</v>
      </c>
      <c r="C953" s="263" t="s">
        <v>295</v>
      </c>
      <c r="D953" s="264" t="s">
        <v>414</v>
      </c>
      <c r="E953" s="251">
        <v>55.0</v>
      </c>
      <c r="F953" s="252">
        <v>97.8714</v>
      </c>
      <c r="G953" s="253">
        <v>-5391.43</v>
      </c>
      <c r="H953" s="236" t="s">
        <v>1303</v>
      </c>
      <c r="I953" s="235" t="str">
        <f t="array" ref="I953">IFS(AND($B953&lt;&gt;"",$E953&lt;&gt;""),IF(INDEX(HistoricSummary!D:D,MATCH($C953,HistoricSummary!$A:$A,0),1)&lt;&gt;"",$E953*INDEX(HistoricSummary!D:D,MATCH($C953,HistoricSummary!$A:$A,0),1)+$G953,""),AND($B953&lt;&gt;"",$D953="COST",$G953&lt;0),$G953,TRUE,)</f>
        <v/>
      </c>
      <c r="J953" s="235" t="str">
        <f t="array" ref="J953">IFS(AND($B953&lt;&gt;"",$E953&lt;&gt;""),IF(INDEX(HistoricSummary!E:E,MATCH($C953,HistoricSummary!$A:$A,0),1)&lt;&gt;"",$E953*INDEX(HistoricSummary!E:E,MATCH($C953,HistoricSummary!$A:$A,0),1)+$G953,""),AND($B953&lt;&gt;"",$D953="COST",$G953&lt;0),$G953,TRUE,)</f>
        <v/>
      </c>
    </row>
    <row r="954">
      <c r="A954" s="248">
        <v>42303.0</v>
      </c>
      <c r="B954" s="251" t="s">
        <v>283</v>
      </c>
      <c r="C954" s="263" t="s">
        <v>284</v>
      </c>
      <c r="D954" s="264" t="s">
        <v>414</v>
      </c>
      <c r="E954" s="251">
        <v>179.0</v>
      </c>
      <c r="F954" s="252">
        <v>14.3383</v>
      </c>
      <c r="G954" s="253">
        <v>-2575.06</v>
      </c>
      <c r="H954" s="236" t="s">
        <v>1304</v>
      </c>
      <c r="I954" s="235" t="str">
        <f t="array" ref="I954">IFS(AND($B954&lt;&gt;"",$E954&lt;&gt;""),IF(INDEX(HistoricSummary!D:D,MATCH($C954,HistoricSummary!$A:$A,0),1)&lt;&gt;"",$E954*INDEX(HistoricSummary!D:D,MATCH($C954,HistoricSummary!$A:$A,0),1)+$G954,""),AND($B954&lt;&gt;"",$D954="COST",$G954&lt;0),$G954,TRUE,)</f>
        <v/>
      </c>
      <c r="J954" s="235" t="str">
        <f t="array" ref="J954">IFS(AND($B954&lt;&gt;"",$E954&lt;&gt;""),IF(INDEX(HistoricSummary!E:E,MATCH($C954,HistoricSummary!$A:$A,0),1)&lt;&gt;"",$E954*INDEX(HistoricSummary!E:E,MATCH($C954,HistoricSummary!$A:$A,0),1)+$G954,""),AND($B954&lt;&gt;"",$D954="COST",$G954&lt;0),$G954,TRUE,)</f>
        <v/>
      </c>
    </row>
    <row r="955">
      <c r="A955" s="248">
        <v>42303.0</v>
      </c>
      <c r="B955" s="251" t="s">
        <v>298</v>
      </c>
      <c r="C955" s="263" t="s">
        <v>301</v>
      </c>
      <c r="D955" s="264" t="s">
        <v>414</v>
      </c>
      <c r="E955" s="251">
        <v>127.0</v>
      </c>
      <c r="F955" s="252">
        <v>108.0799</v>
      </c>
      <c r="G955" s="253">
        <v>-13738.49</v>
      </c>
      <c r="H955" s="236" t="s">
        <v>1305</v>
      </c>
      <c r="I955" s="235" t="str">
        <f t="array" ref="I955">IFS(AND($B955&lt;&gt;"",$E955&lt;&gt;""),IF(INDEX(HistoricSummary!D:D,MATCH($C955,HistoricSummary!$A:$A,0),1)&lt;&gt;"",$E955*INDEX(HistoricSummary!D:D,MATCH($C955,HistoricSummary!$A:$A,0),1)+$G955,""),AND($B955&lt;&gt;"",$D955="COST",$G955&lt;0),$G955,TRUE,)</f>
        <v/>
      </c>
      <c r="J955" s="235" t="str">
        <f t="array" ref="J955">IFS(AND($B955&lt;&gt;"",$E955&lt;&gt;""),IF(INDEX(HistoricSummary!E:E,MATCH($C955,HistoricSummary!$A:$A,0),1)&lt;&gt;"",$E955*INDEX(HistoricSummary!E:E,MATCH($C955,HistoricSummary!$A:$A,0),1)+$G955,""),AND($B955&lt;&gt;"",$D955="COST",$G955&lt;0),$G955,TRUE,)</f>
        <v/>
      </c>
    </row>
    <row r="956">
      <c r="A956" s="248">
        <v>42303.0</v>
      </c>
      <c r="B956" s="251" t="s">
        <v>302</v>
      </c>
      <c r="C956" s="263" t="s">
        <v>305</v>
      </c>
      <c r="D956" s="264" t="s">
        <v>414</v>
      </c>
      <c r="E956" s="251">
        <v>100.0</v>
      </c>
      <c r="F956" s="252">
        <v>95.7279</v>
      </c>
      <c r="G956" s="253">
        <v>-9581.29</v>
      </c>
      <c r="H956" s="236" t="s">
        <v>1306</v>
      </c>
      <c r="I956" s="235" t="str">
        <f t="array" ref="I956">IFS(AND($B956&lt;&gt;"",$E956&lt;&gt;""),IF(INDEX(HistoricSummary!D:D,MATCH($C956,HistoricSummary!$A:$A,0),1)&lt;&gt;"",$E956*INDEX(HistoricSummary!D:D,MATCH($C956,HistoricSummary!$A:$A,0),1)+$G956,""),AND($B956&lt;&gt;"",$D956="COST",$G956&lt;0),$G956,TRUE,)</f>
        <v/>
      </c>
      <c r="J956" s="235" t="str">
        <f t="array" ref="J956">IFS(AND($B956&lt;&gt;"",$E956&lt;&gt;""),IF(INDEX(HistoricSummary!E:E,MATCH($C956,HistoricSummary!$A:$A,0),1)&lt;&gt;"",$E956*INDEX(HistoricSummary!E:E,MATCH($C956,HistoricSummary!$A:$A,0),1)+$G956,""),AND($B956&lt;&gt;"",$D956="COST",$G956&lt;0),$G956,TRUE,)</f>
        <v/>
      </c>
    </row>
    <row r="957">
      <c r="A957" s="184">
        <v>42302.0</v>
      </c>
      <c r="B957" s="19"/>
      <c r="C957" s="49" t="s">
        <v>1307</v>
      </c>
      <c r="D957" s="19" t="s">
        <v>415</v>
      </c>
      <c r="E957" s="19">
        <v>-117.0</v>
      </c>
      <c r="F957" s="232">
        <v>184.14</v>
      </c>
      <c r="G957" s="233">
        <v>21524.99</v>
      </c>
      <c r="H957" s="236" t="s">
        <v>1308</v>
      </c>
      <c r="I957" s="235" t="str">
        <f t="array" ref="I957">IFS(AND($B957&lt;&gt;"",$E957&lt;&gt;""),IF(INDEX(HistoricSummary!D:D,MATCH($C957,HistoricSummary!$A:$A,0),1)&lt;&gt;"",$E957*INDEX(HistoricSummary!D:D,MATCH($C957,HistoricSummary!$A:$A,0),1)+$G957,""),AND($B957&lt;&gt;"",$D957="COST",$G957&lt;0),$G957,TRUE,)</f>
        <v/>
      </c>
      <c r="J957" s="235" t="str">
        <f t="array" ref="J957">IFS(AND($B957&lt;&gt;"",$E957&lt;&gt;""),IF(INDEX(HistoricSummary!E:E,MATCH($C957,HistoricSummary!$A:$A,0),1)&lt;&gt;"",$E957*INDEX(HistoricSummary!E:E,MATCH($C957,HistoricSummary!$A:$A,0),1)+$G957,""),AND($B957&lt;&gt;"",$D957="COST",$G957&lt;0),$G957,TRUE,)</f>
        <v/>
      </c>
    </row>
    <row r="958">
      <c r="A958" s="184">
        <v>42297.0</v>
      </c>
      <c r="B958" s="171"/>
      <c r="C958" s="261"/>
      <c r="D958" s="19" t="s">
        <v>454</v>
      </c>
      <c r="E958" s="171"/>
      <c r="F958" s="232"/>
      <c r="G958" s="233">
        <v>12000.0</v>
      </c>
      <c r="H958" s="236" t="s">
        <v>1309</v>
      </c>
      <c r="I958" s="235" t="str">
        <f t="array" ref="I958">IFS(AND($B958&lt;&gt;"",$E958&lt;&gt;""),IF(INDEX(HistoricSummary!D:D,MATCH($C958,HistoricSummary!$A:$A,0),1)&lt;&gt;"",$E958*INDEX(HistoricSummary!D:D,MATCH($C958,HistoricSummary!$A:$A,0),1)+$G958,""),AND($B958&lt;&gt;"",$D958="COST",$G958&lt;0),$G958,TRUE,)</f>
        <v/>
      </c>
      <c r="J958" s="235" t="str">
        <f t="array" ref="J958">IFS(AND($B958&lt;&gt;"",$E958&lt;&gt;""),IF(INDEX(HistoricSummary!E:E,MATCH($C958,HistoricSummary!$A:$A,0),1)&lt;&gt;"",$E958*INDEX(HistoricSummary!E:E,MATCH($C958,HistoricSummary!$A:$A,0),1)+$G958,""),AND($B958&lt;&gt;"",$D958="COST",$G958&lt;0),$G958,TRUE,)</f>
        <v/>
      </c>
    </row>
    <row r="959">
      <c r="A959" s="184">
        <v>42297.0</v>
      </c>
      <c r="B959" s="171"/>
      <c r="C959" s="261"/>
      <c r="D959" s="19" t="s">
        <v>454</v>
      </c>
      <c r="E959" s="171"/>
      <c r="F959" s="232"/>
      <c r="G959" s="233">
        <v>30356.53</v>
      </c>
      <c r="H959" s="234" t="s">
        <v>1310</v>
      </c>
      <c r="I959" s="235" t="str">
        <f t="array" ref="I959">IFS(AND($B959&lt;&gt;"",$E959&lt;&gt;""),IF(INDEX(HistoricSummary!D:D,MATCH($C959,HistoricSummary!$A:$A,0),1)&lt;&gt;"",$E959*INDEX(HistoricSummary!D:D,MATCH($C959,HistoricSummary!$A:$A,0),1)+$G959,""),AND($B959&lt;&gt;"",$D959="COST",$G959&lt;0),$G959,TRUE,)</f>
        <v/>
      </c>
      <c r="J959" s="235" t="str">
        <f t="array" ref="J959">IFS(AND($B959&lt;&gt;"",$E959&lt;&gt;""),IF(INDEX(HistoricSummary!E:E,MATCH($C959,HistoricSummary!$A:$A,0),1)&lt;&gt;"",$E959*INDEX(HistoricSummary!E:E,MATCH($C959,HistoricSummary!$A:$A,0),1)+$G959,""),AND($B959&lt;&gt;"",$D959="COST",$G959&lt;0),$G959,TRUE,)</f>
        <v/>
      </c>
    </row>
    <row r="960">
      <c r="A960" s="184">
        <v>42277.0</v>
      </c>
      <c r="B960" s="164"/>
      <c r="C960" s="164"/>
      <c r="D960" s="164" t="s">
        <v>454</v>
      </c>
      <c r="E960" s="265"/>
      <c r="F960" s="266"/>
      <c r="G960" s="233">
        <v>-30356.53</v>
      </c>
      <c r="H960" s="267" t="s">
        <v>1311</v>
      </c>
      <c r="I960" s="268" t="str">
        <f t="array" ref="I960">IFS(AND($B960&lt;&gt;"",$E960&lt;&gt;""),IF(INDEX(HistoricSummary!D:D,MATCH($C960,HistoricSummary!$A:$A,0),1)&lt;&gt;"",$E960*INDEX(HistoricSummary!D:D,MATCH($C960,HistoricSummary!$A:$A,0),1)+$G960,""),AND($B960&lt;&gt;"",$D960="COST",$G960&lt;0),$G960,TRUE,)</f>
        <v/>
      </c>
      <c r="J960" s="268" t="str">
        <f t="array" ref="J960">IFS(AND($B960&lt;&gt;"",$E960&lt;&gt;""),IF(INDEX(HistoricSummary!E:E,MATCH($C960,HistoricSummary!$A:$A,0),1)&lt;&gt;"",$E960*INDEX(HistoricSummary!E:E,MATCH($C960,HistoricSummary!$A:$A,0),1)+$G960,""),AND($B960&lt;&gt;"",$D960="COST",$G960&lt;0),$G960,TRUE,)</f>
        <v/>
      </c>
    </row>
    <row r="961">
      <c r="A961" s="184">
        <v>42173.0</v>
      </c>
      <c r="B961" s="171"/>
      <c r="C961" s="261" t="s">
        <v>1307</v>
      </c>
      <c r="D961" s="19" t="s">
        <v>475</v>
      </c>
      <c r="E961" s="269"/>
      <c r="F961" s="232"/>
      <c r="G961" s="233">
        <v>684.3</v>
      </c>
      <c r="H961" s="236" t="s">
        <v>1312</v>
      </c>
      <c r="I961" s="235" t="str">
        <f t="array" ref="I961">IFS(AND($B961&lt;&gt;"",$E961&lt;&gt;""),IF(INDEX(HistoricSummary!D:D,MATCH($C961,HistoricSummary!$A:$A,0),1)&lt;&gt;"",$E961*INDEX(HistoricSummary!D:D,MATCH($C961,HistoricSummary!$A:$A,0),1)+$G961,""),AND($B961&lt;&gt;"",$D961="COST",$G961&lt;0),$G961,TRUE,)</f>
        <v/>
      </c>
      <c r="J961" s="235" t="str">
        <f t="array" ref="J961">IFS(AND($B961&lt;&gt;"",$E961&lt;&gt;""),IF(INDEX(HistoricSummary!E:E,MATCH($C961,HistoricSummary!$A:$A,0),1)&lt;&gt;"",$E961*INDEX(HistoricSummary!E:E,MATCH($C961,HistoricSummary!$A:$A,0),1)+$G961,""),AND($B961&lt;&gt;"",$D961="COST",$G961&lt;0),$G961,TRUE,)</f>
        <v/>
      </c>
    </row>
    <row r="962">
      <c r="A962" s="184">
        <v>41983.0</v>
      </c>
      <c r="B962" s="19"/>
      <c r="C962" s="49" t="s">
        <v>1307</v>
      </c>
      <c r="D962" s="19" t="s">
        <v>415</v>
      </c>
      <c r="E962" s="19">
        <v>-21.0</v>
      </c>
      <c r="F962" s="232">
        <v>305.05</v>
      </c>
      <c r="G962" s="233">
        <v>6400.28</v>
      </c>
      <c r="H962" s="236" t="s">
        <v>1313</v>
      </c>
      <c r="I962" s="235" t="str">
        <f t="array" ref="I962">IFS(AND($B962&lt;&gt;"",$E962&lt;&gt;""),IF(INDEX(HistoricSummary!D:D,MATCH($C962,HistoricSummary!$A:$A,0),1)&lt;&gt;"",$E962*INDEX(HistoricSummary!D:D,MATCH($C962,HistoricSummary!$A:$A,0),1)+$G962,""),AND($B962&lt;&gt;"",$D962="COST",$G962&lt;0),$G962,TRUE,)</f>
        <v/>
      </c>
      <c r="J962" s="235" t="str">
        <f t="array" ref="J962">IFS(AND($B962&lt;&gt;"",$E962&lt;&gt;""),IF(INDEX(HistoricSummary!E:E,MATCH($C962,HistoricSummary!$A:$A,0),1)&lt;&gt;"",$E962*INDEX(HistoricSummary!E:E,MATCH($C962,HistoricSummary!$A:$A,0),1)+$G962,""),AND($B962&lt;&gt;"",$D962="COST",$G962&lt;0),$G962,TRUE,)</f>
        <v/>
      </c>
    </row>
    <row r="963">
      <c r="A963" s="184">
        <v>41982.0</v>
      </c>
      <c r="B963" s="171"/>
      <c r="C963" s="261"/>
      <c r="D963" s="19" t="s">
        <v>432</v>
      </c>
      <c r="E963" s="171"/>
      <c r="F963" s="232"/>
      <c r="G963" s="233">
        <v>-6.0</v>
      </c>
      <c r="H963" s="236" t="s">
        <v>1241</v>
      </c>
      <c r="I963" s="235" t="str">
        <f t="array" ref="I963">IFS(AND($B963&lt;&gt;"",$E963&lt;&gt;""),IF(INDEX(HistoricSummary!D:D,MATCH($C963,HistoricSummary!$A:$A,0),1)&lt;&gt;"",$E963*INDEX(HistoricSummary!D:D,MATCH($C963,HistoricSummary!$A:$A,0),1)+$G963,""),AND($B963&lt;&gt;"",$D963="COST",$G963&lt;0),$G963,TRUE,)</f>
        <v/>
      </c>
      <c r="J963" s="235" t="str">
        <f t="array" ref="J963">IFS(AND($B963&lt;&gt;"",$E963&lt;&gt;""),IF(INDEX(HistoricSummary!E:E,MATCH($C963,HistoricSummary!$A:$A,0),1)&lt;&gt;"",$E963*INDEX(HistoricSummary!E:E,MATCH($C963,HistoricSummary!$A:$A,0),1)+$G963,""),AND($B963&lt;&gt;"",$D963="COST",$G963&lt;0),$G963,TRUE,)</f>
        <v/>
      </c>
    </row>
    <row r="964">
      <c r="A964" s="184">
        <v>41981.0</v>
      </c>
      <c r="B964" s="171"/>
      <c r="C964" s="261"/>
      <c r="D964" s="19" t="s">
        <v>454</v>
      </c>
      <c r="E964" s="171"/>
      <c r="F964" s="232"/>
      <c r="G964" s="233">
        <v>-13500.0</v>
      </c>
      <c r="H964" s="236" t="s">
        <v>1314</v>
      </c>
      <c r="I964" s="235" t="str">
        <f t="array" ref="I964">IFS(AND($B964&lt;&gt;"",$E964&lt;&gt;""),IF(INDEX(HistoricSummary!D:D,MATCH($C964,HistoricSummary!$A:$A,0),1)&lt;&gt;"",$E964*INDEX(HistoricSummary!D:D,MATCH($C964,HistoricSummary!$A:$A,0),1)+$G964,""),AND($B964&lt;&gt;"",$D964="COST",$G964&lt;0),$G964,TRUE,)</f>
        <v/>
      </c>
      <c r="J964" s="235" t="str">
        <f t="array" ref="J964">IFS(AND($B964&lt;&gt;"",$E964&lt;&gt;""),IF(INDEX(HistoricSummary!E:E,MATCH($C964,HistoricSummary!$A:$A,0),1)&lt;&gt;"",$E964*INDEX(HistoricSummary!E:E,MATCH($C964,HistoricSummary!$A:$A,0),1)+$G964,""),AND($B964&lt;&gt;"",$D964="COST",$G964&lt;0),$G964,TRUE,)</f>
        <v/>
      </c>
    </row>
    <row r="965">
      <c r="A965" s="184">
        <v>41981.0</v>
      </c>
      <c r="B965" s="171"/>
      <c r="C965" s="261"/>
      <c r="D965" s="19" t="s">
        <v>454</v>
      </c>
      <c r="E965" s="171"/>
      <c r="F965" s="232"/>
      <c r="G965" s="233">
        <v>7020.41</v>
      </c>
      <c r="H965" s="236" t="s">
        <v>1315</v>
      </c>
      <c r="I965" s="235" t="str">
        <f t="array" ref="I965">IFS(AND($B965&lt;&gt;"",$E965&lt;&gt;""),IF(INDEX(HistoricSummary!D:D,MATCH($C965,HistoricSummary!$A:$A,0),1)&lt;&gt;"",$E965*INDEX(HistoricSummary!D:D,MATCH($C965,HistoricSummary!$A:$A,0),1)+$G965,""),AND($B965&lt;&gt;"",$D965="COST",$G965&lt;0),$G965,TRUE,)</f>
        <v/>
      </c>
      <c r="J965" s="235" t="str">
        <f t="array" ref="J965">IFS(AND($B965&lt;&gt;"",$E965&lt;&gt;""),IF(INDEX(HistoricSummary!E:E,MATCH($C965,HistoricSummary!$A:$A,0),1)&lt;&gt;"",$E965*INDEX(HistoricSummary!E:E,MATCH($C965,HistoricSummary!$A:$A,0),1)+$G965,""),AND($B965&lt;&gt;"",$D965="COST",$G965&lt;0),$G965,TRUE,)</f>
        <v/>
      </c>
    </row>
    <row r="966">
      <c r="A966" s="184">
        <v>41933.0</v>
      </c>
      <c r="B966" s="171"/>
      <c r="C966" s="261" t="s">
        <v>1307</v>
      </c>
      <c r="D966" s="19" t="s">
        <v>414</v>
      </c>
      <c r="E966" s="17">
        <v>38.0</v>
      </c>
      <c r="F966" s="232">
        <v>346.34</v>
      </c>
      <c r="G966" s="233">
        <v>-13172.76</v>
      </c>
      <c r="H966" s="236" t="s">
        <v>1316</v>
      </c>
      <c r="I966" s="235" t="str">
        <f t="array" ref="I966">IFS(AND($B966&lt;&gt;"",$E966&lt;&gt;""),IF(INDEX(HistoricSummary!D:D,MATCH($C966,HistoricSummary!$A:$A,0),1)&lt;&gt;"",$E966*INDEX(HistoricSummary!D:D,MATCH($C966,HistoricSummary!$A:$A,0),1)+$G966,""),AND($B966&lt;&gt;"",$D966="COST",$G966&lt;0),$G966,TRUE,)</f>
        <v/>
      </c>
      <c r="J966" s="235" t="str">
        <f t="array" ref="J966">IFS(AND($B966&lt;&gt;"",$E966&lt;&gt;""),IF(INDEX(HistoricSummary!E:E,MATCH($C966,HistoricSummary!$A:$A,0),1)&lt;&gt;"",$E966*INDEX(HistoricSummary!E:E,MATCH($C966,HistoricSummary!$A:$A,0),1)+$G966,""),AND($B966&lt;&gt;"",$D966="COST",$G966&lt;0),$G966,TRUE,)</f>
        <v/>
      </c>
    </row>
    <row r="967">
      <c r="A967" s="184">
        <v>41887.0</v>
      </c>
      <c r="C967" s="57" t="s">
        <v>1317</v>
      </c>
      <c r="D967" s="19" t="s">
        <v>415</v>
      </c>
      <c r="E967" s="17">
        <v>-525.0</v>
      </c>
      <c r="F967" s="232">
        <v>25.3755</v>
      </c>
      <c r="G967" s="233">
        <v>13310.15</v>
      </c>
      <c r="H967" s="236" t="s">
        <v>1318</v>
      </c>
      <c r="I967" s="235" t="str">
        <f t="array" ref="I967">IFS(AND($B967&lt;&gt;"",$E967&lt;&gt;""),IF(INDEX(HistoricSummary!D:D,MATCH($C967,HistoricSummary!$A:$A,0),1)&lt;&gt;"",$E967*INDEX(HistoricSummary!D:D,MATCH($C967,HistoricSummary!$A:$A,0),1)+$G967,""),AND($B967&lt;&gt;"",$D967="COST",$G967&lt;0),$G967,TRUE,)</f>
        <v/>
      </c>
      <c r="J967" s="235" t="str">
        <f t="array" ref="J967">IFS(AND($B967&lt;&gt;"",$E967&lt;&gt;""),IF(INDEX(HistoricSummary!E:E,MATCH($C967,HistoricSummary!$A:$A,0),1)&lt;&gt;"",$E967*INDEX(HistoricSummary!E:E,MATCH($C967,HistoricSummary!$A:$A,0),1)+$G967,""),AND($B967&lt;&gt;"",$D967="COST",$G967&lt;0),$G967,TRUE,)</f>
        <v/>
      </c>
    </row>
    <row r="968">
      <c r="A968" s="184">
        <v>41821.0</v>
      </c>
      <c r="B968" s="270"/>
      <c r="C968" s="271" t="s">
        <v>1317</v>
      </c>
      <c r="D968" s="229" t="s">
        <v>432</v>
      </c>
      <c r="E968" s="17"/>
      <c r="F968" s="232"/>
      <c r="G968" s="233">
        <v>-24.17</v>
      </c>
      <c r="H968" s="236" t="s">
        <v>1319</v>
      </c>
      <c r="I968" s="235" t="str">
        <f t="array" ref="I968">IFS(AND($B968&lt;&gt;"",$E968&lt;&gt;""),IF(INDEX(HistoricSummary!D:D,MATCH($C968,HistoricSummary!$A:$A,0),1)&lt;&gt;"",$E968*INDEX(HistoricSummary!D:D,MATCH($C968,HistoricSummary!$A:$A,0),1)+$G968,""),AND($B968&lt;&gt;"",$D968="COST",$G968&lt;0),$G968,TRUE,)</f>
        <v/>
      </c>
      <c r="J968" s="235" t="str">
        <f t="array" ref="J968">IFS(AND($B968&lt;&gt;"",$E968&lt;&gt;""),IF(INDEX(HistoricSummary!E:E,MATCH($C968,HistoricSummary!$A:$A,0),1)&lt;&gt;"",$E968*INDEX(HistoricSummary!E:E,MATCH($C968,HistoricSummary!$A:$A,0),1)+$G968,""),AND($B968&lt;&gt;"",$D968="COST",$G968&lt;0),$G968,TRUE,)</f>
        <v/>
      </c>
    </row>
    <row r="969">
      <c r="A969" s="184">
        <v>41821.0</v>
      </c>
      <c r="C969" s="57" t="s">
        <v>1317</v>
      </c>
      <c r="D969" s="19" t="s">
        <v>414</v>
      </c>
      <c r="E969" s="19">
        <v>525.0</v>
      </c>
      <c r="F969" s="232">
        <v>23.02</v>
      </c>
      <c r="G969" s="233">
        <v>-12096.38</v>
      </c>
      <c r="H969" s="236" t="s">
        <v>1320</v>
      </c>
      <c r="I969" s="235" t="str">
        <f t="array" ref="I969">IFS(AND($B969&lt;&gt;"",$E969&lt;&gt;""),IF(INDEX(HistoricSummary!D:D,MATCH($C969,HistoricSummary!$A:$A,0),1)&lt;&gt;"",$E969*INDEX(HistoricSummary!D:D,MATCH($C969,HistoricSummary!$A:$A,0),1)+$G969,""),AND($B969&lt;&gt;"",$D969="COST",$G969&lt;0),$G969,TRUE,)</f>
        <v/>
      </c>
      <c r="J969" s="235" t="str">
        <f t="array" ref="J969">IFS(AND($B969&lt;&gt;"",$E969&lt;&gt;""),IF(INDEX(HistoricSummary!E:E,MATCH($C969,HistoricSummary!$A:$A,0),1)&lt;&gt;"",$E969*INDEX(HistoricSummary!E:E,MATCH($C969,HistoricSummary!$A:$A,0),1)+$G969,""),AND($B969&lt;&gt;"",$D969="COST",$G969&lt;0),$G969,TRUE,)</f>
        <v/>
      </c>
    </row>
    <row r="970">
      <c r="A970" s="184">
        <v>41816.0</v>
      </c>
      <c r="C970" s="57" t="s">
        <v>1321</v>
      </c>
      <c r="D970" s="19" t="s">
        <v>415</v>
      </c>
      <c r="E970" s="17">
        <v>-345.0</v>
      </c>
      <c r="F970" s="232">
        <v>31.1974</v>
      </c>
      <c r="G970" s="233">
        <v>10753.41</v>
      </c>
      <c r="H970" s="236" t="s">
        <v>1322</v>
      </c>
      <c r="I970" s="235" t="str">
        <f t="array" ref="I970">IFS(AND($B970&lt;&gt;"",$E970&lt;&gt;""),IF(INDEX(HistoricSummary!D:D,MATCH($C970,HistoricSummary!$A:$A,0),1)&lt;&gt;"",$E970*INDEX(HistoricSummary!D:D,MATCH($C970,HistoricSummary!$A:$A,0),1)+$G970,""),AND($B970&lt;&gt;"",$D970="COST",$G970&lt;0),$G970,TRUE,)</f>
        <v/>
      </c>
      <c r="J970" s="235" t="str">
        <f t="array" ref="J970">IFS(AND($B970&lt;&gt;"",$E970&lt;&gt;""),IF(INDEX(HistoricSummary!E:E,MATCH($C970,HistoricSummary!$A:$A,0),1)&lt;&gt;"",$E970*INDEX(HistoricSummary!E:E,MATCH($C970,HistoricSummary!$A:$A,0),1)+$G970,""),AND($B970&lt;&gt;"",$D970="COST",$G970&lt;0),$G970,TRUE,)</f>
        <v/>
      </c>
    </row>
    <row r="971">
      <c r="A971" s="184">
        <v>41809.0</v>
      </c>
      <c r="B971" s="171"/>
      <c r="C971" s="261" t="s">
        <v>1307</v>
      </c>
      <c r="D971" s="19" t="s">
        <v>475</v>
      </c>
      <c r="E971" s="17"/>
      <c r="F971" s="232"/>
      <c r="G971" s="233">
        <v>1586.91</v>
      </c>
      <c r="H971" s="236" t="s">
        <v>1323</v>
      </c>
      <c r="I971" s="235" t="str">
        <f t="array" ref="I971">IFS(AND($B971&lt;&gt;"",$E971&lt;&gt;""),IF(INDEX(HistoricSummary!D:D,MATCH($C971,HistoricSummary!$A:$A,0),1)&lt;&gt;"",$E971*INDEX(HistoricSummary!D:D,MATCH($C971,HistoricSummary!$A:$A,0),1)+$G971,""),AND($B971&lt;&gt;"",$D971="COST",$G971&lt;0),$G971,TRUE,)</f>
        <v/>
      </c>
      <c r="J971" s="235" t="str">
        <f t="array" ref="J971">IFS(AND($B971&lt;&gt;"",$E971&lt;&gt;""),IF(INDEX(HistoricSummary!E:E,MATCH($C971,HistoricSummary!$A:$A,0),1)&lt;&gt;"",$E971*INDEX(HistoricSummary!E:E,MATCH($C971,HistoricSummary!$A:$A,0),1)+$G971,""),AND($B971&lt;&gt;"",$D971="COST",$G971&lt;0),$G971,TRUE,)</f>
        <v/>
      </c>
    </row>
    <row r="972">
      <c r="A972" s="184">
        <v>41794.0</v>
      </c>
      <c r="C972" s="57" t="s">
        <v>1321</v>
      </c>
      <c r="D972" s="19" t="s">
        <v>475</v>
      </c>
      <c r="E972" s="17"/>
      <c r="F972" s="232"/>
      <c r="G972" s="233">
        <v>330.2</v>
      </c>
      <c r="H972" s="236" t="s">
        <v>1324</v>
      </c>
      <c r="I972" s="235" t="str">
        <f t="array" ref="I972">IFS(AND($B972&lt;&gt;"",$E972&lt;&gt;""),IF(INDEX(HistoricSummary!D:D,MATCH($C972,HistoricSummary!$A:$A,0),1)&lt;&gt;"",$E972*INDEX(HistoricSummary!D:D,MATCH($C972,HistoricSummary!$A:$A,0),1)+$G972,""),AND($B972&lt;&gt;"",$D972="COST",$G972&lt;0),$G972,TRUE,)</f>
        <v/>
      </c>
      <c r="J972" s="235" t="str">
        <f t="array" ref="J972">IFS(AND($B972&lt;&gt;"",$E972&lt;&gt;""),IF(INDEX(HistoricSummary!E:E,MATCH($C972,HistoricSummary!$A:$A,0),1)&lt;&gt;"",$E972*INDEX(HistoricSummary!E:E,MATCH($C972,HistoricSummary!$A:$A,0),1)+$G972,""),AND($B972&lt;&gt;"",$D972="COST",$G972&lt;0),$G972,TRUE,)</f>
        <v/>
      </c>
    </row>
    <row r="973">
      <c r="A973" s="184">
        <v>41764.0</v>
      </c>
      <c r="C973" s="57" t="s">
        <v>1321</v>
      </c>
      <c r="D973" s="262" t="s">
        <v>432</v>
      </c>
      <c r="E973" s="17">
        <v>20.0</v>
      </c>
      <c r="F973" s="232">
        <v>25.21</v>
      </c>
      <c r="G973" s="233">
        <v>0.0</v>
      </c>
      <c r="H973" s="236" t="s">
        <v>1325</v>
      </c>
      <c r="I973" s="235" t="str">
        <f t="array" ref="I973">IFS(AND($B973&lt;&gt;"",$E973&lt;&gt;""),IF(INDEX(HistoricSummary!D:D,MATCH($C973,HistoricSummary!$A:$A,0),1)&lt;&gt;"",$E973*INDEX(HistoricSummary!D:D,MATCH($C973,HistoricSummary!$A:$A,0),1)+$G973,""),AND($B973&lt;&gt;"",$D973="COST",$G973&lt;0),$G973,TRUE,)</f>
        <v/>
      </c>
      <c r="J973" s="235" t="str">
        <f t="array" ref="J973">IFS(AND($B973&lt;&gt;"",$E973&lt;&gt;""),IF(INDEX(HistoricSummary!E:E,MATCH($C973,HistoricSummary!$A:$A,0),1)&lt;&gt;"",$E973*INDEX(HistoricSummary!E:E,MATCH($C973,HistoricSummary!$A:$A,0),1)+$G973,""),AND($B973&lt;&gt;"",$D973="COST",$G973&lt;0),$G973,TRUE,)</f>
        <v/>
      </c>
    </row>
    <row r="974">
      <c r="A974" s="184">
        <v>41764.0</v>
      </c>
      <c r="B974" s="19"/>
      <c r="C974" s="49" t="s">
        <v>1321</v>
      </c>
      <c r="D974" s="262" t="s">
        <v>432</v>
      </c>
      <c r="E974" s="17"/>
      <c r="F974" s="232"/>
      <c r="G974" s="233">
        <v>-504.2</v>
      </c>
      <c r="H974" s="236" t="s">
        <v>1326</v>
      </c>
      <c r="I974" s="235" t="str">
        <f t="array" ref="I974">IFS(AND($B974&lt;&gt;"",$E974&lt;&gt;""),IF(INDEX(HistoricSummary!D:D,MATCH($C974,HistoricSummary!$A:$A,0),1)&lt;&gt;"",$E974*INDEX(HistoricSummary!D:D,MATCH($C974,HistoricSummary!$A:$A,0),1)+$G974,""),AND($B974&lt;&gt;"",$D974="COST",$G974&lt;0),$G974,TRUE,)</f>
        <v/>
      </c>
      <c r="J974" s="235" t="str">
        <f t="array" ref="J974">IFS(AND($B974&lt;&gt;"",$E974&lt;&gt;""),IF(INDEX(HistoricSummary!E:E,MATCH($C974,HistoricSummary!$A:$A,0),1)&lt;&gt;"",$E974*INDEX(HistoricSummary!E:E,MATCH($C974,HistoricSummary!$A:$A,0),1)+$G974,""),AND($B974&lt;&gt;"",$D974="COST",$G974&lt;0),$G974,TRUE,)</f>
        <v/>
      </c>
    </row>
    <row r="975">
      <c r="A975" s="184">
        <v>41746.0</v>
      </c>
      <c r="C975" s="57" t="s">
        <v>1321</v>
      </c>
      <c r="D975" s="19" t="s">
        <v>414</v>
      </c>
      <c r="E975" s="17">
        <v>325.0</v>
      </c>
      <c r="F975" s="232">
        <v>29.205</v>
      </c>
      <c r="G975" s="233">
        <v>-9500.17</v>
      </c>
      <c r="H975" s="236" t="s">
        <v>1327</v>
      </c>
      <c r="I975" s="235" t="str">
        <f t="array" ref="I975">IFS(AND($B975&lt;&gt;"",$E975&lt;&gt;""),IF(INDEX(HistoricSummary!D:D,MATCH($C975,HistoricSummary!$A:$A,0),1)&lt;&gt;"",$E975*INDEX(HistoricSummary!D:D,MATCH($C975,HistoricSummary!$A:$A,0),1)+$G975,""),AND($B975&lt;&gt;"",$D975="COST",$G975&lt;0),$G975,TRUE,)</f>
        <v/>
      </c>
      <c r="J975" s="235" t="str">
        <f t="array" ref="J975">IFS(AND($B975&lt;&gt;"",$E975&lt;&gt;""),IF(INDEX(HistoricSummary!E:E,MATCH($C975,HistoricSummary!$A:$A,0),1)&lt;&gt;"",$E975*INDEX(HistoricSummary!E:E,MATCH($C975,HistoricSummary!$A:$A,0),1)+$G975,""),AND($B975&lt;&gt;"",$D975="COST",$G975&lt;0),$G975,TRUE,)</f>
        <v/>
      </c>
    </row>
    <row r="976">
      <c r="A976" s="184">
        <v>41746.0</v>
      </c>
      <c r="B976" s="19"/>
      <c r="C976" s="49" t="s">
        <v>1321</v>
      </c>
      <c r="D976" s="262" t="s">
        <v>432</v>
      </c>
      <c r="E976" s="17"/>
      <c r="F976" s="232"/>
      <c r="G976" s="233">
        <v>-18.98</v>
      </c>
      <c r="H976" s="236" t="s">
        <v>1328</v>
      </c>
      <c r="I976" s="235" t="str">
        <f t="array" ref="I976">IFS(AND($B976&lt;&gt;"",$E976&lt;&gt;""),IF(INDEX(HistoricSummary!D:D,MATCH($C976,HistoricSummary!$A:$A,0),1)&lt;&gt;"",$E976*INDEX(HistoricSummary!D:D,MATCH($C976,HistoricSummary!$A:$A,0),1)+$G976,""),AND($B976&lt;&gt;"",$D976="COST",$G976&lt;0),$G976,TRUE,)</f>
        <v/>
      </c>
      <c r="J976" s="235" t="str">
        <f t="array" ref="J976">IFS(AND($B976&lt;&gt;"",$E976&lt;&gt;""),IF(INDEX(HistoricSummary!E:E,MATCH($C976,HistoricSummary!$A:$A,0),1)&lt;&gt;"",$E976*INDEX(HistoricSummary!E:E,MATCH($C976,HistoricSummary!$A:$A,0),1)+$G976,""),AND($B976&lt;&gt;"",$D976="COST",$G976&lt;0),$G976,TRUE,)</f>
        <v/>
      </c>
    </row>
    <row r="977">
      <c r="A977" s="184">
        <v>41744.0</v>
      </c>
      <c r="B977" s="171"/>
      <c r="C977" s="261"/>
      <c r="D977" s="19" t="s">
        <v>454</v>
      </c>
      <c r="E977" s="171"/>
      <c r="F977" s="232"/>
      <c r="G977" s="233">
        <v>7979.59</v>
      </c>
      <c r="H977" s="236" t="s">
        <v>1329</v>
      </c>
      <c r="I977" s="235" t="str">
        <f t="array" ref="I977">IFS(AND($B977&lt;&gt;"",$E977&lt;&gt;""),IF(INDEX(HistoricSummary!D:D,MATCH($C977,HistoricSummary!$A:$A,0),1)&lt;&gt;"",$E977*INDEX(HistoricSummary!D:D,MATCH($C977,HistoricSummary!$A:$A,0),1)+$G977,""),AND($B977&lt;&gt;"",$D977="COST",$G977&lt;0),$G977,TRUE,)</f>
        <v/>
      </c>
      <c r="J977" s="235" t="str">
        <f t="array" ref="J977">IFS(AND($B977&lt;&gt;"",$E977&lt;&gt;""),IF(INDEX(HistoricSummary!E:E,MATCH($C977,HistoricSummary!$A:$A,0),1)&lt;&gt;"",$E977*INDEX(HistoricSummary!E:E,MATCH($C977,HistoricSummary!$A:$A,0),1)+$G977,""),AND($B977&lt;&gt;"",$D977="COST",$G977&lt;0),$G977,TRUE,)</f>
        <v/>
      </c>
    </row>
    <row r="978">
      <c r="A978" s="184">
        <v>41743.0</v>
      </c>
      <c r="B978" s="171"/>
      <c r="C978" s="261" t="s">
        <v>1307</v>
      </c>
      <c r="D978" s="19" t="s">
        <v>414</v>
      </c>
      <c r="E978" s="17">
        <v>100.0</v>
      </c>
      <c r="F978" s="232">
        <v>411.5</v>
      </c>
      <c r="G978" s="233">
        <v>-41162.0</v>
      </c>
      <c r="H978" s="236" t="s">
        <v>1330</v>
      </c>
      <c r="I978" s="235" t="str">
        <f t="array" ref="I978">IFS(AND($B978&lt;&gt;"",$E978&lt;&gt;""),IF(INDEX(HistoricSummary!D:D,MATCH($C978,HistoricSummary!$A:$A,0),1)&lt;&gt;"",$E978*INDEX(HistoricSummary!D:D,MATCH($C978,HistoricSummary!$A:$A,0),1)+$G978,""),AND($B978&lt;&gt;"",$D978="COST",$G978&lt;0),$G978,TRUE,)</f>
        <v/>
      </c>
      <c r="J978" s="235" t="str">
        <f t="array" ref="J978">IFS(AND($B978&lt;&gt;"",$E978&lt;&gt;""),IF(INDEX(HistoricSummary!E:E,MATCH($C978,HistoricSummary!$A:$A,0),1)&lt;&gt;"",$E978*INDEX(HistoricSummary!E:E,MATCH($C978,HistoricSummary!$A:$A,0),1)+$G978,""),AND($B978&lt;&gt;"",$D978="COST",$G978&lt;0),$G978,TRUE,)</f>
        <v/>
      </c>
    </row>
    <row r="979">
      <c r="A979" s="184">
        <v>41722.0</v>
      </c>
      <c r="C979" s="57" t="s">
        <v>1331</v>
      </c>
      <c r="D979" s="19" t="s">
        <v>415</v>
      </c>
      <c r="E979" s="19">
        <v>-580.0</v>
      </c>
      <c r="F979" s="232">
        <v>73.2</v>
      </c>
      <c r="G979" s="233">
        <v>42444.0</v>
      </c>
      <c r="H979" s="236" t="s">
        <v>1332</v>
      </c>
      <c r="I979" s="235" t="str">
        <f t="array" ref="I979">IFS(AND($B979&lt;&gt;"",$E979&lt;&gt;""),IF(INDEX(HistoricSummary!D:D,MATCH($C979,HistoricSummary!$A:$A,0),1)&lt;&gt;"",$E979*INDEX(HistoricSummary!D:D,MATCH($C979,HistoricSummary!$A:$A,0),1)+$G979,""),AND($B979&lt;&gt;"",$D979="COST",$G979&lt;0),$G979,TRUE,)</f>
        <v/>
      </c>
      <c r="J979" s="235" t="str">
        <f t="array" ref="J979">IFS(AND($B979&lt;&gt;"",$E979&lt;&gt;""),IF(INDEX(HistoricSummary!E:E,MATCH($C979,HistoricSummary!$A:$A,0),1)&lt;&gt;"",$E979*INDEX(HistoricSummary!E:E,MATCH($C979,HistoricSummary!$A:$A,0),1)+$G979,""),AND($B979&lt;&gt;"",$D979="COST",$G979&lt;0),$G979,TRUE,)</f>
        <v/>
      </c>
    </row>
    <row r="980">
      <c r="A980" s="184">
        <v>41599.0</v>
      </c>
      <c r="C980" s="57" t="s">
        <v>1331</v>
      </c>
      <c r="D980" s="19" t="s">
        <v>414</v>
      </c>
      <c r="E980" s="17">
        <v>580.0</v>
      </c>
      <c r="F980" s="232">
        <v>74.2</v>
      </c>
      <c r="G980" s="233">
        <v>-43048.0</v>
      </c>
      <c r="H980" s="236" t="s">
        <v>1333</v>
      </c>
      <c r="I980" s="235" t="str">
        <f t="array" ref="I980">IFS(AND($B980&lt;&gt;"",$E980&lt;&gt;""),IF(INDEX(HistoricSummary!D:D,MATCH($C980,HistoricSummary!$A:$A,0),1)&lt;&gt;"",$E980*INDEX(HistoricSummary!D:D,MATCH($C980,HistoricSummary!$A:$A,0),1)+$G980,""),AND($B980&lt;&gt;"",$D980="COST",$G980&lt;0),$G980,TRUE,)</f>
        <v/>
      </c>
      <c r="J980" s="235" t="str">
        <f t="array" ref="J980">IFS(AND($B980&lt;&gt;"",$E980&lt;&gt;""),IF(INDEX(HistoricSummary!E:E,MATCH($C980,HistoricSummary!$A:$A,0),1)&lt;&gt;"",$E980*INDEX(HistoricSummary!E:E,MATCH($C980,HistoricSummary!$A:$A,0),1)+$G980,""),AND($B980&lt;&gt;"",$D980="COST",$G980&lt;0),$G980,TRUE,)</f>
        <v/>
      </c>
    </row>
    <row r="981">
      <c r="A981" s="184">
        <v>41599.0</v>
      </c>
      <c r="B981" s="19"/>
      <c r="C981" s="49" t="s">
        <v>1331</v>
      </c>
      <c r="D981" s="262" t="s">
        <v>432</v>
      </c>
      <c r="E981" s="17"/>
      <c r="F981" s="232"/>
      <c r="G981" s="233">
        <v>-86.07</v>
      </c>
      <c r="H981" s="236" t="s">
        <v>1334</v>
      </c>
      <c r="I981" s="235" t="str">
        <f t="array" ref="I981">IFS(AND($B981&lt;&gt;"",$E981&lt;&gt;""),IF(INDEX(HistoricSummary!D:D,MATCH($C981,HistoricSummary!$A:$A,0),1)&lt;&gt;"",$E981*INDEX(HistoricSummary!D:D,MATCH($C981,HistoricSummary!$A:$A,0),1)+$G981,""),AND($B981&lt;&gt;"",$D981="COST",$G981&lt;0),$G981,TRUE,)</f>
        <v/>
      </c>
      <c r="J981" s="235" t="str">
        <f t="array" ref="J981">IFS(AND($B981&lt;&gt;"",$E981&lt;&gt;""),IF(INDEX(HistoricSummary!E:E,MATCH($C981,HistoricSummary!$A:$A,0),1)&lt;&gt;"",$E981*INDEX(HistoricSummary!E:E,MATCH($C981,HistoricSummary!$A:$A,0),1)+$G981,""),AND($B981&lt;&gt;"",$D981="COST",$G981&lt;0),$G981,TRUE,)</f>
        <v/>
      </c>
    </row>
    <row r="982">
      <c r="A982" s="184">
        <v>41599.0</v>
      </c>
      <c r="C982" s="57" t="s">
        <v>1335</v>
      </c>
      <c r="D982" s="19" t="s">
        <v>415</v>
      </c>
      <c r="E982" s="17">
        <v>-7300.0</v>
      </c>
      <c r="F982" s="232">
        <v>5.873</v>
      </c>
      <c r="G982" s="233">
        <v>42860.9</v>
      </c>
      <c r="H982" s="236" t="s">
        <v>1336</v>
      </c>
      <c r="I982" s="235" t="str">
        <f t="array" ref="I982">IFS(AND($B982&lt;&gt;"",$E982&lt;&gt;""),IF(INDEX(HistoricSummary!D:D,MATCH($C982,HistoricSummary!$A:$A,0),1)&lt;&gt;"",$E982*INDEX(HistoricSummary!D:D,MATCH($C982,HistoricSummary!$A:$A,0),1)+$G982,""),AND($B982&lt;&gt;"",$D982="COST",$G982&lt;0),$G982,TRUE,)</f>
        <v/>
      </c>
      <c r="J982" s="235" t="str">
        <f t="array" ref="J982">IFS(AND($B982&lt;&gt;"",$E982&lt;&gt;""),IF(INDEX(HistoricSummary!E:E,MATCH($C982,HistoricSummary!$A:$A,0),1)&lt;&gt;"",$E982*INDEX(HistoricSummary!E:E,MATCH($C982,HistoricSummary!$A:$A,0),1)+$G982,""),AND($B982&lt;&gt;"",$D982="COST",$G982&lt;0),$G982,TRUE,)</f>
        <v/>
      </c>
    </row>
    <row r="983">
      <c r="A983" s="184">
        <v>41571.0</v>
      </c>
      <c r="C983" s="57" t="s">
        <v>1335</v>
      </c>
      <c r="D983" s="19" t="s">
        <v>414</v>
      </c>
      <c r="E983" s="17">
        <v>7300.0</v>
      </c>
      <c r="F983" s="232">
        <v>5.704</v>
      </c>
      <c r="G983" s="233">
        <v>-41651.2</v>
      </c>
      <c r="H983" s="236" t="s">
        <v>1337</v>
      </c>
      <c r="I983" s="235" t="str">
        <f t="array" ref="I983">IFS(AND($B983&lt;&gt;"",$E983&lt;&gt;""),IF(INDEX(HistoricSummary!D:D,MATCH($C983,HistoricSummary!$A:$A,0),1)&lt;&gt;"",$E983*INDEX(HistoricSummary!D:D,MATCH($C983,HistoricSummary!$A:$A,0),1)+$G983,""),AND($B983&lt;&gt;"",$D983="COST",$G983&lt;0),$G983,TRUE,)</f>
        <v/>
      </c>
      <c r="J983" s="235" t="str">
        <f t="array" ref="J983">IFS(AND($B983&lt;&gt;"",$E983&lt;&gt;""),IF(INDEX(HistoricSummary!E:E,MATCH($C983,HistoricSummary!$A:$A,0),1)&lt;&gt;"",$E983*INDEX(HistoricSummary!E:E,MATCH($C983,HistoricSummary!$A:$A,0),1)+$G983,""),AND($B983&lt;&gt;"",$D983="COST",$G983&lt;0),$G983,TRUE,)</f>
        <v/>
      </c>
    </row>
    <row r="984">
      <c r="A984" s="184">
        <v>41569.0</v>
      </c>
      <c r="C984" s="57" t="s">
        <v>1338</v>
      </c>
      <c r="D984" s="19" t="s">
        <v>415</v>
      </c>
      <c r="E984" s="17">
        <v>-1500.0</v>
      </c>
      <c r="F984" s="232">
        <v>27.59</v>
      </c>
      <c r="G984" s="233">
        <v>41373.0</v>
      </c>
      <c r="H984" s="236" t="s">
        <v>1339</v>
      </c>
      <c r="I984" s="235" t="str">
        <f t="array" ref="I984">IFS(AND($B984&lt;&gt;"",$E984&lt;&gt;""),IF(INDEX(HistoricSummary!D:D,MATCH($C984,HistoricSummary!$A:$A,0),1)&lt;&gt;"",$E984*INDEX(HistoricSummary!D:D,MATCH($C984,HistoricSummary!$A:$A,0),1)+$G984,""),AND($B984&lt;&gt;"",$D984="COST",$G984&lt;0),$G984,TRUE,)</f>
        <v/>
      </c>
      <c r="J984" s="235" t="str">
        <f t="array" ref="J984">IFS(AND($B984&lt;&gt;"",$E984&lt;&gt;""),IF(INDEX(HistoricSummary!E:E,MATCH($C984,HistoricSummary!$A:$A,0),1)&lt;&gt;"",$E984*INDEX(HistoricSummary!E:E,MATCH($C984,HistoricSummary!$A:$A,0),1)+$G984,""),AND($B984&lt;&gt;"",$D984="COST",$G984&lt;0),$G984,TRUE,)</f>
        <v/>
      </c>
    </row>
    <row r="985">
      <c r="A985" s="184">
        <v>41564.0</v>
      </c>
      <c r="C985" s="57" t="s">
        <v>1340</v>
      </c>
      <c r="D985" s="19" t="s">
        <v>415</v>
      </c>
      <c r="E985" s="17">
        <v>-32.0</v>
      </c>
      <c r="F985" s="232">
        <v>21.6</v>
      </c>
      <c r="G985" s="233">
        <v>690.21</v>
      </c>
      <c r="H985" s="236" t="s">
        <v>1341</v>
      </c>
      <c r="I985" s="235" t="str">
        <f t="array" ref="I985">IFS(AND($B985&lt;&gt;"",$E985&lt;&gt;""),IF(INDEX(HistoricSummary!D:D,MATCH($C985,HistoricSummary!$A:$A,0),1)&lt;&gt;"",$E985*INDEX(HistoricSummary!D:D,MATCH($C985,HistoricSummary!$A:$A,0),1)+$G985,""),AND($B985&lt;&gt;"",$D985="COST",$G985&lt;0),$G985,TRUE,)</f>
        <v/>
      </c>
      <c r="J985" s="235" t="str">
        <f t="array" ref="J985">IFS(AND($B985&lt;&gt;"",$E985&lt;&gt;""),IF(INDEX(HistoricSummary!E:E,MATCH($C985,HistoricSummary!$A:$A,0),1)&lt;&gt;"",$E985*INDEX(HistoricSummary!E:E,MATCH($C985,HistoricSummary!$A:$A,0),1)+$G985,""),AND($B985&lt;&gt;"",$D985="COST",$G985&lt;0),$G985,TRUE,)</f>
        <v/>
      </c>
    </row>
    <row r="986">
      <c r="A986" s="184">
        <v>41564.0</v>
      </c>
      <c r="C986" s="57" t="s">
        <v>1342</v>
      </c>
      <c r="D986" s="19" t="s">
        <v>415</v>
      </c>
      <c r="E986" s="17">
        <v>-16.0</v>
      </c>
      <c r="F986" s="232">
        <v>72.89</v>
      </c>
      <c r="G986" s="233">
        <v>1165.19</v>
      </c>
      <c r="H986" s="236" t="s">
        <v>1343</v>
      </c>
      <c r="I986" s="235" t="str">
        <f t="array" ref="I986">IFS(AND($B986&lt;&gt;"",$E986&lt;&gt;""),IF(INDEX(HistoricSummary!D:D,MATCH($C986,HistoricSummary!$A:$A,0),1)&lt;&gt;"",$E986*INDEX(HistoricSummary!D:D,MATCH($C986,HistoricSummary!$A:$A,0),1)+$G986,""),AND($B986&lt;&gt;"",$D986="COST",$G986&lt;0),$G986,TRUE,)</f>
        <v/>
      </c>
      <c r="J986" s="235" t="str">
        <f t="array" ref="J986">IFS(AND($B986&lt;&gt;"",$E986&lt;&gt;""),IF(INDEX(HistoricSummary!E:E,MATCH($C986,HistoricSummary!$A:$A,0),1)&lt;&gt;"",$E986*INDEX(HistoricSummary!E:E,MATCH($C986,HistoricSummary!$A:$A,0),1)+$G986,""),AND($B986&lt;&gt;"",$D986="COST",$G986&lt;0),$G986,TRUE,)</f>
        <v/>
      </c>
    </row>
    <row r="987">
      <c r="A987" s="184">
        <v>41564.0</v>
      </c>
      <c r="C987" s="57" t="s">
        <v>1338</v>
      </c>
      <c r="D987" s="19" t="s">
        <v>414</v>
      </c>
      <c r="E987" s="17">
        <v>1500.0</v>
      </c>
      <c r="F987" s="232">
        <v>25.2</v>
      </c>
      <c r="G987" s="233">
        <v>-37812.0</v>
      </c>
      <c r="H987" s="236" t="s">
        <v>1344</v>
      </c>
      <c r="I987" s="235" t="str">
        <f t="array" ref="I987">IFS(AND($B987&lt;&gt;"",$E987&lt;&gt;""),IF(INDEX(HistoricSummary!D:D,MATCH($C987,HistoricSummary!$A:$A,0),1)&lt;&gt;"",$E987*INDEX(HistoricSummary!D:D,MATCH($C987,HistoricSummary!$A:$A,0),1)+$G987,""),AND($B987&lt;&gt;"",$D987="COST",$G987&lt;0),$G987,TRUE,)</f>
        <v/>
      </c>
      <c r="J987" s="235" t="str">
        <f t="array" ref="J987">IFS(AND($B987&lt;&gt;"",$E987&lt;&gt;""),IF(INDEX(HistoricSummary!E:E,MATCH($C987,HistoricSummary!$A:$A,0),1)&lt;&gt;"",$E987*INDEX(HistoricSummary!E:E,MATCH($C987,HistoricSummary!$A:$A,0),1)+$G987,""),AND($B987&lt;&gt;"",$D987="COST",$G987&lt;0),$G987,TRUE,)</f>
        <v/>
      </c>
    </row>
    <row r="988">
      <c r="A988" s="184">
        <v>41564.0</v>
      </c>
      <c r="B988" s="19"/>
      <c r="C988" s="49" t="s">
        <v>1338</v>
      </c>
      <c r="D988" s="262" t="s">
        <v>432</v>
      </c>
      <c r="E988" s="17"/>
      <c r="F988" s="232"/>
      <c r="G988" s="233">
        <v>-75.6</v>
      </c>
      <c r="H988" s="236" t="s">
        <v>1345</v>
      </c>
      <c r="I988" s="235" t="str">
        <f t="array" ref="I988">IFS(AND($B988&lt;&gt;"",$E988&lt;&gt;""),IF(INDEX(HistoricSummary!D:D,MATCH($C988,HistoricSummary!$A:$A,0),1)&lt;&gt;"",$E988*INDEX(HistoricSummary!D:D,MATCH($C988,HistoricSummary!$A:$A,0),1)+$G988,""),AND($B988&lt;&gt;"",$D988="COST",$G988&lt;0),$G988,TRUE,)</f>
        <v/>
      </c>
      <c r="J988" s="235" t="str">
        <f t="array" ref="J988">IFS(AND($B988&lt;&gt;"",$E988&lt;&gt;""),IF(INDEX(HistoricSummary!E:E,MATCH($C988,HistoricSummary!$A:$A,0),1)&lt;&gt;"",$E988*INDEX(HistoricSummary!E:E,MATCH($C988,HistoricSummary!$A:$A,0),1)+$G988,""),AND($B988&lt;&gt;"",$D988="COST",$G988&lt;0),$G988,TRUE,)</f>
        <v/>
      </c>
    </row>
    <row r="989">
      <c r="A989" s="184">
        <v>41557.0</v>
      </c>
      <c r="B989" s="269"/>
      <c r="C989" s="272" t="s">
        <v>1346</v>
      </c>
      <c r="D989" s="19" t="s">
        <v>415</v>
      </c>
      <c r="E989" s="17">
        <v>-12.0</v>
      </c>
      <c r="F989" s="232">
        <v>185.05</v>
      </c>
      <c r="G989" s="233">
        <v>2218.6</v>
      </c>
      <c r="H989" s="236" t="s">
        <v>1347</v>
      </c>
      <c r="I989" s="235" t="str">
        <f t="array" ref="I989">IFS(AND($B989&lt;&gt;"",$E989&lt;&gt;""),IF(INDEX(HistoricSummary!D:D,MATCH($C989,HistoricSummary!$A:$A,0),1)&lt;&gt;"",$E989*INDEX(HistoricSummary!D:D,MATCH($C989,HistoricSummary!$A:$A,0),1)+$G989,""),AND($B989&lt;&gt;"",$D989="COST",$G989&lt;0),$G989,TRUE,)</f>
        <v/>
      </c>
      <c r="J989" s="235" t="str">
        <f t="array" ref="J989">IFS(AND($B989&lt;&gt;"",$E989&lt;&gt;""),IF(INDEX(HistoricSummary!E:E,MATCH($C989,HistoricSummary!$A:$A,0),1)&lt;&gt;"",$E989*INDEX(HistoricSummary!E:E,MATCH($C989,HistoricSummary!$A:$A,0),1)+$G989,""),AND($B989&lt;&gt;"",$D989="COST",$G989&lt;0),$G989,TRUE,)</f>
        <v/>
      </c>
    </row>
    <row r="990">
      <c r="A990" s="184">
        <v>41537.0</v>
      </c>
      <c r="B990" s="171"/>
      <c r="C990" s="261"/>
      <c r="D990" s="19" t="s">
        <v>454</v>
      </c>
      <c r="E990" s="171"/>
      <c r="F990" s="232"/>
      <c r="G990" s="233">
        <v>16133.41</v>
      </c>
      <c r="H990" s="236" t="s">
        <v>1348</v>
      </c>
      <c r="I990" s="235" t="str">
        <f t="array" ref="I990">IFS(AND($B990&lt;&gt;"",$E990&lt;&gt;""),IF(INDEX(HistoricSummary!D:D,MATCH($C990,HistoricSummary!$A:$A,0),1)&lt;&gt;"",$E990*INDEX(HistoricSummary!D:D,MATCH($C990,HistoricSummary!$A:$A,0),1)+$G990,""),AND($B990&lt;&gt;"",$D990="COST",$G990&lt;0),$G990,TRUE,)</f>
        <v/>
      </c>
      <c r="J990" s="235" t="str">
        <f t="array" ref="J990">IFS(AND($B990&lt;&gt;"",$E990&lt;&gt;""),IF(INDEX(HistoricSummary!E:E,MATCH($C990,HistoricSummary!$A:$A,0),1)&lt;&gt;"",$E990*INDEX(HistoricSummary!E:E,MATCH($C990,HistoricSummary!$A:$A,0),1)+$G990,""),AND($B990&lt;&gt;"",$D990="COST",$G990&lt;0),$G990,TRUE,)</f>
        <v/>
      </c>
    </row>
    <row r="991">
      <c r="A991" s="184">
        <v>41537.0</v>
      </c>
      <c r="B991" s="171"/>
      <c r="C991" s="261"/>
      <c r="D991" s="19" t="s">
        <v>454</v>
      </c>
      <c r="E991" s="171"/>
      <c r="F991" s="232"/>
      <c r="G991" s="233">
        <v>16872.9</v>
      </c>
      <c r="H991" s="236" t="s">
        <v>1349</v>
      </c>
      <c r="I991" s="235" t="str">
        <f t="array" ref="I991">IFS(AND($B991&lt;&gt;"",$E991&lt;&gt;""),IF(INDEX(HistoricSummary!D:D,MATCH($C991,HistoricSummary!$A:$A,0),1)&lt;&gt;"",$E991*INDEX(HistoricSummary!D:D,MATCH($C991,HistoricSummary!$A:$A,0),1)+$G991,""),AND($B991&lt;&gt;"",$D991="COST",$G991&lt;0),$G991,TRUE,)</f>
        <v/>
      </c>
      <c r="J991" s="235" t="str">
        <f t="array" ref="J991">IFS(AND($B991&lt;&gt;"",$E991&lt;&gt;""),IF(INDEX(HistoricSummary!E:E,MATCH($C991,HistoricSummary!$A:$A,0),1)&lt;&gt;"",$E991*INDEX(HistoricSummary!E:E,MATCH($C991,HistoricSummary!$A:$A,0),1)+$G991,""),AND($B991&lt;&gt;"",$D991="COST",$G991&lt;0),$G991,TRUE,)</f>
        <v/>
      </c>
    </row>
    <row r="992">
      <c r="A992" s="184">
        <v>41512.0</v>
      </c>
      <c r="C992" s="57" t="s">
        <v>1340</v>
      </c>
      <c r="D992" s="19" t="s">
        <v>414</v>
      </c>
      <c r="E992" s="17">
        <v>32.0</v>
      </c>
      <c r="F992" s="232">
        <v>21.71</v>
      </c>
      <c r="G992" s="233">
        <v>-695.71</v>
      </c>
      <c r="H992" s="236" t="s">
        <v>1350</v>
      </c>
      <c r="I992" s="235" t="str">
        <f t="array" ref="I992">IFS(AND($B992&lt;&gt;"",$E992&lt;&gt;""),IF(INDEX(HistoricSummary!D:D,MATCH($C992,HistoricSummary!$A:$A,0),1)&lt;&gt;"",$E992*INDEX(HistoricSummary!D:D,MATCH($C992,HistoricSummary!$A:$A,0),1)+$G992,""),AND($B992&lt;&gt;"",$D992="COST",$G992&lt;0),$G992,TRUE,)</f>
        <v/>
      </c>
      <c r="J992" s="235" t="str">
        <f t="array" ref="J992">IFS(AND($B992&lt;&gt;"",$E992&lt;&gt;""),IF(INDEX(HistoricSummary!E:E,MATCH($C992,HistoricSummary!$A:$A,0),1)&lt;&gt;"",$E992*INDEX(HistoricSummary!E:E,MATCH($C992,HistoricSummary!$A:$A,0),1)+$G992,""),AND($B992&lt;&gt;"",$D992="COST",$G992&lt;0),$G992,TRUE,)</f>
        <v/>
      </c>
    </row>
    <row r="993">
      <c r="A993" s="184">
        <v>41509.0</v>
      </c>
      <c r="C993" s="57" t="s">
        <v>1342</v>
      </c>
      <c r="D993" s="19" t="s">
        <v>414</v>
      </c>
      <c r="E993" s="17">
        <v>16.0</v>
      </c>
      <c r="F993" s="232">
        <v>74.62</v>
      </c>
      <c r="G993" s="233">
        <v>-1194.99</v>
      </c>
      <c r="H993" s="236" t="s">
        <v>1351</v>
      </c>
      <c r="I993" s="235" t="str">
        <f t="array" ref="I993">IFS(AND($B993&lt;&gt;"",$E993&lt;&gt;""),IF(INDEX(HistoricSummary!D:D,MATCH($C993,HistoricSummary!$A:$A,0),1)&lt;&gt;"",$E993*INDEX(HistoricSummary!D:D,MATCH($C993,HistoricSummary!$A:$A,0),1)+$G993,""),AND($B993&lt;&gt;"",$D993="COST",$G993&lt;0),$G993,TRUE,)</f>
        <v/>
      </c>
      <c r="J993" s="235" t="str">
        <f t="array" ref="J993">IFS(AND($B993&lt;&gt;"",$E993&lt;&gt;""),IF(INDEX(HistoricSummary!E:E,MATCH($C993,HistoricSummary!$A:$A,0),1)&lt;&gt;"",$E993*INDEX(HistoricSummary!E:E,MATCH($C993,HistoricSummary!$A:$A,0),1)+$G993,""),AND($B993&lt;&gt;"",$D993="COST",$G993&lt;0),$G993,TRUE,)</f>
        <v/>
      </c>
    </row>
    <row r="994">
      <c r="A994" s="184">
        <v>41509.0</v>
      </c>
      <c r="B994" s="19"/>
      <c r="C994" s="49" t="s">
        <v>1342</v>
      </c>
      <c r="D994" s="262" t="s">
        <v>432</v>
      </c>
      <c r="E994" s="17"/>
      <c r="F994" s="232"/>
      <c r="G994" s="233">
        <v>-2.39</v>
      </c>
      <c r="H994" s="236" t="s">
        <v>1352</v>
      </c>
      <c r="I994" s="235" t="str">
        <f t="array" ref="I994">IFS(AND($B994&lt;&gt;"",$E994&lt;&gt;""),IF(INDEX(HistoricSummary!D:D,MATCH($C994,HistoricSummary!$A:$A,0),1)&lt;&gt;"",$E994*INDEX(HistoricSummary!D:D,MATCH($C994,HistoricSummary!$A:$A,0),1)+$G994,""),AND($B994&lt;&gt;"",$D994="COST",$G994&lt;0),$G994,TRUE,)</f>
        <v/>
      </c>
      <c r="J994" s="235" t="str">
        <f t="array" ref="J994">IFS(AND($B994&lt;&gt;"",$E994&lt;&gt;""),IF(INDEX(HistoricSummary!E:E,MATCH($C994,HistoricSummary!$A:$A,0),1)&lt;&gt;"",$E994*INDEX(HistoricSummary!E:E,MATCH($C994,HistoricSummary!$A:$A,0),1)+$G994,""),AND($B994&lt;&gt;"",$D994="COST",$G994&lt;0),$G994,TRUE,)</f>
        <v/>
      </c>
    </row>
    <row r="995">
      <c r="A995" s="184">
        <v>41508.0</v>
      </c>
      <c r="C995" s="57" t="s">
        <v>1346</v>
      </c>
      <c r="D995" s="19" t="s">
        <v>414</v>
      </c>
      <c r="E995" s="17">
        <v>12.0</v>
      </c>
      <c r="F995" s="232">
        <v>175.4</v>
      </c>
      <c r="G995" s="233">
        <v>-2106.69</v>
      </c>
      <c r="H995" s="236" t="s">
        <v>1353</v>
      </c>
      <c r="I995" s="235" t="str">
        <f t="array" ref="I995">IFS(AND($B995&lt;&gt;"",$E995&lt;&gt;""),IF(INDEX(HistoricSummary!D:D,MATCH($C995,HistoricSummary!$A:$A,0),1)&lt;&gt;"",$E995*INDEX(HistoricSummary!D:D,MATCH($C995,HistoricSummary!$A:$A,0),1)+$G995,""),AND($B995&lt;&gt;"",$D995="COST",$G995&lt;0),$G995,TRUE,)</f>
        <v/>
      </c>
      <c r="J995" s="235" t="str">
        <f t="array" ref="J995">IFS(AND($B995&lt;&gt;"",$E995&lt;&gt;""),IF(INDEX(HistoricSummary!E:E,MATCH($C995,HistoricSummary!$A:$A,0),1)&lt;&gt;"",$E995*INDEX(HistoricSummary!E:E,MATCH($C995,HistoricSummary!$A:$A,0),1)+$G995,""),AND($B995&lt;&gt;"",$D995="COST",$G995&lt;0),$G995,TRUE,)</f>
        <v/>
      </c>
    </row>
    <row r="996">
      <c r="A996" s="184">
        <v>41508.0</v>
      </c>
      <c r="B996" s="19"/>
      <c r="C996" s="49" t="s">
        <v>1346</v>
      </c>
      <c r="D996" s="262" t="s">
        <v>432</v>
      </c>
      <c r="E996" s="17"/>
      <c r="F996" s="232"/>
      <c r="G996" s="233">
        <v>-4.21</v>
      </c>
      <c r="H996" s="236" t="s">
        <v>1354</v>
      </c>
      <c r="I996" s="235" t="str">
        <f t="array" ref="I996">IFS(AND($B996&lt;&gt;"",$E996&lt;&gt;""),IF(INDEX(HistoricSummary!D:D,MATCH($C996,HistoricSummary!$A:$A,0),1)&lt;&gt;"",$E996*INDEX(HistoricSummary!D:D,MATCH($C996,HistoricSummary!$A:$A,0),1)+$G996,""),AND($B996&lt;&gt;"",$D996="COST",$G996&lt;0),$G996,TRUE,)</f>
        <v/>
      </c>
      <c r="J996" s="235" t="str">
        <f t="array" ref="J996">IFS(AND($B996&lt;&gt;"",$E996&lt;&gt;""),IF(INDEX(HistoricSummary!E:E,MATCH($C996,HistoricSummary!$A:$A,0),1)&lt;&gt;"",$E996*INDEX(HistoricSummary!E:E,MATCH($C996,HistoricSummary!$A:$A,0),1)+$G996,""),AND($B996&lt;&gt;"",$D996="COST",$G996&lt;0),$G996,TRUE,)</f>
        <v/>
      </c>
    </row>
    <row r="997">
      <c r="A997" s="184">
        <v>41508.0</v>
      </c>
      <c r="C997" s="57" t="s">
        <v>1355</v>
      </c>
      <c r="D997" s="19" t="s">
        <v>415</v>
      </c>
      <c r="E997" s="17">
        <v>-135.0</v>
      </c>
      <c r="F997" s="232">
        <v>7.8</v>
      </c>
      <c r="G997" s="233">
        <v>1052.01</v>
      </c>
      <c r="H997" s="236" t="s">
        <v>1356</v>
      </c>
      <c r="I997" s="235" t="str">
        <f t="array" ref="I997">IFS(AND($B997&lt;&gt;"",$E997&lt;&gt;""),IF(INDEX(HistoricSummary!D:D,MATCH($C997,HistoricSummary!$A:$A,0),1)&lt;&gt;"",$E997*INDEX(HistoricSummary!D:D,MATCH($C997,HistoricSummary!$A:$A,0),1)+$G997,""),AND($B997&lt;&gt;"",$D997="COST",$G997&lt;0),$G997,TRUE,)</f>
        <v/>
      </c>
      <c r="J997" s="235" t="str">
        <f t="array" ref="J997">IFS(AND($B997&lt;&gt;"",$E997&lt;&gt;""),IF(INDEX(HistoricSummary!E:E,MATCH($C997,HistoricSummary!$A:$A,0),1)&lt;&gt;"",$E997*INDEX(HistoricSummary!E:E,MATCH($C997,HistoricSummary!$A:$A,0),1)+$G997,""),AND($B997&lt;&gt;"",$D997="COST",$G997&lt;0),$G997,TRUE,)</f>
        <v/>
      </c>
    </row>
    <row r="998">
      <c r="A998" s="184">
        <v>41508.0</v>
      </c>
      <c r="C998" s="57" t="s">
        <v>1357</v>
      </c>
      <c r="D998" s="19" t="s">
        <v>415</v>
      </c>
      <c r="E998" s="17">
        <v>-95.0</v>
      </c>
      <c r="F998" s="232">
        <v>16.74</v>
      </c>
      <c r="G998" s="233">
        <v>1588.87</v>
      </c>
      <c r="H998" s="236" t="s">
        <v>1358</v>
      </c>
      <c r="I998" s="235" t="str">
        <f t="array" ref="I998">IFS(AND($B998&lt;&gt;"",$E998&lt;&gt;""),IF(INDEX(HistoricSummary!D:D,MATCH($C998,HistoricSummary!$A:$A,0),1)&lt;&gt;"",$E998*INDEX(HistoricSummary!D:D,MATCH($C998,HistoricSummary!$A:$A,0),1)+$G998,""),AND($B998&lt;&gt;"",$D998="COST",$G998&lt;0),$G998,TRUE,)</f>
        <v/>
      </c>
      <c r="J998" s="235" t="str">
        <f t="array" ref="J998">IFS(AND($B998&lt;&gt;"",$E998&lt;&gt;""),IF(INDEX(HistoricSummary!E:E,MATCH($C998,HistoricSummary!$A:$A,0),1)&lt;&gt;"",$E998*INDEX(HistoricSummary!E:E,MATCH($C998,HistoricSummary!$A:$A,0),1)+$G998,""),AND($B998&lt;&gt;"",$D998="COST",$G998&lt;0),$G998,TRUE,)</f>
        <v/>
      </c>
    </row>
    <row r="999">
      <c r="A999" s="184">
        <v>41506.0</v>
      </c>
      <c r="C999" s="57" t="s">
        <v>1359</v>
      </c>
      <c r="D999" s="19" t="s">
        <v>415</v>
      </c>
      <c r="E999" s="17">
        <v>-355.0</v>
      </c>
      <c r="F999" s="232">
        <v>5.07</v>
      </c>
      <c r="G999" s="233">
        <v>1798.23</v>
      </c>
      <c r="H999" s="236" t="s">
        <v>1360</v>
      </c>
      <c r="I999" s="235" t="str">
        <f t="array" ref="I999">IFS(AND($B999&lt;&gt;"",$E999&lt;&gt;""),IF(INDEX(HistoricSummary!D:D,MATCH($C999,HistoricSummary!$A:$A,0),1)&lt;&gt;"",$E999*INDEX(HistoricSummary!D:D,MATCH($C999,HistoricSummary!$A:$A,0),1)+$G999,""),AND($B999&lt;&gt;"",$D999="COST",$G999&lt;0),$G999,TRUE,)</f>
        <v/>
      </c>
      <c r="J999" s="235" t="str">
        <f t="array" ref="J999">IFS(AND($B999&lt;&gt;"",$E999&lt;&gt;""),IF(INDEX(HistoricSummary!E:E,MATCH($C999,HistoricSummary!$A:$A,0),1)&lt;&gt;"",$E999*INDEX(HistoricSummary!E:E,MATCH($C999,HistoricSummary!$A:$A,0),1)+$G999,""),AND($B999&lt;&gt;"",$D999="COST",$G999&lt;0),$G999,TRUE,)</f>
        <v/>
      </c>
    </row>
    <row r="1000">
      <c r="A1000" s="184">
        <v>41491.0</v>
      </c>
      <c r="C1000" s="49" t="s">
        <v>1361</v>
      </c>
      <c r="D1000" s="19" t="s">
        <v>415</v>
      </c>
      <c r="E1000" s="17">
        <v>-30.0</v>
      </c>
      <c r="F1000" s="232">
        <v>40.655</v>
      </c>
      <c r="G1000" s="233">
        <v>1218.55</v>
      </c>
      <c r="H1000" s="236" t="s">
        <v>1362</v>
      </c>
      <c r="I1000" s="235" t="str">
        <f t="array" ref="I1000">IFS(AND($B1000&lt;&gt;"",$E1000&lt;&gt;""),IF(INDEX(HistoricSummary!D:D,MATCH($C1000,HistoricSummary!$A:$A,0),1)&lt;&gt;"",$E1000*INDEX(HistoricSummary!D:D,MATCH($C1000,HistoricSummary!$A:$A,0),1)+$G1000,""),AND($B1000&lt;&gt;"",$D1000="COST",$G1000&lt;0),$G1000,TRUE,)</f>
        <v/>
      </c>
      <c r="J1000" s="235" t="str">
        <f t="array" ref="J1000">IFS(AND($B1000&lt;&gt;"",$E1000&lt;&gt;""),IF(INDEX(HistoricSummary!E:E,MATCH($C1000,HistoricSummary!$A:$A,0),1)&lt;&gt;"",$E1000*INDEX(HistoricSummary!E:E,MATCH($C1000,HistoricSummary!$A:$A,0),1)+$G1000,""),AND($B1000&lt;&gt;"",$D1000="COST",$G1000&lt;0),$G1000,TRUE,)</f>
        <v/>
      </c>
    </row>
    <row r="1001">
      <c r="A1001" s="184">
        <v>41466.0</v>
      </c>
      <c r="C1001" s="57" t="s">
        <v>1359</v>
      </c>
      <c r="D1001" s="19" t="s">
        <v>414</v>
      </c>
      <c r="E1001" s="17">
        <v>355.0</v>
      </c>
      <c r="F1001" s="232">
        <v>4.45</v>
      </c>
      <c r="G1001" s="233">
        <v>-1581.17</v>
      </c>
      <c r="H1001" s="236" t="s">
        <v>1363</v>
      </c>
      <c r="I1001" s="235" t="str">
        <f t="array" ref="I1001">IFS(AND($B1001&lt;&gt;"",$E1001&lt;&gt;""),IF(INDEX(HistoricSummary!D:D,MATCH($C1001,HistoricSummary!$A:$A,0),1)&lt;&gt;"",$E1001*INDEX(HistoricSummary!D:D,MATCH($C1001,HistoricSummary!$A:$A,0),1)+$G1001,""),AND($B1001&lt;&gt;"",$D1001="COST",$G1001&lt;0),$G1001,TRUE,)</f>
        <v/>
      </c>
      <c r="J1001" s="235" t="str">
        <f t="array" ref="J1001">IFS(AND($B1001&lt;&gt;"",$E1001&lt;&gt;""),IF(INDEX(HistoricSummary!E:E,MATCH($C1001,HistoricSummary!$A:$A,0),1)&lt;&gt;"",$E1001*INDEX(HistoricSummary!E:E,MATCH($C1001,HistoricSummary!$A:$A,0),1)+$G1001,""),AND($B1001&lt;&gt;"",$D1001="COST",$G1001&lt;0),$G1001,TRUE,)</f>
        <v/>
      </c>
    </row>
    <row r="1002">
      <c r="A1002" s="184">
        <v>41466.0</v>
      </c>
      <c r="C1002" s="57" t="s">
        <v>1317</v>
      </c>
      <c r="D1002" s="19" t="s">
        <v>415</v>
      </c>
      <c r="E1002" s="17">
        <v>-75.0</v>
      </c>
      <c r="F1002" s="232">
        <v>19.625</v>
      </c>
      <c r="G1002" s="233">
        <v>1470.56</v>
      </c>
      <c r="H1002" s="236" t="s">
        <v>1364</v>
      </c>
      <c r="I1002" s="235" t="str">
        <f t="array" ref="I1002">IFS(AND($B1002&lt;&gt;"",$E1002&lt;&gt;""),IF(INDEX(HistoricSummary!D:D,MATCH($C1002,HistoricSummary!$A:$A,0),1)&lt;&gt;"",$E1002*INDEX(HistoricSummary!D:D,MATCH($C1002,HistoricSummary!$A:$A,0),1)+$G1002,""),AND($B1002&lt;&gt;"",$D1002="COST",$G1002&lt;0),$G1002,TRUE,)</f>
        <v/>
      </c>
      <c r="J1002" s="235" t="str">
        <f t="array" ref="J1002">IFS(AND($B1002&lt;&gt;"",$E1002&lt;&gt;""),IF(INDEX(HistoricSummary!E:E,MATCH($C1002,HistoricSummary!$A:$A,0),1)&lt;&gt;"",$E1002*INDEX(HistoricSummary!E:E,MATCH($C1002,HistoricSummary!$A:$A,0),1)+$G1002,""),AND($B1002&lt;&gt;"",$D1002="COST",$G1002&lt;0),$G1002,TRUE,)</f>
        <v/>
      </c>
    </row>
    <row r="1003">
      <c r="A1003" s="184">
        <v>41464.0</v>
      </c>
      <c r="C1003" s="57" t="s">
        <v>1317</v>
      </c>
      <c r="D1003" s="19" t="s">
        <v>475</v>
      </c>
      <c r="E1003" s="17"/>
      <c r="F1003" s="232"/>
      <c r="G1003" s="233">
        <v>27.67</v>
      </c>
      <c r="H1003" s="236" t="s">
        <v>1365</v>
      </c>
      <c r="I1003" s="235" t="str">
        <f t="array" ref="I1003">IFS(AND($B1003&lt;&gt;"",$E1003&lt;&gt;""),IF(INDEX(HistoricSummary!D:D,MATCH($C1003,HistoricSummary!$A:$A,0),1)&lt;&gt;"",$E1003*INDEX(HistoricSummary!D:D,MATCH($C1003,HistoricSummary!$A:$A,0),1)+$G1003,""),AND($B1003&lt;&gt;"",$D1003="COST",$G1003&lt;0),$G1003,TRUE,)</f>
        <v/>
      </c>
      <c r="J1003" s="235" t="str">
        <f t="array" ref="J1003">IFS(AND($B1003&lt;&gt;"",$E1003&lt;&gt;""),IF(INDEX(HistoricSummary!E:E,MATCH($C1003,HistoricSummary!$A:$A,0),1)&lt;&gt;"",$E1003*INDEX(HistoricSummary!E:E,MATCH($C1003,HistoricSummary!$A:$A,0),1)+$G1003,""),AND($B1003&lt;&gt;"",$D1003="COST",$G1003&lt;0),$G1003,TRUE,)</f>
        <v/>
      </c>
    </row>
    <row r="1004">
      <c r="A1004" s="184">
        <v>41464.0</v>
      </c>
      <c r="C1004" s="57" t="s">
        <v>1317</v>
      </c>
      <c r="D1004" s="19" t="s">
        <v>475</v>
      </c>
      <c r="E1004" s="17"/>
      <c r="F1004" s="232"/>
      <c r="G1004" s="233">
        <v>4.8</v>
      </c>
      <c r="H1004" s="236" t="s">
        <v>1366</v>
      </c>
      <c r="I1004" s="235" t="str">
        <f t="array" ref="I1004">IFS(AND($B1004&lt;&gt;"",$E1004&lt;&gt;""),IF(INDEX(HistoricSummary!D:D,MATCH($C1004,HistoricSummary!$A:$A,0),1)&lt;&gt;"",$E1004*INDEX(HistoricSummary!D:D,MATCH($C1004,HistoricSummary!$A:$A,0),1)+$G1004,""),AND($B1004&lt;&gt;"",$D1004="COST",$G1004&lt;0),$G1004,TRUE,)</f>
        <v/>
      </c>
      <c r="J1004" s="235" t="str">
        <f t="array" ref="J1004">IFS(AND($B1004&lt;&gt;"",$E1004&lt;&gt;""),IF(INDEX(HistoricSummary!E:E,MATCH($C1004,HistoricSummary!$A:$A,0),1)&lt;&gt;"",$E1004*INDEX(HistoricSummary!E:E,MATCH($C1004,HistoricSummary!$A:$A,0),1)+$G1004,""),AND($B1004&lt;&gt;"",$D1004="COST",$G1004&lt;0),$G1004,TRUE,)</f>
        <v/>
      </c>
    </row>
    <row r="1005">
      <c r="A1005" s="184">
        <v>41452.0</v>
      </c>
      <c r="C1005" s="49" t="s">
        <v>1361</v>
      </c>
      <c r="D1005" s="19" t="s">
        <v>475</v>
      </c>
      <c r="E1005" s="17"/>
      <c r="F1005" s="232"/>
      <c r="G1005" s="233">
        <v>11.29</v>
      </c>
      <c r="H1005" s="236" t="s">
        <v>1367</v>
      </c>
      <c r="I1005" s="235" t="str">
        <f t="array" ref="I1005">IFS(AND($B1005&lt;&gt;"",$E1005&lt;&gt;""),IF(INDEX(HistoricSummary!D:D,MATCH($C1005,HistoricSummary!$A:$A,0),1)&lt;&gt;"",$E1005*INDEX(HistoricSummary!D:D,MATCH($C1005,HistoricSummary!$A:$A,0),1)+$G1005,""),AND($B1005&lt;&gt;"",$D1005="COST",$G1005&lt;0),$G1005,TRUE,)</f>
        <v/>
      </c>
      <c r="J1005" s="235" t="str">
        <f t="array" ref="J1005">IFS(AND($B1005&lt;&gt;"",$E1005&lt;&gt;""),IF(INDEX(HistoricSummary!E:E,MATCH($C1005,HistoricSummary!$A:$A,0),1)&lt;&gt;"",$E1005*INDEX(HistoricSummary!E:E,MATCH($C1005,HistoricSummary!$A:$A,0),1)+$G1005,""),AND($B1005&lt;&gt;"",$D1005="COST",$G1005&lt;0),$G1005,TRUE,)</f>
        <v/>
      </c>
    </row>
    <row r="1006">
      <c r="A1006" s="184">
        <v>41436.0</v>
      </c>
      <c r="B1006" s="19"/>
      <c r="C1006" s="49" t="s">
        <v>1355</v>
      </c>
      <c r="D1006" s="19" t="s">
        <v>475</v>
      </c>
      <c r="E1006" s="17"/>
      <c r="F1006" s="232"/>
      <c r="G1006" s="233">
        <v>17.19</v>
      </c>
      <c r="H1006" s="236" t="s">
        <v>1368</v>
      </c>
      <c r="I1006" s="235" t="str">
        <f t="array" ref="I1006">IFS(AND($B1006&lt;&gt;"",$E1006&lt;&gt;""),IF(INDEX(HistoricSummary!D:D,MATCH($C1006,HistoricSummary!$A:$A,0),1)&lt;&gt;"",$E1006*INDEX(HistoricSummary!D:D,MATCH($C1006,HistoricSummary!$A:$A,0),1)+$G1006,""),AND($B1006&lt;&gt;"",$D1006="COST",$G1006&lt;0),$G1006,TRUE,)</f>
        <v/>
      </c>
      <c r="J1006" s="235" t="str">
        <f t="array" ref="J1006">IFS(AND($B1006&lt;&gt;"",$E1006&lt;&gt;""),IF(INDEX(HistoricSummary!E:E,MATCH($C1006,HistoricSummary!$A:$A,0),1)&lt;&gt;"",$E1006*INDEX(HistoricSummary!E:E,MATCH($C1006,HistoricSummary!$A:$A,0),1)+$G1006,""),AND($B1006&lt;&gt;"",$D1006="COST",$G1006&lt;0),$G1006,TRUE,)</f>
        <v/>
      </c>
    </row>
    <row r="1007">
      <c r="A1007" s="184">
        <v>41394.0</v>
      </c>
      <c r="C1007" s="57" t="s">
        <v>1357</v>
      </c>
      <c r="D1007" s="19" t="s">
        <v>475</v>
      </c>
      <c r="E1007" s="17"/>
      <c r="F1007" s="232"/>
      <c r="G1007" s="233">
        <v>40.46</v>
      </c>
      <c r="H1007" s="236" t="s">
        <v>1369</v>
      </c>
      <c r="I1007" s="235" t="str">
        <f t="array" ref="I1007">IFS(AND($B1007&lt;&gt;"",$E1007&lt;&gt;""),IF(INDEX(HistoricSummary!D:D,MATCH($C1007,HistoricSummary!$A:$A,0),1)&lt;&gt;"",$E1007*INDEX(HistoricSummary!D:D,MATCH($C1007,HistoricSummary!$A:$A,0),1)+$G1007,""),AND($B1007&lt;&gt;"",$D1007="COST",$G1007&lt;0),$G1007,TRUE,)</f>
        <v/>
      </c>
      <c r="J1007" s="235" t="str">
        <f t="array" ref="J1007">IFS(AND($B1007&lt;&gt;"",$E1007&lt;&gt;""),IF(INDEX(HistoricSummary!E:E,MATCH($C1007,HistoricSummary!$A:$A,0),1)&lt;&gt;"",$E1007*INDEX(HistoricSummary!E:E,MATCH($C1007,HistoricSummary!$A:$A,0),1)+$G1007,""),AND($B1007&lt;&gt;"",$D1007="COST",$G1007&lt;0),$G1007,TRUE,)</f>
        <v/>
      </c>
    </row>
    <row r="1008">
      <c r="A1008" s="184">
        <v>41355.0</v>
      </c>
      <c r="C1008" s="49" t="s">
        <v>1361</v>
      </c>
      <c r="D1008" s="19" t="s">
        <v>414</v>
      </c>
      <c r="E1008" s="17">
        <v>30.0</v>
      </c>
      <c r="F1008" s="232">
        <v>38.33</v>
      </c>
      <c r="G1008" s="233">
        <v>-1150.93</v>
      </c>
      <c r="H1008" s="236" t="s">
        <v>1370</v>
      </c>
      <c r="I1008" s="235" t="str">
        <f t="array" ref="I1008">IFS(AND($B1008&lt;&gt;"",$E1008&lt;&gt;""),IF(INDEX(HistoricSummary!D:D,MATCH($C1008,HistoricSummary!$A:$A,0),1)&lt;&gt;"",$E1008*INDEX(HistoricSummary!D:D,MATCH($C1008,HistoricSummary!$A:$A,0),1)+$G1008,""),AND($B1008&lt;&gt;"",$D1008="COST",$G1008&lt;0),$G1008,TRUE,)</f>
        <v/>
      </c>
      <c r="J1008" s="235" t="str">
        <f t="array" ref="J1008">IFS(AND($B1008&lt;&gt;"",$E1008&lt;&gt;""),IF(INDEX(HistoricSummary!E:E,MATCH($C1008,HistoricSummary!$A:$A,0),1)&lt;&gt;"",$E1008*INDEX(HistoricSummary!E:E,MATCH($C1008,HistoricSummary!$A:$A,0),1)+$G1008,""),AND($B1008&lt;&gt;"",$D1008="COST",$G1008&lt;0),$G1008,TRUE,)</f>
        <v/>
      </c>
    </row>
    <row r="1009">
      <c r="A1009" s="184">
        <v>41355.0</v>
      </c>
      <c r="B1009" s="19"/>
      <c r="C1009" s="49" t="s">
        <v>1355</v>
      </c>
      <c r="D1009" s="19" t="s">
        <v>414</v>
      </c>
      <c r="E1009" s="17">
        <v>135.0</v>
      </c>
      <c r="F1009" s="232">
        <v>8.42</v>
      </c>
      <c r="G1009" s="233">
        <v>-1137.32</v>
      </c>
      <c r="H1009" s="236" t="s">
        <v>1371</v>
      </c>
      <c r="I1009" s="235" t="str">
        <f t="array" ref="I1009">IFS(AND($B1009&lt;&gt;"",$E1009&lt;&gt;""),IF(INDEX(HistoricSummary!D:D,MATCH($C1009,HistoricSummary!$A:$A,0),1)&lt;&gt;"",$E1009*INDEX(HistoricSummary!D:D,MATCH($C1009,HistoricSummary!$A:$A,0),1)+$G1009,""),AND($B1009&lt;&gt;"",$D1009="COST",$G1009&lt;0),$G1009,TRUE,)</f>
        <v/>
      </c>
      <c r="J1009" s="235" t="str">
        <f t="array" ref="J1009">IFS(AND($B1009&lt;&gt;"",$E1009&lt;&gt;""),IF(INDEX(HistoricSummary!E:E,MATCH($C1009,HistoricSummary!$A:$A,0),1)&lt;&gt;"",$E1009*INDEX(HistoricSummary!E:E,MATCH($C1009,HistoricSummary!$A:$A,0),1)+$G1009,""),AND($B1009&lt;&gt;"",$D1009="COST",$G1009&lt;0),$G1009,TRUE,)</f>
        <v/>
      </c>
    </row>
    <row r="1010">
      <c r="A1010" s="184">
        <v>41355.0</v>
      </c>
      <c r="C1010" s="57" t="s">
        <v>1357</v>
      </c>
      <c r="D1010" s="19" t="s">
        <v>414</v>
      </c>
      <c r="E1010" s="17">
        <v>95.0</v>
      </c>
      <c r="F1010" s="232">
        <v>15.4</v>
      </c>
      <c r="G1010" s="233">
        <v>-1464.32</v>
      </c>
      <c r="H1010" s="236" t="s">
        <v>1372</v>
      </c>
      <c r="I1010" s="235" t="str">
        <f t="array" ref="I1010">IFS(AND($B1010&lt;&gt;"",$E1010&lt;&gt;""),IF(INDEX(HistoricSummary!D:D,MATCH($C1010,HistoricSummary!$A:$A,0),1)&lt;&gt;"",$E1010*INDEX(HistoricSummary!D:D,MATCH($C1010,HistoricSummary!$A:$A,0),1)+$G1010,""),AND($B1010&lt;&gt;"",$D1010="COST",$G1010&lt;0),$G1010,TRUE,)</f>
        <v/>
      </c>
      <c r="J1010" s="235" t="str">
        <f t="array" ref="J1010">IFS(AND($B1010&lt;&gt;"",$E1010&lt;&gt;""),IF(INDEX(HistoricSummary!E:E,MATCH($C1010,HistoricSummary!$A:$A,0),1)&lt;&gt;"",$E1010*INDEX(HistoricSummary!E:E,MATCH($C1010,HistoricSummary!$A:$A,0),1)+$G1010,""),AND($B1010&lt;&gt;"",$D1010="COST",$G1010&lt;0),$G1010,TRUE,)</f>
        <v/>
      </c>
    </row>
    <row r="1011">
      <c r="A1011" s="184">
        <v>41355.0</v>
      </c>
      <c r="C1011" s="57" t="s">
        <v>1317</v>
      </c>
      <c r="D1011" s="19" t="s">
        <v>414</v>
      </c>
      <c r="E1011" s="17">
        <v>75.0</v>
      </c>
      <c r="F1011" s="232">
        <v>15.15</v>
      </c>
      <c r="G1011" s="233">
        <v>-1137.27</v>
      </c>
      <c r="H1011" s="236" t="s">
        <v>1373</v>
      </c>
      <c r="I1011" s="235" t="str">
        <f t="array" ref="I1011">IFS(AND($B1011&lt;&gt;"",$E1011&lt;&gt;""),IF(INDEX(HistoricSummary!D:D,MATCH($C1011,HistoricSummary!$A:$A,0),1)&lt;&gt;"",$E1011*INDEX(HistoricSummary!D:D,MATCH($C1011,HistoricSummary!$A:$A,0),1)+$G1011,""),AND($B1011&lt;&gt;"",$D1011="COST",$G1011&lt;0),$G1011,TRUE,)</f>
        <v/>
      </c>
      <c r="J1011" s="235" t="str">
        <f t="array" ref="J1011">IFS(AND($B1011&lt;&gt;"",$E1011&lt;&gt;""),IF(INDEX(HistoricSummary!E:E,MATCH($C1011,HistoricSummary!$A:$A,0),1)&lt;&gt;"",$E1011*INDEX(HistoricSummary!E:E,MATCH($C1011,HistoricSummary!$A:$A,0),1)+$G1011,""),AND($B1011&lt;&gt;"",$D1011="COST",$G1011&lt;0),$G1011,TRUE,)</f>
        <v/>
      </c>
    </row>
    <row r="1012">
      <c r="A1012" s="184">
        <v>41355.0</v>
      </c>
      <c r="B1012" s="19"/>
      <c r="C1012" s="49" t="s">
        <v>1361</v>
      </c>
      <c r="D1012" s="262" t="s">
        <v>432</v>
      </c>
      <c r="E1012" s="17"/>
      <c r="F1012" s="232"/>
      <c r="G1012" s="233">
        <v>-2.3</v>
      </c>
      <c r="H1012" s="236" t="s">
        <v>1374</v>
      </c>
      <c r="I1012" s="235" t="str">
        <f t="array" ref="I1012">IFS(AND($B1012&lt;&gt;"",$E1012&lt;&gt;""),IF(INDEX(HistoricSummary!D:D,MATCH($C1012,HistoricSummary!$A:$A,0),1)&lt;&gt;"",$E1012*INDEX(HistoricSummary!D:D,MATCH($C1012,HistoricSummary!$A:$A,0),1)+$G1012,""),AND($B1012&lt;&gt;"",$D1012="COST",$G1012&lt;0),$G1012,TRUE,)</f>
        <v/>
      </c>
      <c r="J1012" s="235" t="str">
        <f t="array" ref="J1012">IFS(AND($B1012&lt;&gt;"",$E1012&lt;&gt;""),IF(INDEX(HistoricSummary!E:E,MATCH($C1012,HistoricSummary!$A:$A,0),1)&lt;&gt;"",$E1012*INDEX(HistoricSummary!E:E,MATCH($C1012,HistoricSummary!$A:$A,0),1)+$G1012,""),AND($B1012&lt;&gt;"",$D1012="COST",$G1012&lt;0),$G1012,TRUE,)</f>
        <v/>
      </c>
    </row>
    <row r="1013">
      <c r="A1013" s="184">
        <v>41355.0</v>
      </c>
      <c r="B1013" s="19"/>
      <c r="C1013" s="49" t="s">
        <v>1375</v>
      </c>
      <c r="D1013" s="262" t="s">
        <v>432</v>
      </c>
      <c r="E1013" s="17"/>
      <c r="F1013" s="232"/>
      <c r="G1013" s="233">
        <v>-2.27</v>
      </c>
      <c r="H1013" s="236" t="s">
        <v>1376</v>
      </c>
      <c r="I1013" s="235" t="str">
        <f t="array" ref="I1013">IFS(AND($B1013&lt;&gt;"",$E1013&lt;&gt;""),IF(INDEX(HistoricSummary!D:D,MATCH($C1013,HistoricSummary!$A:$A,0),1)&lt;&gt;"",$E1013*INDEX(HistoricSummary!D:D,MATCH($C1013,HistoricSummary!$A:$A,0),1)+$G1013,""),AND($B1013&lt;&gt;"",$D1013="COST",$G1013&lt;0),$G1013,TRUE,)</f>
        <v/>
      </c>
      <c r="J1013" s="235" t="str">
        <f t="array" ref="J1013">IFS(AND($B1013&lt;&gt;"",$E1013&lt;&gt;""),IF(INDEX(HistoricSummary!E:E,MATCH($C1013,HistoricSummary!$A:$A,0),1)&lt;&gt;"",$E1013*INDEX(HistoricSummary!E:E,MATCH($C1013,HistoricSummary!$A:$A,0),1)+$G1013,""),AND($B1013&lt;&gt;"",$D1013="COST",$G1013&lt;0),$G1013,TRUE,)</f>
        <v/>
      </c>
    </row>
    <row r="1014">
      <c r="A1014" s="184">
        <v>41355.0</v>
      </c>
      <c r="B1014" s="19"/>
      <c r="C1014" s="49" t="s">
        <v>1357</v>
      </c>
      <c r="D1014" s="262" t="s">
        <v>432</v>
      </c>
      <c r="E1014" s="17"/>
      <c r="F1014" s="232"/>
      <c r="G1014" s="233">
        <v>-2.93</v>
      </c>
      <c r="H1014" s="236" t="s">
        <v>1377</v>
      </c>
      <c r="I1014" s="235" t="str">
        <f t="array" ref="I1014">IFS(AND($B1014&lt;&gt;"",$E1014&lt;&gt;""),IF(INDEX(HistoricSummary!D:D,MATCH($C1014,HistoricSummary!$A:$A,0),1)&lt;&gt;"",$E1014*INDEX(HistoricSummary!D:D,MATCH($C1014,HistoricSummary!$A:$A,0),1)+$G1014,""),AND($B1014&lt;&gt;"",$D1014="COST",$G1014&lt;0),$G1014,TRUE,)</f>
        <v/>
      </c>
      <c r="J1014" s="235" t="str">
        <f t="array" ref="J1014">IFS(AND($B1014&lt;&gt;"",$E1014&lt;&gt;""),IF(INDEX(HistoricSummary!E:E,MATCH($C1014,HistoricSummary!$A:$A,0),1)&lt;&gt;"",$E1014*INDEX(HistoricSummary!E:E,MATCH($C1014,HistoricSummary!$A:$A,0),1)+$G1014,""),AND($B1014&lt;&gt;"",$D1014="COST",$G1014&lt;0),$G1014,TRUE,)</f>
        <v/>
      </c>
    </row>
    <row r="1015">
      <c r="A1015" s="184">
        <v>41355.0</v>
      </c>
      <c r="B1015" s="19"/>
      <c r="C1015" s="49" t="s">
        <v>1317</v>
      </c>
      <c r="D1015" s="262" t="s">
        <v>432</v>
      </c>
      <c r="E1015" s="17"/>
      <c r="F1015" s="232"/>
      <c r="G1015" s="233">
        <v>-2.27</v>
      </c>
      <c r="H1015" s="236" t="s">
        <v>1378</v>
      </c>
      <c r="I1015" s="235" t="str">
        <f t="array" ref="I1015">IFS(AND($B1015&lt;&gt;"",$E1015&lt;&gt;""),IF(INDEX(HistoricSummary!D:D,MATCH($C1015,HistoricSummary!$A:$A,0),1)&lt;&gt;"",$E1015*INDEX(HistoricSummary!D:D,MATCH($C1015,HistoricSummary!$A:$A,0),1)+$G1015,""),AND($B1015&lt;&gt;"",$D1015="COST",$G1015&lt;0),$G1015,TRUE,)</f>
        <v/>
      </c>
      <c r="J1015" s="235" t="str">
        <f t="array" ref="J1015">IFS(AND($B1015&lt;&gt;"",$E1015&lt;&gt;""),IF(INDEX(HistoricSummary!E:E,MATCH($C1015,HistoricSummary!$A:$A,0),1)&lt;&gt;"",$E1015*INDEX(HistoricSummary!E:E,MATCH($C1015,HistoricSummary!$A:$A,0),1)+$G1015,""),AND($B1015&lt;&gt;"",$D1015="COST",$G1015&lt;0),$G1015,TRUE,)</f>
        <v/>
      </c>
    </row>
    <row r="1016">
      <c r="A1016" s="184">
        <v>41326.0</v>
      </c>
      <c r="B1016" s="171"/>
      <c r="C1016" s="261"/>
      <c r="D1016" s="19" t="s">
        <v>432</v>
      </c>
      <c r="E1016" s="171"/>
      <c r="F1016" s="232"/>
      <c r="G1016" s="233">
        <v>-6.0</v>
      </c>
      <c r="H1016" s="236" t="s">
        <v>1241</v>
      </c>
      <c r="I1016" s="235" t="str">
        <f t="array" ref="I1016">IFS(AND($B1016&lt;&gt;"",$E1016&lt;&gt;""),IF(INDEX(HistoricSummary!D:D,MATCH($C1016,HistoricSummary!$A:$A,0),1)&lt;&gt;"",$E1016*INDEX(HistoricSummary!D:D,MATCH($C1016,HistoricSummary!$A:$A,0),1)+$G1016,""),AND($B1016&lt;&gt;"",$D1016="COST",$G1016&lt;0),$G1016,TRUE,)</f>
        <v/>
      </c>
      <c r="J1016" s="235" t="str">
        <f t="array" ref="J1016">IFS(AND($B1016&lt;&gt;"",$E1016&lt;&gt;""),IF(INDEX(HistoricSummary!E:E,MATCH($C1016,HistoricSummary!$A:$A,0),1)&lt;&gt;"",$E1016*INDEX(HistoricSummary!E:E,MATCH($C1016,HistoricSummary!$A:$A,0),1)+$G1016,""),AND($B1016&lt;&gt;"",$D1016="COST",$G1016&lt;0),$G1016,TRUE,)</f>
        <v/>
      </c>
    </row>
    <row r="1017">
      <c r="A1017" s="184">
        <v>41326.0</v>
      </c>
      <c r="B1017" s="171"/>
      <c r="C1017" s="261"/>
      <c r="D1017" s="19" t="s">
        <v>454</v>
      </c>
      <c r="E1017" s="171"/>
      <c r="F1017" s="232"/>
      <c r="G1017" s="233">
        <v>-9872.9</v>
      </c>
      <c r="H1017" s="236" t="s">
        <v>1379</v>
      </c>
      <c r="I1017" s="235" t="str">
        <f t="array" ref="I1017">IFS(AND($B1017&lt;&gt;"",$E1017&lt;&gt;""),IF(INDEX(HistoricSummary!D:D,MATCH($C1017,HistoricSummary!$A:$A,0),1)&lt;&gt;"",$E1017*INDEX(HistoricSummary!D:D,MATCH($C1017,HistoricSummary!$A:$A,0),1)+$G1017,""),AND($B1017&lt;&gt;"",$D1017="COST",$G1017&lt;0),$G1017,TRUE,)</f>
        <v/>
      </c>
      <c r="J1017" s="235" t="str">
        <f t="array" ref="J1017">IFS(AND($B1017&lt;&gt;"",$E1017&lt;&gt;""),IF(INDEX(HistoricSummary!E:E,MATCH($C1017,HistoricSummary!$A:$A,0),1)&lt;&gt;"",$E1017*INDEX(HistoricSummary!E:E,MATCH($C1017,HistoricSummary!$A:$A,0),1)+$G1017,""),AND($B1017&lt;&gt;"",$D1017="COST",$G1017&lt;0),$G1017,TRUE,)</f>
        <v/>
      </c>
    </row>
    <row r="1018">
      <c r="A1018" s="184">
        <v>41124.0</v>
      </c>
      <c r="C1018" s="57" t="s">
        <v>1375</v>
      </c>
      <c r="D1018" s="19" t="s">
        <v>415</v>
      </c>
      <c r="E1018" s="17">
        <v>-455.0</v>
      </c>
      <c r="F1018" s="232">
        <v>10.8</v>
      </c>
      <c r="G1018" s="233">
        <v>4909.58</v>
      </c>
      <c r="H1018" s="236" t="s">
        <v>1380</v>
      </c>
      <c r="I1018" s="235" t="str">
        <f t="array" ref="I1018">IFS(AND($B1018&lt;&gt;"",$E1018&lt;&gt;""),IF(INDEX(HistoricSummary!D:D,MATCH($C1018,HistoricSummary!$A:$A,0),1)&lt;&gt;"",$E1018*INDEX(HistoricSummary!D:D,MATCH($C1018,HistoricSummary!$A:$A,0),1)+$G1018,""),AND($B1018&lt;&gt;"",$D1018="COST",$G1018&lt;0),$G1018,TRUE,)</f>
        <v/>
      </c>
      <c r="J1018" s="235" t="str">
        <f t="array" ref="J1018">IFS(AND($B1018&lt;&gt;"",$E1018&lt;&gt;""),IF(INDEX(HistoricSummary!E:E,MATCH($C1018,HistoricSummary!$A:$A,0),1)&lt;&gt;"",$E1018*INDEX(HistoricSummary!E:E,MATCH($C1018,HistoricSummary!$A:$A,0),1)+$G1018,""),AND($B1018&lt;&gt;"",$D1018="COST",$G1018&lt;0),$G1018,TRUE,)</f>
        <v/>
      </c>
    </row>
    <row r="1019">
      <c r="A1019" s="184">
        <v>41122.0</v>
      </c>
      <c r="C1019" s="49" t="s">
        <v>1361</v>
      </c>
      <c r="D1019" s="19" t="s">
        <v>415</v>
      </c>
      <c r="E1019" s="17">
        <v>-33.0</v>
      </c>
      <c r="F1019" s="232">
        <v>37.93</v>
      </c>
      <c r="G1019" s="233">
        <v>1250.4</v>
      </c>
      <c r="H1019" s="236" t="s">
        <v>1381</v>
      </c>
      <c r="I1019" s="235" t="str">
        <f t="array" ref="I1019">IFS(AND($B1019&lt;&gt;"",$E1019&lt;&gt;""),IF(INDEX(HistoricSummary!D:D,MATCH($C1019,HistoricSummary!$A:$A,0),1)&lt;&gt;"",$E1019*INDEX(HistoricSummary!D:D,MATCH($C1019,HistoricSummary!$A:$A,0),1)+$G1019,""),AND($B1019&lt;&gt;"",$D1019="COST",$G1019&lt;0),$G1019,TRUE,)</f>
        <v/>
      </c>
      <c r="J1019" s="235" t="str">
        <f t="array" ref="J1019">IFS(AND($B1019&lt;&gt;"",$E1019&lt;&gt;""),IF(INDEX(HistoricSummary!E:E,MATCH($C1019,HistoricSummary!$A:$A,0),1)&lt;&gt;"",$E1019*INDEX(HistoricSummary!E:E,MATCH($C1019,HistoricSummary!$A:$A,0),1)+$G1019,""),AND($B1019&lt;&gt;"",$D1019="COST",$G1019&lt;0),$G1019,TRUE,)</f>
        <v/>
      </c>
    </row>
    <row r="1020">
      <c r="A1020" s="184">
        <v>41122.0</v>
      </c>
      <c r="C1020" s="57" t="s">
        <v>1321</v>
      </c>
      <c r="D1020" s="19" t="s">
        <v>415</v>
      </c>
      <c r="E1020" s="17">
        <v>-70.0</v>
      </c>
      <c r="F1020" s="232">
        <v>20.6</v>
      </c>
      <c r="G1020" s="233">
        <v>1440.7</v>
      </c>
      <c r="H1020" s="236" t="s">
        <v>1382</v>
      </c>
      <c r="I1020" s="235" t="str">
        <f t="array" ref="I1020">IFS(AND($B1020&lt;&gt;"",$E1020&lt;&gt;""),IF(INDEX(HistoricSummary!D:D,MATCH($C1020,HistoricSummary!$A:$A,0),1)&lt;&gt;"",$E1020*INDEX(HistoricSummary!D:D,MATCH($C1020,HistoricSummary!$A:$A,0),1)+$G1020,""),AND($B1020&lt;&gt;"",$D1020="COST",$G1020&lt;0),$G1020,TRUE,)</f>
        <v/>
      </c>
      <c r="J1020" s="235" t="str">
        <f t="array" ref="J1020">IFS(AND($B1020&lt;&gt;"",$E1020&lt;&gt;""),IF(INDEX(HistoricSummary!E:E,MATCH($C1020,HistoricSummary!$A:$A,0),1)&lt;&gt;"",$E1020*INDEX(HistoricSummary!E:E,MATCH($C1020,HistoricSummary!$A:$A,0),1)+$G1020,""),AND($B1020&lt;&gt;"",$D1020="COST",$G1020&lt;0),$G1020,TRUE,)</f>
        <v/>
      </c>
    </row>
    <row r="1021">
      <c r="A1021" s="184">
        <v>41122.0</v>
      </c>
      <c r="C1021" s="57" t="s">
        <v>1357</v>
      </c>
      <c r="D1021" s="19" t="s">
        <v>415</v>
      </c>
      <c r="E1021" s="17">
        <v>-74.0</v>
      </c>
      <c r="F1021" s="232">
        <v>18.27</v>
      </c>
      <c r="G1021" s="233">
        <v>1350.39</v>
      </c>
      <c r="H1021" s="236" t="s">
        <v>1383</v>
      </c>
      <c r="I1021" s="235" t="str">
        <f t="array" ref="I1021">IFS(AND($B1021&lt;&gt;"",$E1021&lt;&gt;""),IF(INDEX(HistoricSummary!D:D,MATCH($C1021,HistoricSummary!$A:$A,0),1)&lt;&gt;"",$E1021*INDEX(HistoricSummary!D:D,MATCH($C1021,HistoricSummary!$A:$A,0),1)+$G1021,""),AND($B1021&lt;&gt;"",$D1021="COST",$G1021&lt;0),$G1021,TRUE,)</f>
        <v/>
      </c>
      <c r="J1021" s="235" t="str">
        <f t="array" ref="J1021">IFS(AND($B1021&lt;&gt;"",$E1021&lt;&gt;""),IF(INDEX(HistoricSummary!E:E,MATCH($C1021,HistoricSummary!$A:$A,0),1)&lt;&gt;"",$E1021*INDEX(HistoricSummary!E:E,MATCH($C1021,HistoricSummary!$A:$A,0),1)+$G1021,""),AND($B1021&lt;&gt;"",$D1021="COST",$G1021&lt;0),$G1021,TRUE,)</f>
        <v/>
      </c>
    </row>
    <row r="1022">
      <c r="A1022" s="184">
        <v>41122.0</v>
      </c>
      <c r="C1022" s="57" t="s">
        <v>1317</v>
      </c>
      <c r="D1022" s="19" t="s">
        <v>415</v>
      </c>
      <c r="E1022" s="17">
        <v>-70.0</v>
      </c>
      <c r="F1022" s="232">
        <v>16.67</v>
      </c>
      <c r="G1022" s="233">
        <v>1165.5</v>
      </c>
      <c r="H1022" s="236" t="s">
        <v>1384</v>
      </c>
      <c r="I1022" s="235" t="str">
        <f t="array" ref="I1022">IFS(AND($B1022&lt;&gt;"",$E1022&lt;&gt;""),IF(INDEX(HistoricSummary!D:D,MATCH($C1022,HistoricSummary!$A:$A,0),1)&lt;&gt;"",$E1022*INDEX(HistoricSummary!D:D,MATCH($C1022,HistoricSummary!$A:$A,0),1)+$G1022,""),AND($B1022&lt;&gt;"",$D1022="COST",$G1022&lt;0),$G1022,TRUE,)</f>
        <v/>
      </c>
      <c r="J1022" s="235" t="str">
        <f t="array" ref="J1022">IFS(AND($B1022&lt;&gt;"",$E1022&lt;&gt;""),IF(INDEX(HistoricSummary!E:E,MATCH($C1022,HistoricSummary!$A:$A,0),1)&lt;&gt;"",$E1022*INDEX(HistoricSummary!E:E,MATCH($C1022,HistoricSummary!$A:$A,0),1)+$G1022,""),AND($B1022&lt;&gt;"",$D1022="COST",$G1022&lt;0),$G1022,TRUE,)</f>
        <v/>
      </c>
    </row>
    <row r="1023">
      <c r="A1023" s="184">
        <v>41100.0</v>
      </c>
      <c r="C1023" s="57" t="s">
        <v>1385</v>
      </c>
      <c r="D1023" s="19" t="s">
        <v>415</v>
      </c>
      <c r="E1023" s="17">
        <v>-263.0</v>
      </c>
      <c r="F1023" s="232">
        <v>15.08</v>
      </c>
      <c r="G1023" s="233">
        <v>3962.47</v>
      </c>
      <c r="H1023" s="236" t="s">
        <v>1386</v>
      </c>
      <c r="I1023" s="235" t="str">
        <f t="array" ref="I1023">IFS(AND($B1023&lt;&gt;"",$E1023&lt;&gt;""),IF(INDEX(HistoricSummary!D:D,MATCH($C1023,HistoricSummary!$A:$A,0),1)&lt;&gt;"",$E1023*INDEX(HistoricSummary!D:D,MATCH($C1023,HistoricSummary!$A:$A,0),1)+$G1023,""),AND($B1023&lt;&gt;"",$D1023="COST",$G1023&lt;0),$G1023,TRUE,)</f>
        <v/>
      </c>
      <c r="J1023" s="235" t="str">
        <f t="array" ref="J1023">IFS(AND($B1023&lt;&gt;"",$E1023&lt;&gt;""),IF(INDEX(HistoricSummary!E:E,MATCH($C1023,HistoricSummary!$A:$A,0),1)&lt;&gt;"",$E1023*INDEX(HistoricSummary!E:E,MATCH($C1023,HistoricSummary!$A:$A,0),1)+$G1023,""),AND($B1023&lt;&gt;"",$D1023="COST",$G1023&lt;0),$G1023,TRUE,)</f>
        <v/>
      </c>
    </row>
    <row r="1024">
      <c r="A1024" s="184">
        <v>41081.0</v>
      </c>
      <c r="C1024" s="49" t="s">
        <v>1361</v>
      </c>
      <c r="D1024" s="19" t="s">
        <v>475</v>
      </c>
      <c r="E1024" s="17"/>
      <c r="F1024" s="232"/>
      <c r="G1024" s="233">
        <v>16.32</v>
      </c>
      <c r="H1024" s="236" t="s">
        <v>1387</v>
      </c>
      <c r="I1024" s="235" t="str">
        <f t="array" ref="I1024">IFS(AND($B1024&lt;&gt;"",$E1024&lt;&gt;""),IF(INDEX(HistoricSummary!D:D,MATCH($C1024,HistoricSummary!$A:$A,0),1)&lt;&gt;"",$E1024*INDEX(HistoricSummary!D:D,MATCH($C1024,HistoricSummary!$A:$A,0),1)+$G1024,""),AND($B1024&lt;&gt;"",$D1024="COST",$G1024&lt;0),$G1024,TRUE,)</f>
        <v/>
      </c>
      <c r="J1024" s="235" t="str">
        <f t="array" ref="J1024">IFS(AND($B1024&lt;&gt;"",$E1024&lt;&gt;""),IF(INDEX(HistoricSummary!E:E,MATCH($C1024,HistoricSummary!$A:$A,0),1)&lt;&gt;"",$E1024*INDEX(HistoricSummary!E:E,MATCH($C1024,HistoricSummary!$A:$A,0),1)+$G1024,""),AND($B1024&lt;&gt;"",$D1024="COST",$G1024&lt;0),$G1024,TRUE,)</f>
        <v/>
      </c>
    </row>
    <row r="1025">
      <c r="A1025" s="184">
        <v>41073.0</v>
      </c>
      <c r="B1025" s="19"/>
      <c r="C1025" s="49" t="s">
        <v>1375</v>
      </c>
      <c r="D1025" s="19" t="s">
        <v>475</v>
      </c>
      <c r="E1025" s="17"/>
      <c r="F1025" s="232"/>
      <c r="G1025" s="233">
        <v>314.9</v>
      </c>
      <c r="H1025" s="236" t="s">
        <v>1388</v>
      </c>
      <c r="I1025" s="235" t="str">
        <f t="array" ref="I1025">IFS(AND($B1025&lt;&gt;"",$E1025&lt;&gt;""),IF(INDEX(HistoricSummary!D:D,MATCH($C1025,HistoricSummary!$A:$A,0),1)&lt;&gt;"",$E1025*INDEX(HistoricSummary!D:D,MATCH($C1025,HistoricSummary!$A:$A,0),1)+$G1025,""),AND($B1025&lt;&gt;"",$D1025="COST",$G1025&lt;0),$G1025,TRUE,)</f>
        <v/>
      </c>
      <c r="J1025" s="235" t="str">
        <f t="array" ref="J1025">IFS(AND($B1025&lt;&gt;"",$E1025&lt;&gt;""),IF(INDEX(HistoricSummary!E:E,MATCH($C1025,HistoricSummary!$A:$A,0),1)&lt;&gt;"",$E1025*INDEX(HistoricSummary!E:E,MATCH($C1025,HistoricSummary!$A:$A,0),1)+$G1025,""),AND($B1025&lt;&gt;"",$D1025="COST",$G1025&lt;0),$G1025,TRUE,)</f>
        <v/>
      </c>
    </row>
    <row r="1026">
      <c r="A1026" s="184">
        <v>41066.0</v>
      </c>
      <c r="B1026" s="19"/>
      <c r="C1026" s="49" t="s">
        <v>1317</v>
      </c>
      <c r="D1026" s="19" t="s">
        <v>475</v>
      </c>
      <c r="E1026" s="17"/>
      <c r="F1026" s="232"/>
      <c r="G1026" s="233">
        <v>35.14</v>
      </c>
      <c r="H1026" s="236" t="s">
        <v>1389</v>
      </c>
      <c r="I1026" s="235" t="str">
        <f t="array" ref="I1026">IFS(AND($B1026&lt;&gt;"",$E1026&lt;&gt;""),IF(INDEX(HistoricSummary!D:D,MATCH($C1026,HistoricSummary!$A:$A,0),1)&lt;&gt;"",$E1026*INDEX(HistoricSummary!D:D,MATCH($C1026,HistoricSummary!$A:$A,0),1)+$G1026,""),AND($B1026&lt;&gt;"",$D1026="COST",$G1026&lt;0),$G1026,TRUE,)</f>
        <v/>
      </c>
      <c r="J1026" s="235" t="str">
        <f t="array" ref="J1026">IFS(AND($B1026&lt;&gt;"",$E1026&lt;&gt;""),IF(INDEX(HistoricSummary!E:E,MATCH($C1026,HistoricSummary!$A:$A,0),1)&lt;&gt;"",$E1026*INDEX(HistoricSummary!E:E,MATCH($C1026,HistoricSummary!$A:$A,0),1)+$G1026,""),AND($B1026&lt;&gt;"",$D1026="COST",$G1026&lt;0),$G1026,TRUE,)</f>
        <v/>
      </c>
    </row>
    <row r="1027">
      <c r="A1027" s="184">
        <v>41061.0</v>
      </c>
      <c r="B1027" s="19"/>
      <c r="C1027" s="49" t="s">
        <v>1385</v>
      </c>
      <c r="D1027" s="19" t="s">
        <v>475</v>
      </c>
      <c r="E1027" s="17"/>
      <c r="F1027" s="232"/>
      <c r="G1027" s="233">
        <v>6.5</v>
      </c>
      <c r="H1027" s="236" t="s">
        <v>1390</v>
      </c>
      <c r="I1027" s="235" t="str">
        <f t="array" ref="I1027">IFS(AND($B1027&lt;&gt;"",$E1027&lt;&gt;""),IF(INDEX(HistoricSummary!D:D,MATCH($C1027,HistoricSummary!$A:$A,0),1)&lt;&gt;"",$E1027*INDEX(HistoricSummary!D:D,MATCH($C1027,HistoricSummary!$A:$A,0),1)+$G1027,""),AND($B1027&lt;&gt;"",$D1027="COST",$G1027&lt;0),$G1027,TRUE,)</f>
        <v/>
      </c>
      <c r="J1027" s="235" t="str">
        <f t="array" ref="J1027">IFS(AND($B1027&lt;&gt;"",$E1027&lt;&gt;""),IF(INDEX(HistoricSummary!E:E,MATCH($C1027,HistoricSummary!$A:$A,0),1)&lt;&gt;"",$E1027*INDEX(HistoricSummary!E:E,MATCH($C1027,HistoricSummary!$A:$A,0),1)+$G1027,""),AND($B1027&lt;&gt;"",$D1027="COST",$G1027&lt;0),$G1027,TRUE,)</f>
        <v/>
      </c>
    </row>
    <row r="1028">
      <c r="A1028" s="184">
        <v>41061.0</v>
      </c>
      <c r="B1028" s="19"/>
      <c r="C1028" s="49" t="s">
        <v>1385</v>
      </c>
      <c r="D1028" s="19" t="s">
        <v>475</v>
      </c>
      <c r="E1028" s="17">
        <v>-15.0</v>
      </c>
      <c r="F1028" s="232">
        <v>0.0</v>
      </c>
      <c r="G1028" s="233">
        <v>0.0</v>
      </c>
      <c r="H1028" s="236" t="s">
        <v>1391</v>
      </c>
      <c r="I1028" s="235" t="str">
        <f t="array" ref="I1028">IFS(AND($B1028&lt;&gt;"",$E1028&lt;&gt;""),IF(INDEX(HistoricSummary!D:D,MATCH($C1028,HistoricSummary!$A:$A,0),1)&lt;&gt;"",$E1028*INDEX(HistoricSummary!D:D,MATCH($C1028,HistoricSummary!$A:$A,0),1)+$G1028,""),AND($B1028&lt;&gt;"",$D1028="COST",$G1028&lt;0),$G1028,TRUE,)</f>
        <v/>
      </c>
      <c r="J1028" s="235" t="str">
        <f t="array" ref="J1028">IFS(AND($B1028&lt;&gt;"",$E1028&lt;&gt;""),IF(INDEX(HistoricSummary!E:E,MATCH($C1028,HistoricSummary!$A:$A,0),1)&lt;&gt;"",$E1028*INDEX(HistoricSummary!E:E,MATCH($C1028,HistoricSummary!$A:$A,0),1)+$G1028,""),AND($B1028&lt;&gt;"",$D1028="COST",$G1028&lt;0),$G1028,TRUE,)</f>
        <v/>
      </c>
    </row>
    <row r="1029">
      <c r="A1029" s="184">
        <v>41053.0</v>
      </c>
      <c r="C1029" s="57" t="s">
        <v>1357</v>
      </c>
      <c r="D1029" s="19" t="s">
        <v>475</v>
      </c>
      <c r="E1029" s="17"/>
      <c r="F1029" s="232"/>
      <c r="G1029" s="233">
        <v>41.75</v>
      </c>
      <c r="H1029" s="236" t="s">
        <v>1392</v>
      </c>
      <c r="I1029" s="235" t="str">
        <f t="array" ref="I1029">IFS(AND($B1029&lt;&gt;"",$E1029&lt;&gt;""),IF(INDEX(HistoricSummary!D:D,MATCH($C1029,HistoricSummary!$A:$A,0),1)&lt;&gt;"",$E1029*INDEX(HistoricSummary!D:D,MATCH($C1029,HistoricSummary!$A:$A,0),1)+$G1029,""),AND($B1029&lt;&gt;"",$D1029="COST",$G1029&lt;0),$G1029,TRUE,)</f>
        <v/>
      </c>
      <c r="J1029" s="235" t="str">
        <f t="array" ref="J1029">IFS(AND($B1029&lt;&gt;"",$E1029&lt;&gt;""),IF(INDEX(HistoricSummary!E:E,MATCH($C1029,HistoricSummary!$A:$A,0),1)&lt;&gt;"",$E1029*INDEX(HistoricSummary!E:E,MATCH($C1029,HistoricSummary!$A:$A,0),1)+$G1029,""),AND($B1029&lt;&gt;"",$D1029="COST",$G1029&lt;0),$G1029,TRUE,)</f>
        <v/>
      </c>
    </row>
    <row r="1030">
      <c r="A1030" s="184">
        <v>41050.0</v>
      </c>
      <c r="B1030" s="19"/>
      <c r="C1030" s="49" t="s">
        <v>1385</v>
      </c>
      <c r="D1030" s="19" t="s">
        <v>475</v>
      </c>
      <c r="E1030" s="17">
        <v>8.0</v>
      </c>
      <c r="F1030" s="232">
        <v>13.2</v>
      </c>
      <c r="G1030" s="233">
        <v>0.0</v>
      </c>
      <c r="H1030" s="236" t="s">
        <v>1393</v>
      </c>
      <c r="I1030" s="235" t="str">
        <f t="array" ref="I1030">IFS(AND($B1030&lt;&gt;"",$E1030&lt;&gt;""),IF(INDEX(HistoricSummary!D:D,MATCH($C1030,HistoricSummary!$A:$A,0),1)&lt;&gt;"",$E1030*INDEX(HistoricSummary!D:D,MATCH($C1030,HistoricSummary!$A:$A,0),1)+$G1030,""),AND($B1030&lt;&gt;"",$D1030="COST",$G1030&lt;0),$G1030,TRUE,)</f>
        <v/>
      </c>
      <c r="J1030" s="235" t="str">
        <f t="array" ref="J1030">IFS(AND($B1030&lt;&gt;"",$E1030&lt;&gt;""),IF(INDEX(HistoricSummary!E:E,MATCH($C1030,HistoricSummary!$A:$A,0),1)&lt;&gt;"",$E1030*INDEX(HistoricSummary!E:E,MATCH($C1030,HistoricSummary!$A:$A,0),1)+$G1030,""),AND($B1030&lt;&gt;"",$D1030="COST",$G1030&lt;0),$G1030,TRUE,)</f>
        <v/>
      </c>
    </row>
    <row r="1031">
      <c r="A1031" s="184">
        <v>41050.0</v>
      </c>
      <c r="B1031" s="19"/>
      <c r="C1031" s="49" t="s">
        <v>1385</v>
      </c>
      <c r="D1031" s="19" t="s">
        <v>475</v>
      </c>
      <c r="E1031" s="17">
        <v>-240.0</v>
      </c>
      <c r="F1031" s="232">
        <v>0.0</v>
      </c>
      <c r="G1031" s="233">
        <v>0.0</v>
      </c>
      <c r="H1031" s="236" t="s">
        <v>1394</v>
      </c>
      <c r="I1031" s="235" t="str">
        <f t="array" ref="I1031">IFS(AND($B1031&lt;&gt;"",$E1031&lt;&gt;""),IF(INDEX(HistoricSummary!D:D,MATCH($C1031,HistoricSummary!$A:$A,0),1)&lt;&gt;"",$E1031*INDEX(HistoricSummary!D:D,MATCH($C1031,HistoricSummary!$A:$A,0),1)+$G1031,""),AND($B1031&lt;&gt;"",$D1031="COST",$G1031&lt;0),$G1031,TRUE,)</f>
        <v/>
      </c>
      <c r="J1031" s="235" t="str">
        <f t="array" ref="J1031">IFS(AND($B1031&lt;&gt;"",$E1031&lt;&gt;""),IF(INDEX(HistoricSummary!E:E,MATCH($C1031,HistoricSummary!$A:$A,0),1)&lt;&gt;"",$E1031*INDEX(HistoricSummary!E:E,MATCH($C1031,HistoricSummary!$A:$A,0),1)+$G1031,""),AND($B1031&lt;&gt;"",$D1031="COST",$G1031&lt;0),$G1031,TRUE,)</f>
        <v/>
      </c>
    </row>
    <row r="1032">
      <c r="A1032" s="184">
        <v>41038.0</v>
      </c>
      <c r="C1032" s="57" t="s">
        <v>1385</v>
      </c>
      <c r="D1032" s="19" t="s">
        <v>475</v>
      </c>
      <c r="E1032" s="17"/>
      <c r="F1032" s="232"/>
      <c r="G1032" s="233">
        <v>220.61</v>
      </c>
      <c r="H1032" s="236" t="s">
        <v>1395</v>
      </c>
      <c r="I1032" s="235" t="str">
        <f t="array" ref="I1032">IFS(AND($B1032&lt;&gt;"",$E1032&lt;&gt;""),IF(INDEX(HistoricSummary!D:D,MATCH($C1032,HistoricSummary!$A:$A,0),1)&lt;&gt;"",$E1032*INDEX(HistoricSummary!D:D,MATCH($C1032,HistoricSummary!$A:$A,0),1)+$G1032,""),AND($B1032&lt;&gt;"",$D1032="COST",$G1032&lt;0),$G1032,TRUE,)</f>
        <v/>
      </c>
      <c r="J1032" s="235" t="str">
        <f t="array" ref="J1032">IFS(AND($B1032&lt;&gt;"",$E1032&lt;&gt;""),IF(INDEX(HistoricSummary!E:E,MATCH($C1032,HistoricSummary!$A:$A,0),1)&lt;&gt;"",$E1032*INDEX(HistoricSummary!E:E,MATCH($C1032,HistoricSummary!$A:$A,0),1)+$G1032,""),AND($B1032&lt;&gt;"",$D1032="COST",$G1032&lt;0),$G1032,TRUE,)</f>
        <v/>
      </c>
    </row>
    <row r="1033">
      <c r="A1033" s="184">
        <v>41038.0</v>
      </c>
      <c r="B1033" s="19"/>
      <c r="C1033" s="49" t="s">
        <v>1385</v>
      </c>
      <c r="D1033" s="19" t="s">
        <v>475</v>
      </c>
      <c r="E1033" s="17">
        <v>255.0</v>
      </c>
      <c r="F1033" s="232">
        <v>0.0</v>
      </c>
      <c r="G1033" s="233">
        <v>0.0</v>
      </c>
      <c r="H1033" s="236" t="s">
        <v>1396</v>
      </c>
      <c r="I1033" s="235" t="str">
        <f t="array" ref="I1033">IFS(AND($B1033&lt;&gt;"",$E1033&lt;&gt;""),IF(INDEX(HistoricSummary!D:D,MATCH($C1033,HistoricSummary!$A:$A,0),1)&lt;&gt;"",$E1033*INDEX(HistoricSummary!D:D,MATCH($C1033,HistoricSummary!$A:$A,0),1)+$G1033,""),AND($B1033&lt;&gt;"",$D1033="COST",$G1033&lt;0),$G1033,TRUE,)</f>
        <v/>
      </c>
      <c r="J1033" s="235" t="str">
        <f t="array" ref="J1033">IFS(AND($B1033&lt;&gt;"",$E1033&lt;&gt;""),IF(INDEX(HistoricSummary!E:E,MATCH($C1033,HistoricSummary!$A:$A,0),1)&lt;&gt;"",$E1033*INDEX(HistoricSummary!E:E,MATCH($C1033,HistoricSummary!$A:$A,0),1)+$G1033,""),AND($B1033&lt;&gt;"",$D1033="COST",$G1033&lt;0),$G1033,TRUE,)</f>
        <v/>
      </c>
    </row>
    <row r="1034">
      <c r="A1034" s="184">
        <v>41033.0</v>
      </c>
      <c r="C1034" s="57" t="s">
        <v>1321</v>
      </c>
      <c r="D1034" s="19" t="s">
        <v>475</v>
      </c>
      <c r="E1034" s="17"/>
      <c r="F1034" s="232"/>
      <c r="G1034" s="233">
        <v>96.91</v>
      </c>
      <c r="H1034" s="236" t="s">
        <v>1397</v>
      </c>
      <c r="I1034" s="235" t="str">
        <f t="array" ref="I1034">IFS(AND($B1034&lt;&gt;"",$E1034&lt;&gt;""),IF(INDEX(HistoricSummary!D:D,MATCH($C1034,HistoricSummary!$A:$A,0),1)&lt;&gt;"",$E1034*INDEX(HistoricSummary!D:D,MATCH($C1034,HistoricSummary!$A:$A,0),1)+$G1034,""),AND($B1034&lt;&gt;"",$D1034="COST",$G1034&lt;0),$G1034,TRUE,)</f>
        <v/>
      </c>
      <c r="J1034" s="235" t="str">
        <f t="array" ref="J1034">IFS(AND($B1034&lt;&gt;"",$E1034&lt;&gt;""),IF(INDEX(HistoricSummary!E:E,MATCH($C1034,HistoricSummary!$A:$A,0),1)&lt;&gt;"",$E1034*INDEX(HistoricSummary!E:E,MATCH($C1034,HistoricSummary!$A:$A,0),1)+$G1034,""),AND($B1034&lt;&gt;"",$D1034="COST",$G1034&lt;0),$G1034,TRUE,)</f>
        <v/>
      </c>
    </row>
    <row r="1035">
      <c r="A1035" s="184">
        <v>41025.0</v>
      </c>
      <c r="C1035" s="49" t="s">
        <v>1361</v>
      </c>
      <c r="D1035" s="19" t="s">
        <v>414</v>
      </c>
      <c r="E1035" s="17">
        <v>33.0</v>
      </c>
      <c r="F1035" s="232">
        <v>36.5</v>
      </c>
      <c r="G1035" s="233">
        <v>-1205.42</v>
      </c>
      <c r="H1035" s="236" t="s">
        <v>1398</v>
      </c>
      <c r="I1035" s="235" t="str">
        <f t="array" ref="I1035">IFS(AND($B1035&lt;&gt;"",$E1035&lt;&gt;""),IF(INDEX(HistoricSummary!D:D,MATCH($C1035,HistoricSummary!$A:$A,0),1)&lt;&gt;"",$E1035*INDEX(HistoricSummary!D:D,MATCH($C1035,HistoricSummary!$A:$A,0),1)+$G1035,""),AND($B1035&lt;&gt;"",$D1035="COST",$G1035&lt;0),$G1035,TRUE,)</f>
        <v/>
      </c>
      <c r="J1035" s="235" t="str">
        <f t="array" ref="J1035">IFS(AND($B1035&lt;&gt;"",$E1035&lt;&gt;""),IF(INDEX(HistoricSummary!E:E,MATCH($C1035,HistoricSummary!$A:$A,0),1)&lt;&gt;"",$E1035*INDEX(HistoricSummary!E:E,MATCH($C1035,HistoricSummary!$A:$A,0),1)+$G1035,""),AND($B1035&lt;&gt;"",$D1035="COST",$G1035&lt;0),$G1035,TRUE,)</f>
        <v/>
      </c>
    </row>
    <row r="1036">
      <c r="A1036" s="184">
        <v>41025.0</v>
      </c>
      <c r="C1036" s="57" t="s">
        <v>1399</v>
      </c>
      <c r="D1036" s="19" t="s">
        <v>415</v>
      </c>
      <c r="E1036" s="17">
        <v>-135.0</v>
      </c>
      <c r="F1036" s="232">
        <v>9.03</v>
      </c>
      <c r="G1036" s="233">
        <v>1218.49</v>
      </c>
      <c r="H1036" s="236" t="s">
        <v>1400</v>
      </c>
      <c r="I1036" s="235" t="str">
        <f t="array" ref="I1036">IFS(AND($B1036&lt;&gt;"",$E1036&lt;&gt;""),IF(INDEX(HistoricSummary!D:D,MATCH($C1036,HistoricSummary!$A:$A,0),1)&lt;&gt;"",$E1036*INDEX(HistoricSummary!D:D,MATCH($C1036,HistoricSummary!$A:$A,0),1)+$G1036,""),AND($B1036&lt;&gt;"",$D1036="COST",$G1036&lt;0),$G1036,TRUE,)</f>
        <v/>
      </c>
      <c r="J1036" s="235" t="str">
        <f t="array" ref="J1036">IFS(AND($B1036&lt;&gt;"",$E1036&lt;&gt;""),IF(INDEX(HistoricSummary!E:E,MATCH($C1036,HistoricSummary!$A:$A,0),1)&lt;&gt;"",$E1036*INDEX(HistoricSummary!E:E,MATCH($C1036,HistoricSummary!$A:$A,0),1)+$G1036,""),AND($B1036&lt;&gt;"",$D1036="COST",$G1036&lt;0),$G1036,TRUE,)</f>
        <v/>
      </c>
    </row>
    <row r="1037">
      <c r="A1037" s="184">
        <v>41024.0</v>
      </c>
      <c r="B1037" s="19"/>
      <c r="C1037" s="49" t="s">
        <v>1357</v>
      </c>
      <c r="D1037" s="262" t="s">
        <v>475</v>
      </c>
      <c r="E1037" s="17">
        <v>2.0</v>
      </c>
      <c r="F1037" s="232">
        <v>16.43</v>
      </c>
      <c r="G1037" s="233">
        <v>0.0</v>
      </c>
      <c r="H1037" s="236" t="s">
        <v>1401</v>
      </c>
      <c r="I1037" s="235" t="str">
        <f t="array" ref="I1037">IFS(AND($B1037&lt;&gt;"",$E1037&lt;&gt;""),IF(INDEX(HistoricSummary!D:D,MATCH($C1037,HistoricSummary!$A:$A,0),1)&lt;&gt;"",$E1037*INDEX(HistoricSummary!D:D,MATCH($C1037,HistoricSummary!$A:$A,0),1)+$G1037,""),AND($B1037&lt;&gt;"",$D1037="COST",$G1037&lt;0),$G1037,TRUE,)</f>
        <v/>
      </c>
      <c r="J1037" s="235" t="str">
        <f t="array" ref="J1037">IFS(AND($B1037&lt;&gt;"",$E1037&lt;&gt;""),IF(INDEX(HistoricSummary!E:E,MATCH($C1037,HistoricSummary!$A:$A,0),1)&lt;&gt;"",$E1037*INDEX(HistoricSummary!E:E,MATCH($C1037,HistoricSummary!$A:$A,0),1)+$G1037,""),AND($B1037&lt;&gt;"",$D1037="COST",$G1037&lt;0),$G1037,TRUE,)</f>
        <v/>
      </c>
    </row>
    <row r="1038">
      <c r="A1038" s="184">
        <v>41024.0</v>
      </c>
      <c r="B1038" s="19"/>
      <c r="C1038" s="49" t="s">
        <v>1385</v>
      </c>
      <c r="D1038" s="262" t="s">
        <v>475</v>
      </c>
      <c r="E1038" s="17"/>
      <c r="F1038" s="232"/>
      <c r="G1038" s="233">
        <v>-32.86</v>
      </c>
      <c r="H1038" s="236" t="s">
        <v>1402</v>
      </c>
      <c r="I1038" s="235" t="str">
        <f t="array" ref="I1038">IFS(AND($B1038&lt;&gt;"",$E1038&lt;&gt;""),IF(INDEX(HistoricSummary!D:D,MATCH($C1038,HistoricSummary!$A:$A,0),1)&lt;&gt;"",$E1038*INDEX(HistoricSummary!D:D,MATCH($C1038,HistoricSummary!$A:$A,0),1)+$G1038,""),AND($B1038&lt;&gt;"",$D1038="COST",$G1038&lt;0),$G1038,TRUE,)</f>
        <v/>
      </c>
      <c r="J1038" s="235" t="str">
        <f t="array" ref="J1038">IFS(AND($B1038&lt;&gt;"",$E1038&lt;&gt;""),IF(INDEX(HistoricSummary!E:E,MATCH($C1038,HistoricSummary!$A:$A,0),1)&lt;&gt;"",$E1038*INDEX(HistoricSummary!E:E,MATCH($C1038,HistoricSummary!$A:$A,0),1)+$G1038,""),AND($B1038&lt;&gt;"",$D1038="COST",$G1038&lt;0),$G1038,TRUE,)</f>
        <v/>
      </c>
    </row>
    <row r="1039">
      <c r="A1039" s="184">
        <v>41004.0</v>
      </c>
      <c r="C1039" s="57" t="s">
        <v>1321</v>
      </c>
      <c r="D1039" s="19" t="s">
        <v>414</v>
      </c>
      <c r="E1039" s="17">
        <v>70.0</v>
      </c>
      <c r="F1039" s="232">
        <v>21.5</v>
      </c>
      <c r="G1039" s="233">
        <v>-1506.35</v>
      </c>
      <c r="H1039" s="236" t="s">
        <v>1403</v>
      </c>
      <c r="I1039" s="235" t="str">
        <f t="array" ref="I1039">IFS(AND($B1039&lt;&gt;"",$E1039&lt;&gt;""),IF(INDEX(HistoricSummary!D:D,MATCH($C1039,HistoricSummary!$A:$A,0),1)&lt;&gt;"",$E1039*INDEX(HistoricSummary!D:D,MATCH($C1039,HistoricSummary!$A:$A,0),1)+$G1039,""),AND($B1039&lt;&gt;"",$D1039="COST",$G1039&lt;0),$G1039,TRUE,)</f>
        <v/>
      </c>
      <c r="J1039" s="235" t="str">
        <f t="array" ref="J1039">IFS(AND($B1039&lt;&gt;"",$E1039&lt;&gt;""),IF(INDEX(HistoricSummary!E:E,MATCH($C1039,HistoricSummary!$A:$A,0),1)&lt;&gt;"",$E1039*INDEX(HistoricSummary!E:E,MATCH($C1039,HistoricSummary!$A:$A,0),1)+$G1039,""),AND($B1039&lt;&gt;"",$D1039="COST",$G1039&lt;0),$G1039,TRUE,)</f>
        <v/>
      </c>
    </row>
    <row r="1040">
      <c r="A1040" s="184">
        <v>41002.0</v>
      </c>
      <c r="B1040" s="171"/>
      <c r="C1040" s="261"/>
      <c r="D1040" s="19" t="s">
        <v>454</v>
      </c>
      <c r="E1040" s="171"/>
      <c r="F1040" s="232"/>
      <c r="G1040" s="233">
        <v>1520.0</v>
      </c>
      <c r="H1040" s="236" t="s">
        <v>1404</v>
      </c>
      <c r="I1040" s="235" t="str">
        <f t="array" ref="I1040">IFS(AND($B1040&lt;&gt;"",$E1040&lt;&gt;""),IF(INDEX(HistoricSummary!D:D,MATCH($C1040,HistoricSummary!$A:$A,0),1)&lt;&gt;"",$E1040*INDEX(HistoricSummary!D:D,MATCH($C1040,HistoricSummary!$A:$A,0),1)+$G1040,""),AND($B1040&lt;&gt;"",$D1040="COST",$G1040&lt;0),$G1040,TRUE,)</f>
        <v/>
      </c>
      <c r="J1040" s="235" t="str">
        <f t="array" ref="J1040">IFS(AND($B1040&lt;&gt;"",$E1040&lt;&gt;""),IF(INDEX(HistoricSummary!E:E,MATCH($C1040,HistoricSummary!$A:$A,0),1)&lt;&gt;"",$E1040*INDEX(HistoricSummary!E:E,MATCH($C1040,HistoricSummary!$A:$A,0),1)+$G1040,""),AND($B1040&lt;&gt;"",$D1040="COST",$G1040&lt;0),$G1040,TRUE,)</f>
        <v/>
      </c>
    </row>
    <row r="1041">
      <c r="A1041" s="184">
        <v>40987.0</v>
      </c>
      <c r="C1041" s="57" t="s">
        <v>1357</v>
      </c>
      <c r="D1041" s="19" t="s">
        <v>414</v>
      </c>
      <c r="E1041" s="17">
        <v>72.0</v>
      </c>
      <c r="F1041" s="232">
        <v>19.86</v>
      </c>
      <c r="G1041" s="233">
        <v>-1430.85</v>
      </c>
      <c r="H1041" s="236" t="s">
        <v>1405</v>
      </c>
      <c r="I1041" s="235" t="str">
        <f t="array" ref="I1041">IFS(AND($B1041&lt;&gt;"",$E1041&lt;&gt;""),IF(INDEX(HistoricSummary!D:D,MATCH($C1041,HistoricSummary!$A:$A,0),1)&lt;&gt;"",$E1041*INDEX(HistoricSummary!D:D,MATCH($C1041,HistoricSummary!$A:$A,0),1)+$G1041,""),AND($B1041&lt;&gt;"",$D1041="COST",$G1041&lt;0),$G1041,TRUE,)</f>
        <v/>
      </c>
      <c r="J1041" s="235" t="str">
        <f t="array" ref="J1041">IFS(AND($B1041&lt;&gt;"",$E1041&lt;&gt;""),IF(INDEX(HistoricSummary!E:E,MATCH($C1041,HistoricSummary!$A:$A,0),1)&lt;&gt;"",$E1041*INDEX(HistoricSummary!E:E,MATCH($C1041,HistoricSummary!$A:$A,0),1)+$G1041,""),AND($B1041&lt;&gt;"",$D1041="COST",$G1041&lt;0),$G1041,TRUE,)</f>
        <v/>
      </c>
    </row>
    <row r="1042">
      <c r="A1042" s="184">
        <v>40983.0</v>
      </c>
      <c r="B1042" s="273"/>
      <c r="C1042" s="274" t="s">
        <v>1399</v>
      </c>
      <c r="D1042" s="275" t="s">
        <v>414</v>
      </c>
      <c r="E1042" s="17">
        <v>135.0</v>
      </c>
      <c r="F1042" s="232">
        <v>12.96</v>
      </c>
      <c r="G1042" s="233">
        <v>-1750.5</v>
      </c>
      <c r="H1042" s="236" t="s">
        <v>1406</v>
      </c>
      <c r="I1042" s="235" t="str">
        <f t="array" ref="I1042">IFS(AND($B1042&lt;&gt;"",$E1042&lt;&gt;""),IF(INDEX(HistoricSummary!D:D,MATCH($C1042,HistoricSummary!$A:$A,0),1)&lt;&gt;"",$E1042*INDEX(HistoricSummary!D:D,MATCH($C1042,HistoricSummary!$A:$A,0),1)+$G1042,""),AND($B1042&lt;&gt;"",$D1042="COST",$G1042&lt;0),$G1042,TRUE,)</f>
        <v/>
      </c>
      <c r="J1042" s="235" t="str">
        <f t="array" ref="J1042">IFS(AND($B1042&lt;&gt;"",$E1042&lt;&gt;""),IF(INDEX(HistoricSummary!E:E,MATCH($C1042,HistoricSummary!$A:$A,0),1)&lt;&gt;"",$E1042*INDEX(HistoricSummary!E:E,MATCH($C1042,HistoricSummary!$A:$A,0),1)+$G1042,""),AND($B1042&lt;&gt;"",$D1042="COST",$G1042&lt;0),$G1042,TRUE,)</f>
        <v/>
      </c>
    </row>
    <row r="1043">
      <c r="A1043" s="184">
        <v>40983.0</v>
      </c>
      <c r="C1043" s="57" t="s">
        <v>1375</v>
      </c>
      <c r="D1043" s="19" t="s">
        <v>414</v>
      </c>
      <c r="E1043" s="17">
        <v>110.0</v>
      </c>
      <c r="F1043" s="232">
        <v>11.24</v>
      </c>
      <c r="G1043" s="233">
        <v>-1236.96</v>
      </c>
      <c r="H1043" s="236" t="s">
        <v>1407</v>
      </c>
      <c r="I1043" s="235" t="str">
        <f t="array" ref="I1043">IFS(AND($B1043&lt;&gt;"",$E1043&lt;&gt;""),IF(INDEX(HistoricSummary!D:D,MATCH($C1043,HistoricSummary!$A:$A,0),1)&lt;&gt;"",$E1043*INDEX(HistoricSummary!D:D,MATCH($C1043,HistoricSummary!$A:$A,0),1)+$G1043,""),AND($B1043&lt;&gt;"",$D1043="COST",$G1043&lt;0),$G1043,TRUE,)</f>
        <v/>
      </c>
      <c r="J1043" s="235" t="str">
        <f t="array" ref="J1043">IFS(AND($B1043&lt;&gt;"",$E1043&lt;&gt;""),IF(INDEX(HistoricSummary!E:E,MATCH($C1043,HistoricSummary!$A:$A,0),1)&lt;&gt;"",$E1043*INDEX(HistoricSummary!E:E,MATCH($C1043,HistoricSummary!$A:$A,0),1)+$G1043,""),AND($B1043&lt;&gt;"",$D1043="COST",$G1043&lt;0),$G1043,TRUE,)</f>
        <v/>
      </c>
    </row>
    <row r="1044">
      <c r="A1044" s="184">
        <v>40983.0</v>
      </c>
      <c r="C1044" s="57" t="s">
        <v>1408</v>
      </c>
      <c r="D1044" s="19" t="s">
        <v>415</v>
      </c>
      <c r="E1044" s="17">
        <v>-445.0</v>
      </c>
      <c r="F1044" s="232">
        <v>5.09</v>
      </c>
      <c r="G1044" s="233">
        <v>2262.12</v>
      </c>
      <c r="H1044" s="236" t="s">
        <v>1409</v>
      </c>
      <c r="I1044" s="235" t="str">
        <f t="array" ref="I1044">IFS(AND($B1044&lt;&gt;"",$E1044&lt;&gt;""),IF(INDEX(HistoricSummary!D:D,MATCH($C1044,HistoricSummary!$A:$A,0),1)&lt;&gt;"",$E1044*INDEX(HistoricSummary!D:D,MATCH($C1044,HistoricSummary!$A:$A,0),1)+$G1044,""),AND($B1044&lt;&gt;"",$D1044="COST",$G1044&lt;0),$G1044,TRUE,)</f>
        <v/>
      </c>
      <c r="J1044" s="235" t="str">
        <f t="array" ref="J1044">IFS(AND($B1044&lt;&gt;"",$E1044&lt;&gt;""),IF(INDEX(HistoricSummary!E:E,MATCH($C1044,HistoricSummary!$A:$A,0),1)&lt;&gt;"",$E1044*INDEX(HistoricSummary!E:E,MATCH($C1044,HistoricSummary!$A:$A,0),1)+$G1044,""),AND($B1044&lt;&gt;"",$D1044="COST",$G1044&lt;0),$G1044,TRUE,)</f>
        <v/>
      </c>
    </row>
    <row r="1045">
      <c r="A1045" s="184">
        <v>40980.0</v>
      </c>
      <c r="B1045" s="171"/>
      <c r="C1045" s="261"/>
      <c r="D1045" s="19" t="s">
        <v>454</v>
      </c>
      <c r="E1045" s="171"/>
      <c r="F1045" s="232"/>
      <c r="G1045" s="233">
        <v>1700.0</v>
      </c>
      <c r="H1045" s="236" t="s">
        <v>1410</v>
      </c>
      <c r="I1045" s="235" t="str">
        <f t="array" ref="I1045">IFS(AND($B1045&lt;&gt;"",$E1045&lt;&gt;""),IF(INDEX(HistoricSummary!D:D,MATCH($C1045,HistoricSummary!$A:$A,0),1)&lt;&gt;"",$E1045*INDEX(HistoricSummary!D:D,MATCH($C1045,HistoricSummary!$A:$A,0),1)+$G1045,""),AND($B1045&lt;&gt;"",$D1045="COST",$G1045&lt;0),$G1045,TRUE,)</f>
        <v/>
      </c>
      <c r="J1045" s="235" t="str">
        <f t="array" ref="J1045">IFS(AND($B1045&lt;&gt;"",$E1045&lt;&gt;""),IF(INDEX(HistoricSummary!E:E,MATCH($C1045,HistoricSummary!$A:$A,0),1)&lt;&gt;"",$E1045*INDEX(HistoricSummary!E:E,MATCH($C1045,HistoricSummary!$A:$A,0),1)+$G1045,""),AND($B1045&lt;&gt;"",$D1045="COST",$G1045&lt;0),$G1045,TRUE,)</f>
        <v/>
      </c>
    </row>
    <row r="1046">
      <c r="A1046" s="184">
        <v>40970.0</v>
      </c>
      <c r="C1046" s="57" t="s">
        <v>1385</v>
      </c>
      <c r="D1046" s="19" t="s">
        <v>414</v>
      </c>
      <c r="E1046" s="17">
        <v>100.0</v>
      </c>
      <c r="F1046" s="232">
        <v>14.2</v>
      </c>
      <c r="G1046" s="233">
        <v>-1421.28</v>
      </c>
      <c r="H1046" s="236" t="s">
        <v>1411</v>
      </c>
      <c r="I1046" s="235" t="str">
        <f t="array" ref="I1046">IFS(AND($B1046&lt;&gt;"",$E1046&lt;&gt;""),IF(INDEX(HistoricSummary!D:D,MATCH($C1046,HistoricSummary!$A:$A,0),1)&lt;&gt;"",$E1046*INDEX(HistoricSummary!D:D,MATCH($C1046,HistoricSummary!$A:$A,0),1)+$G1046,""),AND($B1046&lt;&gt;"",$D1046="COST",$G1046&lt;0),$G1046,TRUE,)</f>
        <v/>
      </c>
      <c r="J1046" s="235" t="str">
        <f t="array" ref="J1046">IFS(AND($B1046&lt;&gt;"",$E1046&lt;&gt;""),IF(INDEX(HistoricSummary!E:E,MATCH($C1046,HistoricSummary!$A:$A,0),1)&lt;&gt;"",$E1046*INDEX(HistoricSummary!E:E,MATCH($C1046,HistoricSummary!$A:$A,0),1)+$G1046,""),AND($B1046&lt;&gt;"",$D1046="COST",$G1046&lt;0),$G1046,TRUE,)</f>
        <v/>
      </c>
    </row>
    <row r="1047">
      <c r="A1047" s="184">
        <v>40969.0</v>
      </c>
      <c r="C1047" s="57" t="s">
        <v>1385</v>
      </c>
      <c r="D1047" s="19" t="s">
        <v>414</v>
      </c>
      <c r="E1047" s="17">
        <v>155.0</v>
      </c>
      <c r="F1047" s="232">
        <v>14.67</v>
      </c>
      <c r="G1047" s="233">
        <v>-2275.13</v>
      </c>
      <c r="H1047" s="236" t="s">
        <v>1412</v>
      </c>
      <c r="I1047" s="235" t="str">
        <f t="array" ref="I1047">IFS(AND($B1047&lt;&gt;"",$E1047&lt;&gt;""),IF(INDEX(HistoricSummary!D:D,MATCH($C1047,HistoricSummary!$A:$A,0),1)&lt;&gt;"",$E1047*INDEX(HistoricSummary!D:D,MATCH($C1047,HistoricSummary!$A:$A,0),1)+$G1047,""),AND($B1047&lt;&gt;"",$D1047="COST",$G1047&lt;0),$G1047,TRUE,)</f>
        <v/>
      </c>
      <c r="J1047" s="235" t="str">
        <f t="array" ref="J1047">IFS(AND($B1047&lt;&gt;"",$E1047&lt;&gt;""),IF(INDEX(HistoricSummary!E:E,MATCH($C1047,HistoricSummary!$A:$A,0),1)&lt;&gt;"",$E1047*INDEX(HistoricSummary!E:E,MATCH($C1047,HistoricSummary!$A:$A,0),1)+$G1047,""),AND($B1047&lt;&gt;"",$D1047="COST",$G1047&lt;0),$G1047,TRUE,)</f>
        <v/>
      </c>
    </row>
    <row r="1048">
      <c r="A1048" s="184">
        <v>40969.0</v>
      </c>
      <c r="C1048" s="57" t="s">
        <v>1413</v>
      </c>
      <c r="D1048" s="19" t="s">
        <v>415</v>
      </c>
      <c r="E1048" s="17">
        <v>-250.0</v>
      </c>
      <c r="F1048" s="232">
        <v>9.68</v>
      </c>
      <c r="G1048" s="233">
        <v>2416.57</v>
      </c>
      <c r="H1048" s="236" t="s">
        <v>1414</v>
      </c>
      <c r="I1048" s="235" t="str">
        <f t="array" ref="I1048">IFS(AND($B1048&lt;&gt;"",$E1048&lt;&gt;""),IF(INDEX(HistoricSummary!D:D,MATCH($C1048,HistoricSummary!$A:$A,0),1)&lt;&gt;"",$E1048*INDEX(HistoricSummary!D:D,MATCH($C1048,HistoricSummary!$A:$A,0),1)+$G1048,""),AND($B1048&lt;&gt;"",$D1048="COST",$G1048&lt;0),$G1048,TRUE,)</f>
        <v/>
      </c>
      <c r="J1048" s="235" t="str">
        <f t="array" ref="J1048">IFS(AND($B1048&lt;&gt;"",$E1048&lt;&gt;""),IF(INDEX(HistoricSummary!E:E,MATCH($C1048,HistoricSummary!$A:$A,0),1)&lt;&gt;"",$E1048*INDEX(HistoricSummary!E:E,MATCH($C1048,HistoricSummary!$A:$A,0),1)+$G1048,""),AND($B1048&lt;&gt;"",$D1048="COST",$G1048&lt;0),$G1048,TRUE,)</f>
        <v/>
      </c>
    </row>
    <row r="1049">
      <c r="A1049" s="184">
        <v>40968.0</v>
      </c>
      <c r="B1049" s="171"/>
      <c r="C1049" s="261"/>
      <c r="D1049" s="19" t="s">
        <v>454</v>
      </c>
      <c r="E1049" s="171"/>
      <c r="F1049" s="232"/>
      <c r="G1049" s="233">
        <v>1280.0</v>
      </c>
      <c r="H1049" s="236" t="s">
        <v>1415</v>
      </c>
      <c r="I1049" s="235" t="str">
        <f t="array" ref="I1049">IFS(AND($B1049&lt;&gt;"",$E1049&lt;&gt;""),IF(INDEX(HistoricSummary!D:D,MATCH($C1049,HistoricSummary!$A:$A,0),1)&lt;&gt;"",$E1049*INDEX(HistoricSummary!D:D,MATCH($C1049,HistoricSummary!$A:$A,0),1)+$G1049,""),AND($B1049&lt;&gt;"",$D1049="COST",$G1049&lt;0),$G1049,TRUE,)</f>
        <v/>
      </c>
      <c r="J1049" s="235" t="str">
        <f t="array" ref="J1049">IFS(AND($B1049&lt;&gt;"",$E1049&lt;&gt;""),IF(INDEX(HistoricSummary!E:E,MATCH($C1049,HistoricSummary!$A:$A,0),1)&lt;&gt;"",$E1049*INDEX(HistoricSummary!E:E,MATCH($C1049,HistoricSummary!$A:$A,0),1)+$G1049,""),AND($B1049&lt;&gt;"",$D1049="COST",$G1049&lt;0),$G1049,TRUE,)</f>
        <v/>
      </c>
    </row>
    <row r="1050">
      <c r="A1050" s="184">
        <v>40967.0</v>
      </c>
      <c r="C1050" s="57" t="s">
        <v>1408</v>
      </c>
      <c r="D1050" s="19" t="s">
        <v>414</v>
      </c>
      <c r="E1050" s="17">
        <v>445.0</v>
      </c>
      <c r="F1050" s="232">
        <v>4.69</v>
      </c>
      <c r="G1050" s="233">
        <v>-2088.93</v>
      </c>
      <c r="H1050" s="236" t="s">
        <v>1416</v>
      </c>
      <c r="I1050" s="235" t="str">
        <f t="array" ref="I1050">IFS(AND($B1050&lt;&gt;"",$E1050&lt;&gt;""),IF(INDEX(HistoricSummary!D:D,MATCH($C1050,HistoricSummary!$A:$A,0),1)&lt;&gt;"",$E1050*INDEX(HistoricSummary!D:D,MATCH($C1050,HistoricSummary!$A:$A,0),1)+$G1050,""),AND($B1050&lt;&gt;"",$D1050="COST",$G1050&lt;0),$G1050,TRUE,)</f>
        <v/>
      </c>
      <c r="J1050" s="235" t="str">
        <f t="array" ref="J1050">IFS(AND($B1050&lt;&gt;"",$E1050&lt;&gt;""),IF(INDEX(HistoricSummary!E:E,MATCH($C1050,HistoricSummary!$A:$A,0),1)&lt;&gt;"",$E1050*INDEX(HistoricSummary!E:E,MATCH($C1050,HistoricSummary!$A:$A,0),1)+$G1050,""),AND($B1050&lt;&gt;"",$D1050="COST",$G1050&lt;0),$G1050,TRUE,)</f>
        <v/>
      </c>
    </row>
    <row r="1051">
      <c r="A1051" s="184">
        <v>40967.0</v>
      </c>
      <c r="C1051" s="57" t="s">
        <v>1375</v>
      </c>
      <c r="D1051" s="19" t="s">
        <v>414</v>
      </c>
      <c r="E1051" s="17">
        <v>100.0</v>
      </c>
      <c r="F1051" s="232">
        <v>11.66</v>
      </c>
      <c r="G1051" s="233">
        <v>-1166.55</v>
      </c>
      <c r="H1051" s="236" t="s">
        <v>1417</v>
      </c>
      <c r="I1051" s="235" t="str">
        <f t="array" ref="I1051">IFS(AND($B1051&lt;&gt;"",$E1051&lt;&gt;""),IF(INDEX(HistoricSummary!D:D,MATCH($C1051,HistoricSummary!$A:$A,0),1)&lt;&gt;"",$E1051*INDEX(HistoricSummary!D:D,MATCH($C1051,HistoricSummary!$A:$A,0),1)+$G1051,""),AND($B1051&lt;&gt;"",$D1051="COST",$G1051&lt;0),$G1051,TRUE,)</f>
        <v/>
      </c>
      <c r="J1051" s="235" t="str">
        <f t="array" ref="J1051">IFS(AND($B1051&lt;&gt;"",$E1051&lt;&gt;""),IF(INDEX(HistoricSummary!E:E,MATCH($C1051,HistoricSummary!$A:$A,0),1)&lt;&gt;"",$E1051*INDEX(HistoricSummary!E:E,MATCH($C1051,HistoricSummary!$A:$A,0),1)+$G1051,""),AND($B1051&lt;&gt;"",$D1051="COST",$G1051&lt;0),$G1051,TRUE,)</f>
        <v/>
      </c>
    </row>
    <row r="1052">
      <c r="A1052" s="184">
        <v>40967.0</v>
      </c>
      <c r="C1052" s="57" t="s">
        <v>1317</v>
      </c>
      <c r="D1052" s="19" t="s">
        <v>414</v>
      </c>
      <c r="E1052" s="17">
        <v>70.0</v>
      </c>
      <c r="F1052" s="232">
        <v>18.58</v>
      </c>
      <c r="G1052" s="233">
        <v>-1301.77</v>
      </c>
      <c r="H1052" s="236" t="s">
        <v>1418</v>
      </c>
      <c r="I1052" s="235" t="str">
        <f t="array" ref="I1052">IFS(AND($B1052&lt;&gt;"",$E1052&lt;&gt;""),IF(INDEX(HistoricSummary!D:D,MATCH($C1052,HistoricSummary!$A:$A,0),1)&lt;&gt;"",$E1052*INDEX(HistoricSummary!D:D,MATCH($C1052,HistoricSummary!$A:$A,0),1)+$G1052,""),AND($B1052&lt;&gt;"",$D1052="COST",$G1052&lt;0),$G1052,TRUE,)</f>
        <v/>
      </c>
      <c r="J1052" s="235" t="str">
        <f t="array" ref="J1052">IFS(AND($B1052&lt;&gt;"",$E1052&lt;&gt;""),IF(INDEX(HistoricSummary!E:E,MATCH($C1052,HistoricSummary!$A:$A,0),1)&lt;&gt;"",$E1052*INDEX(HistoricSummary!E:E,MATCH($C1052,HistoricSummary!$A:$A,0),1)+$G1052,""),AND($B1052&lt;&gt;"",$D1052="COST",$G1052&lt;0),$G1052,TRUE,)</f>
        <v/>
      </c>
    </row>
    <row r="1053">
      <c r="A1053" s="184">
        <v>40963.0</v>
      </c>
      <c r="B1053" s="171"/>
      <c r="C1053" s="261"/>
      <c r="D1053" s="19" t="s">
        <v>454</v>
      </c>
      <c r="E1053" s="171"/>
      <c r="F1053" s="232"/>
      <c r="G1053" s="233">
        <v>5000.0</v>
      </c>
      <c r="H1053" s="236" t="s">
        <v>1419</v>
      </c>
      <c r="I1053" s="235" t="str">
        <f t="array" ref="I1053">IFS(AND($B1053&lt;&gt;"",$E1053&lt;&gt;""),IF(INDEX(HistoricSummary!D:D,MATCH($C1053,HistoricSummary!$A:$A,0),1)&lt;&gt;"",$E1053*INDEX(HistoricSummary!D:D,MATCH($C1053,HistoricSummary!$A:$A,0),1)+$G1053,""),AND($B1053&lt;&gt;"",$D1053="COST",$G1053&lt;0),$G1053,TRUE,)</f>
        <v/>
      </c>
      <c r="J1053" s="235" t="str">
        <f t="array" ref="J1053">IFS(AND($B1053&lt;&gt;"",$E1053&lt;&gt;""),IF(INDEX(HistoricSummary!E:E,MATCH($C1053,HistoricSummary!$A:$A,0),1)&lt;&gt;"",$E1053*INDEX(HistoricSummary!E:E,MATCH($C1053,HistoricSummary!$A:$A,0),1)+$G1053,""),AND($B1053&lt;&gt;"",$D1053="COST",$G1053&lt;0),$G1053,TRUE,)</f>
        <v/>
      </c>
    </row>
    <row r="1054">
      <c r="A1054" s="184">
        <v>40917.0</v>
      </c>
      <c r="C1054" s="57" t="s">
        <v>1413</v>
      </c>
      <c r="D1054" s="19" t="s">
        <v>414</v>
      </c>
      <c r="E1054" s="17">
        <v>250.0</v>
      </c>
      <c r="F1054" s="232">
        <v>8.06</v>
      </c>
      <c r="G1054" s="233">
        <v>-2015.56</v>
      </c>
      <c r="H1054" s="236" t="s">
        <v>1420</v>
      </c>
      <c r="I1054" s="235" t="str">
        <f t="array" ref="I1054">IFS(AND($B1054&lt;&gt;"",$E1054&lt;&gt;""),IF(INDEX(HistoricSummary!D:D,MATCH($C1054,HistoricSummary!$A:$A,0),1)&lt;&gt;"",$E1054*INDEX(HistoricSummary!D:D,MATCH($C1054,HistoricSummary!$A:$A,0),1)+$G1054,""),AND($B1054&lt;&gt;"",$D1054="COST",$G1054&lt;0),$G1054,TRUE,)</f>
        <v/>
      </c>
      <c r="J1054" s="235" t="str">
        <f t="array" ref="J1054">IFS(AND($B1054&lt;&gt;"",$E1054&lt;&gt;""),IF(INDEX(HistoricSummary!E:E,MATCH($C1054,HistoricSummary!$A:$A,0),1)&lt;&gt;"",$E1054*INDEX(HistoricSummary!E:E,MATCH($C1054,HistoricSummary!$A:$A,0),1)+$G1054,""),AND($B1054&lt;&gt;"",$D1054="COST",$G1054&lt;0),$G1054,TRUE,)</f>
        <v/>
      </c>
    </row>
    <row r="1055">
      <c r="A1055" s="184">
        <v>40914.0</v>
      </c>
      <c r="B1055" s="171"/>
      <c r="C1055" s="261"/>
      <c r="D1055" s="19" t="s">
        <v>454</v>
      </c>
      <c r="E1055" s="171"/>
      <c r="F1055" s="232"/>
      <c r="G1055" s="233">
        <v>2000.0</v>
      </c>
      <c r="H1055" s="236" t="s">
        <v>784</v>
      </c>
      <c r="I1055" s="235" t="str">
        <f t="array" ref="I1055">IFS(AND($B1055&lt;&gt;"",$E1055&lt;&gt;""),IF(INDEX(HistoricSummary!D:D,MATCH($C1055,HistoricSummary!$A:$A,0),1)&lt;&gt;"",$E1055*INDEX(HistoricSummary!D:D,MATCH($C1055,HistoricSummary!$A:$A,0),1)+$G1055,""),AND($B1055&lt;&gt;"",$D1055="COST",$G1055&lt;0),$G1055,TRUE,)</f>
        <v/>
      </c>
      <c r="J1055" s="235" t="str">
        <f t="array" ref="J1055">IFS(AND($B1055&lt;&gt;"",$E1055&lt;&gt;""),IF(INDEX(HistoricSummary!E:E,MATCH($C1055,HistoricSummary!$A:$A,0),1)&lt;&gt;"",$E1055*INDEX(HistoricSummary!E:E,MATCH($C1055,HistoricSummary!$A:$A,0),1)+$G1055,""),AND($B1055&lt;&gt;"",$D1055="COST",$G1055&lt;0),$G1055,TRUE,)</f>
        <v/>
      </c>
    </row>
    <row r="1056">
      <c r="A1056" s="184">
        <v>40906.0</v>
      </c>
      <c r="C1056" s="57" t="s">
        <v>1375</v>
      </c>
      <c r="D1056" s="19" t="s">
        <v>414</v>
      </c>
      <c r="E1056" s="17">
        <v>245.0</v>
      </c>
      <c r="F1056" s="232">
        <v>11.815</v>
      </c>
      <c r="G1056" s="233">
        <v>-2897.57</v>
      </c>
      <c r="H1056" s="236" t="s">
        <v>1421</v>
      </c>
      <c r="I1056" s="235" t="str">
        <f t="array" ref="I1056">IFS(AND($B1056&lt;&gt;"",$E1056&lt;&gt;""),IF(INDEX(HistoricSummary!D:D,MATCH($C1056,HistoricSummary!$A:$A,0),1)&lt;&gt;"",$E1056*INDEX(HistoricSummary!D:D,MATCH($C1056,HistoricSummary!$A:$A,0),1)+$G1056,""),AND($B1056&lt;&gt;"",$D1056="COST",$G1056&lt;0),$G1056,TRUE,)</f>
        <v/>
      </c>
      <c r="J1056" s="235" t="str">
        <f t="array" ref="J1056">IFS(AND($B1056&lt;&gt;"",$E1056&lt;&gt;""),IF(INDEX(HistoricSummary!E:E,MATCH($C1056,HistoricSummary!$A:$A,0),1)&lt;&gt;"",$E1056*INDEX(HistoricSummary!E:E,MATCH($C1056,HistoricSummary!$A:$A,0),1)+$G1056,""),AND($B1056&lt;&gt;"",$D1056="COST",$G1056&lt;0),$G1056,TRUE,)</f>
        <v/>
      </c>
    </row>
    <row r="1057">
      <c r="A1057" s="184">
        <v>40828.0</v>
      </c>
      <c r="B1057" s="269"/>
      <c r="C1057" s="272" t="s">
        <v>1375</v>
      </c>
      <c r="D1057" s="269" t="s">
        <v>415</v>
      </c>
      <c r="E1057" s="17">
        <v>-555.0</v>
      </c>
      <c r="F1057" s="232">
        <f t="shared" ref="F1057:F1058" si="4">-G1057/E1057</f>
        <v>17.61367568</v>
      </c>
      <c r="G1057" s="233">
        <v>9775.59</v>
      </c>
      <c r="H1057" s="236" t="s">
        <v>1422</v>
      </c>
      <c r="I1057" s="235" t="str">
        <f t="array" ref="I1057">IFS(AND($B1057&lt;&gt;"",$E1057&lt;&gt;""),IF(INDEX(HistoricSummary!D:D,MATCH($C1057,HistoricSummary!$A:$A,0),1)&lt;&gt;"",$E1057*INDEX(HistoricSummary!D:D,MATCH($C1057,HistoricSummary!$A:$A,0),1)+$G1057,""),AND($B1057&lt;&gt;"",$D1057="COST",$G1057&lt;0),$G1057,TRUE,)</f>
        <v/>
      </c>
      <c r="J1057" s="235" t="str">
        <f t="array" ref="J1057">IFS(AND($B1057&lt;&gt;"",$E1057&lt;&gt;""),IF(INDEX(HistoricSummary!E:E,MATCH($C1057,HistoricSummary!$A:$A,0),1)&lt;&gt;"",$E1057*INDEX(HistoricSummary!E:E,MATCH($C1057,HistoricSummary!$A:$A,0),1)+$G1057,""),AND($B1057&lt;&gt;"",$D1057="COST",$G1057&lt;0),$G1057,TRUE,)</f>
        <v/>
      </c>
    </row>
    <row r="1058">
      <c r="A1058" s="184">
        <v>40668.0</v>
      </c>
      <c r="B1058" s="269"/>
      <c r="C1058" s="272" t="s">
        <v>1375</v>
      </c>
      <c r="D1058" s="269" t="s">
        <v>414</v>
      </c>
      <c r="E1058" s="17">
        <v>555.0</v>
      </c>
      <c r="F1058" s="232">
        <f t="shared" si="4"/>
        <v>15.58</v>
      </c>
      <c r="G1058" s="233">
        <v>-8646.9</v>
      </c>
      <c r="H1058" s="236" t="s">
        <v>1423</v>
      </c>
      <c r="I1058" s="235" t="str">
        <f t="array" ref="I1058">IFS(AND($B1058&lt;&gt;"",$E1058&lt;&gt;""),IF(INDEX(HistoricSummary!D:D,MATCH($C1058,HistoricSummary!$A:$A,0),1)&lt;&gt;"",$E1058*INDEX(HistoricSummary!D:D,MATCH($C1058,HistoricSummary!$A:$A,0),1)+$G1058,""),AND($B1058&lt;&gt;"",$D1058="COST",$G1058&lt;0),$G1058,TRUE,)</f>
        <v/>
      </c>
      <c r="J1058" s="235" t="str">
        <f t="array" ref="J1058">IFS(AND($B1058&lt;&gt;"",$E1058&lt;&gt;""),IF(INDEX(HistoricSummary!E:E,MATCH($C1058,HistoricSummary!$A:$A,0),1)&lt;&gt;"",$E1058*INDEX(HistoricSummary!E:E,MATCH($C1058,HistoricSummary!$A:$A,0),1)+$G1058,""),AND($B1058&lt;&gt;"",$D1058="COST",$G1058&lt;0),$G1058,TRUE,)</f>
        <v/>
      </c>
    </row>
    <row r="1059">
      <c r="A1059" s="184">
        <v>40639.0</v>
      </c>
      <c r="B1059" s="276"/>
      <c r="C1059" s="277"/>
      <c r="D1059" s="278" t="s">
        <v>454</v>
      </c>
      <c r="E1059" s="278"/>
      <c r="F1059" s="232"/>
      <c r="G1059" s="233">
        <f>10000-133.41</f>
        <v>9866.59</v>
      </c>
      <c r="H1059" s="236" t="s">
        <v>1424</v>
      </c>
      <c r="I1059" s="235" t="str">
        <f t="array" ref="I1059">IFS(AND($B1059&lt;&gt;"",$E1059&lt;&gt;""),IF(INDEX(HistoricSummary!D:D,MATCH($C1059,HistoricSummary!$A:$A,0),1)&lt;&gt;"",$E1059*INDEX(HistoricSummary!D:D,MATCH($C1059,HistoricSummary!$A:$A,0),1)+$G1059,""),AND($B1059&lt;&gt;"",$D1059="COST",$G1059&lt;0),$G1059,TRUE,)</f>
        <v/>
      </c>
      <c r="J1059" s="235" t="str">
        <f t="array" ref="J1059">IFS(AND($B1059&lt;&gt;"",$E1059&lt;&gt;""),IF(INDEX(HistoricSummary!E:E,MATCH($C1059,HistoricSummary!$A:$A,0),1)&lt;&gt;"",$E1059*INDEX(HistoricSummary!E:E,MATCH($C1059,HistoricSummary!$A:$A,0),1)+$G1059,""),AND($B1059&lt;&gt;"",$D1059="COST",$G1059&lt;0),$G1059,TRUE,)</f>
        <v/>
      </c>
    </row>
  </sheetData>
  <autoFilter ref="$A$1:$J$1059">
    <sortState ref="A1:J1059">
      <sortCondition descending="1" ref="A1:A1059"/>
    </sortState>
  </autoFilter>
  <conditionalFormatting sqref="I2:J1059">
    <cfRule type="expression" dxfId="7" priority="1">
      <formula>AND($D2&lt;&gt;"COST",I2&lt;&gt;"",I2&gt;0.01)</formula>
    </cfRule>
  </conditionalFormatting>
  <conditionalFormatting sqref="I2:J1059">
    <cfRule type="expression" dxfId="12" priority="2">
      <formula>AND($D2&lt;&gt;"COST",I2&lt;&gt;"",I2&lt;0.01)</formula>
    </cfRule>
  </conditionalFormatting>
  <conditionalFormatting sqref="A1:G1059">
    <cfRule type="expression" dxfId="6" priority="3">
      <formula>$H1="XXXXXX"</formula>
    </cfRule>
  </conditionalFormatting>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2.75"/>
  <cols>
    <col customWidth="1" min="1" max="1" width="10.71"/>
    <col customWidth="1" min="2" max="2" width="8.29"/>
    <col customWidth="1" min="3" max="3" width="6.57"/>
    <col customWidth="1" min="4" max="4" width="8.29"/>
    <col customWidth="1" min="5" max="5" width="9.43"/>
    <col customWidth="1" min="6" max="6" width="14.57"/>
    <col customWidth="1" min="7" max="7" width="13.71"/>
    <col customWidth="1" min="8" max="10" width="12.29"/>
  </cols>
  <sheetData>
    <row r="1">
      <c r="A1" s="9" t="s">
        <v>46</v>
      </c>
      <c r="B1" s="9" t="s">
        <v>387</v>
      </c>
      <c r="C1" s="9" t="s">
        <v>1425</v>
      </c>
      <c r="D1" s="9" t="s">
        <v>388</v>
      </c>
      <c r="E1" s="9" t="s">
        <v>1426</v>
      </c>
      <c r="F1" s="9" t="s">
        <v>1427</v>
      </c>
      <c r="G1" s="9" t="s">
        <v>1428</v>
      </c>
      <c r="H1" s="9" t="s">
        <v>1429</v>
      </c>
      <c r="I1" s="9" t="s">
        <v>429</v>
      </c>
      <c r="J1" s="9" t="s">
        <v>18</v>
      </c>
    </row>
    <row r="2">
      <c r="A2" s="242">
        <f>DateTime!$B$1-TIME(2,0,0)</f>
        <v>44146.89305</v>
      </c>
      <c r="B2" s="279">
        <f>Dashboard!$B$41</f>
        <v>0.2170913258</v>
      </c>
      <c r="C2" s="279">
        <f>Dashboard!$B$43</f>
        <v>0.04001598122</v>
      </c>
      <c r="D2" s="279">
        <f>Dashboard!$B$39</f>
        <v>0.2369607686</v>
      </c>
      <c r="E2" s="280">
        <f>$F2/Dashboard!$B$35</f>
        <v>0.006370609052</v>
      </c>
      <c r="F2" s="235">
        <f t="array" ref="F2">INDEX($H:$H,2)-INDEX($H:$H,3)</f>
        <v>8037.6128</v>
      </c>
      <c r="G2" s="235">
        <f t="array" ref="G2">INDEX($I:$I,2)-INDEX($I:$I,3)</f>
        <v>31.15353798</v>
      </c>
      <c r="H2" s="235">
        <f>Dashboard!$B$38</f>
        <v>210172.3268</v>
      </c>
      <c r="I2" s="235">
        <f>SUM(Historic!J:J)</f>
        <v>218887.4298</v>
      </c>
      <c r="J2" s="235">
        <f>Dashboard!$B$37</f>
        <v>381353.4668</v>
      </c>
    </row>
    <row r="3">
      <c r="A3" s="184">
        <v>44145.98314383102</v>
      </c>
      <c r="B3" s="281">
        <v>0.20821786871659256</v>
      </c>
      <c r="C3" s="281">
        <v>0.040052264670740176</v>
      </c>
      <c r="D3" s="281">
        <v>0.22810532757710708</v>
      </c>
      <c r="E3" s="282">
        <v>-0.004655737459912155</v>
      </c>
      <c r="F3" s="233">
        <v>-5836.587999999989</v>
      </c>
      <c r="G3" s="233">
        <v>-110.5716741651704</v>
      </c>
      <c r="H3" s="233">
        <v>202134.71400000015</v>
      </c>
      <c r="I3" s="233">
        <v>218856.27626046483</v>
      </c>
      <c r="J3" s="233">
        <v>373315.85400000017</v>
      </c>
    </row>
    <row r="4">
      <c r="A4" s="184">
        <v>44144.98323372685</v>
      </c>
      <c r="B4" s="281">
        <v>0.21510868110902046</v>
      </c>
      <c r="C4" s="281">
        <v>0.04010900974676984</v>
      </c>
      <c r="D4" s="281">
        <v>0.23502431603833795</v>
      </c>
      <c r="E4" s="282">
        <v>-3.692076849418052E-4</v>
      </c>
      <c r="F4" s="233">
        <v>-465.00599999999395</v>
      </c>
      <c r="G4" s="233">
        <v>9572.816103622754</v>
      </c>
      <c r="H4" s="233">
        <v>207971.30200000014</v>
      </c>
      <c r="I4" s="233">
        <v>218966.84793463</v>
      </c>
      <c r="J4" s="233">
        <v>379152.44200000016</v>
      </c>
    </row>
    <row r="5">
      <c r="A5" s="184">
        <v>44141.98372193287</v>
      </c>
      <c r="B5" s="281">
        <v>0.2161561704025122</v>
      </c>
      <c r="C5" s="281">
        <v>0.04021065310919602</v>
      </c>
      <c r="D5" s="281">
        <v>0.23614673536020883</v>
      </c>
      <c r="E5" s="282">
        <v>-0.009810031037267257</v>
      </c>
      <c r="F5" s="233">
        <v>-12246.461999999825</v>
      </c>
      <c r="G5" s="233">
        <v>239.52791472847457</v>
      </c>
      <c r="H5" s="233">
        <v>208436.30800000014</v>
      </c>
      <c r="I5" s="233">
        <v>209394.03183100725</v>
      </c>
      <c r="J5" s="233">
        <v>379595.8580000001</v>
      </c>
    </row>
    <row r="6">
      <c r="A6" s="184">
        <v>44140.98327802084</v>
      </c>
      <c r="B6" s="281">
        <v>0.23036087846917597</v>
      </c>
      <c r="C6" s="281">
        <v>0.040268963827595684</v>
      </c>
      <c r="D6" s="281">
        <v>0.2503838588202303</v>
      </c>
      <c r="E6" s="282">
        <v>-0.00459575879710587</v>
      </c>
      <c r="F6" s="233">
        <v>-5764.8559999999125</v>
      </c>
      <c r="G6" s="233">
        <v>1935.5983643411892</v>
      </c>
      <c r="H6" s="233">
        <v>220682.76999999996</v>
      </c>
      <c r="I6" s="233">
        <v>209154.50391627877</v>
      </c>
      <c r="J6" s="233">
        <v>391839.29999999993</v>
      </c>
    </row>
    <row r="7">
      <c r="A7" s="184">
        <v>44139.983197615744</v>
      </c>
      <c r="B7" s="281">
        <v>0.23725852133143982</v>
      </c>
      <c r="C7" s="281">
        <v>0.040329653400202094</v>
      </c>
      <c r="D7" s="281">
        <v>0.25731180341688276</v>
      </c>
      <c r="E7" s="282">
        <v>0.01972769576006068</v>
      </c>
      <c r="F7" s="233">
        <v>25151.595999999932</v>
      </c>
      <c r="G7" s="233">
        <v>329.4541472866258</v>
      </c>
      <c r="H7" s="233">
        <v>226447.62599999987</v>
      </c>
      <c r="I7" s="233">
        <v>207218.90555193758</v>
      </c>
      <c r="J7" s="233">
        <v>398404.15599999984</v>
      </c>
    </row>
    <row r="8">
      <c r="A8" s="184">
        <v>44138.98324957176</v>
      </c>
      <c r="B8" s="281">
        <v>0.20900000592697426</v>
      </c>
      <c r="C8" s="281">
        <v>0.040392657024164544</v>
      </c>
      <c r="D8" s="281">
        <v>0.22908415154981115</v>
      </c>
      <c r="E8" s="282">
        <v>-0.006117064322237102</v>
      </c>
      <c r="F8" s="233">
        <v>-7645.026000000304</v>
      </c>
      <c r="G8" s="233">
        <v>-74.40442569897277</v>
      </c>
      <c r="H8" s="233">
        <v>201296.02999999994</v>
      </c>
      <c r="I8" s="233">
        <v>206889.45140465096</v>
      </c>
      <c r="J8" s="233">
        <v>373252.55999999994</v>
      </c>
    </row>
    <row r="9">
      <c r="A9" s="184">
        <v>44137.98320238426</v>
      </c>
      <c r="B9" s="281">
        <v>0.21801163755696965</v>
      </c>
      <c r="C9" s="281">
        <v>0.04045040524450988</v>
      </c>
      <c r="D9" s="281">
        <v>0.23812449690532805</v>
      </c>
      <c r="E9" s="282">
        <v>0.007169309779162661</v>
      </c>
      <c r="F9" s="233">
        <v>9014.917999999772</v>
      </c>
      <c r="G9" s="233">
        <v>391.03178616418154</v>
      </c>
      <c r="H9" s="233">
        <v>208941.05600000024</v>
      </c>
      <c r="I9" s="233">
        <v>206963.85583034993</v>
      </c>
      <c r="J9" s="233">
        <v>380897.58600000024</v>
      </c>
    </row>
    <row r="10">
      <c r="A10" s="184">
        <v>44134.98322167824</v>
      </c>
      <c r="B10" s="281">
        <v>0.2066724892963899</v>
      </c>
      <c r="C10" s="281">
        <v>0.04055394239439913</v>
      </c>
      <c r="D10" s="281">
        <v>0.22843364516730505</v>
      </c>
      <c r="E10" s="282">
        <v>-0.005724284972750447</v>
      </c>
      <c r="F10" s="233">
        <v>-7138.293999999762</v>
      </c>
      <c r="G10" s="233">
        <v>122.51399224813213</v>
      </c>
      <c r="H10" s="233">
        <v>199926.13800000047</v>
      </c>
      <c r="I10" s="233">
        <v>206572.82404418575</v>
      </c>
      <c r="J10" s="233">
        <v>372882.6680000004</v>
      </c>
    </row>
    <row r="11">
      <c r="A11" s="184">
        <v>44133.98325259259</v>
      </c>
      <c r="B11" s="281">
        <v>0.2151366121542562</v>
      </c>
      <c r="C11" s="281">
        <v>0.04061208048635054</v>
      </c>
      <c r="D11" s="281">
        <v>0.2369289647968363</v>
      </c>
      <c r="E11" s="282">
        <v>0.002805491062908784</v>
      </c>
      <c r="F11" s="233">
        <v>3518.527999999933</v>
      </c>
      <c r="G11" s="233">
        <v>197.6395503875974</v>
      </c>
      <c r="H11" s="233">
        <v>207064.43200000023</v>
      </c>
      <c r="I11" s="233">
        <v>206450.31005193762</v>
      </c>
      <c r="J11" s="233">
        <v>380020.9620000002</v>
      </c>
    </row>
    <row r="12">
      <c r="A12" s="184">
        <v>44132.98318734954</v>
      </c>
      <c r="B12" s="281">
        <v>0.2114205417976914</v>
      </c>
      <c r="C12" s="281">
        <v>0.04067170253433121</v>
      </c>
      <c r="D12" s="281">
        <v>0.23324488749946246</v>
      </c>
      <c r="E12" s="282">
        <v>-0.0022806947373421203</v>
      </c>
      <c r="F12" s="233">
        <v>-2852.3260000001173</v>
      </c>
      <c r="G12" s="233">
        <v>165.61669767429703</v>
      </c>
      <c r="H12" s="233">
        <v>203545.9040000003</v>
      </c>
      <c r="I12" s="233">
        <v>206252.67050155002</v>
      </c>
      <c r="J12" s="233">
        <v>376502.43400000024</v>
      </c>
    </row>
    <row r="13">
      <c r="A13" s="184">
        <v>44131.98324141203</v>
      </c>
      <c r="B13" s="281">
        <v>0.215001389675276</v>
      </c>
      <c r="C13" s="281">
        <v>0.040730874562093004</v>
      </c>
      <c r="D13" s="281">
        <v>0.23685748695638306</v>
      </c>
      <c r="E13" s="282">
        <v>0.0028918331168154587</v>
      </c>
      <c r="F13" s="233">
        <v>3624.8880000000354</v>
      </c>
      <c r="G13" s="233">
        <v>-13.015431143605383</v>
      </c>
      <c r="H13" s="233">
        <v>206398.23000000042</v>
      </c>
      <c r="I13" s="233">
        <v>206087.05380387572</v>
      </c>
      <c r="J13" s="233">
        <v>379354.76000000036</v>
      </c>
    </row>
    <row r="14">
      <c r="A14" s="184">
        <v>44130.984694375</v>
      </c>
      <c r="B14" s="281">
        <v>0.2111515482743026</v>
      </c>
      <c r="C14" s="281">
        <v>0.0407907591912714</v>
      </c>
      <c r="D14" s="281">
        <v>0.23303977951509108</v>
      </c>
      <c r="E14" s="282">
        <v>0.002291411064041597</v>
      </c>
      <c r="F14" s="233">
        <v>2863.9580000001006</v>
      </c>
      <c r="G14" s="233">
        <v>332.26919858541805</v>
      </c>
      <c r="H14" s="233">
        <v>202773.34200000038</v>
      </c>
      <c r="I14" s="233">
        <v>206100.06923501933</v>
      </c>
      <c r="J14" s="233">
        <v>375729.8720000003</v>
      </c>
    </row>
    <row r="15">
      <c r="A15" s="184">
        <v>44127.98341127315</v>
      </c>
      <c r="B15" s="281">
        <v>0.20839098295513633</v>
      </c>
      <c r="C15" s="281">
        <v>0.040894938639708035</v>
      </c>
      <c r="D15" s="281">
        <v>0.23033511665773546</v>
      </c>
      <c r="E15" s="282">
        <v>-4.892570494404252E-4</v>
      </c>
      <c r="F15" s="233">
        <v>-610.1047999998555</v>
      </c>
      <c r="G15" s="233">
        <v>143.85160930239363</v>
      </c>
      <c r="H15" s="233">
        <v>199909.38400000028</v>
      </c>
      <c r="I15" s="233">
        <v>205767.8000364339</v>
      </c>
      <c r="J15" s="233">
        <v>372865.9140000002</v>
      </c>
    </row>
    <row r="16">
      <c r="A16" s="184">
        <v>44126.98313753473</v>
      </c>
      <c r="B16" s="281">
        <v>0.20939644699841192</v>
      </c>
      <c r="C16" s="281">
        <v>0.04095410262556624</v>
      </c>
      <c r="D16" s="281">
        <v>0.23137232796507934</v>
      </c>
      <c r="E16" s="282">
        <v>-0.0023947618125151945</v>
      </c>
      <c r="F16" s="233">
        <v>-2987.7352000000246</v>
      </c>
      <c r="G16" s="233">
        <v>163.246370542387</v>
      </c>
      <c r="H16" s="233">
        <v>200519.48880000014</v>
      </c>
      <c r="I16" s="233">
        <v>205623.94842713152</v>
      </c>
      <c r="J16" s="233">
        <v>373476.0188000001</v>
      </c>
    </row>
    <row r="17">
      <c r="A17" s="184">
        <v>44125.983166666665</v>
      </c>
      <c r="B17" s="281">
        <v>0.21239599193732997</v>
      </c>
      <c r="C17" s="281">
        <v>0.041005699123828676</v>
      </c>
      <c r="D17" s="281">
        <v>0.2351607300889983</v>
      </c>
      <c r="E17" s="282">
        <v>-0.006384029489339979</v>
      </c>
      <c r="F17" s="233">
        <v>-7979.6879999995</v>
      </c>
      <c r="G17" s="233">
        <v>1733.2517472871114</v>
      </c>
      <c r="H17" s="233">
        <v>203507.22400000016</v>
      </c>
      <c r="I17" s="233">
        <v>205460.70205658913</v>
      </c>
      <c r="J17" s="233">
        <v>376538.08400000015</v>
      </c>
    </row>
    <row r="18">
      <c r="A18" s="184">
        <v>44124.98318935186</v>
      </c>
      <c r="B18" s="281">
        <v>0.22193902635835008</v>
      </c>
      <c r="C18" s="281">
        <v>0.04106496372419367</v>
      </c>
      <c r="D18" s="281">
        <v>0.24474043293971715</v>
      </c>
      <c r="E18" s="282">
        <v>-0.007055501927281026</v>
      </c>
      <c r="F18" s="233">
        <v>-9047.258000000147</v>
      </c>
      <c r="G18" s="233">
        <v>1849.4105201971834</v>
      </c>
      <c r="H18" s="233">
        <v>211486.91199999966</v>
      </c>
      <c r="I18" s="233">
        <v>203727.45030930202</v>
      </c>
      <c r="J18" s="233">
        <v>384514.15199999965</v>
      </c>
    </row>
    <row r="19">
      <c r="A19" s="184">
        <v>44123.98475137731</v>
      </c>
      <c r="B19" s="281">
        <v>0.2327374508850401</v>
      </c>
      <c r="C19" s="281">
        <v>0.04112685732116584</v>
      </c>
      <c r="D19" s="281">
        <v>0.25559490854909517</v>
      </c>
      <c r="E19" s="282">
        <v>-0.008927624408394912</v>
      </c>
      <c r="F19" s="233">
        <v>-10782.209999999963</v>
      </c>
      <c r="G19" s="233">
        <v>361.3840224382002</v>
      </c>
      <c r="H19" s="233">
        <v>220534.1699999998</v>
      </c>
      <c r="I19" s="233">
        <v>201878.03978910483</v>
      </c>
      <c r="J19" s="233">
        <v>393542.69999999984</v>
      </c>
    </row>
    <row r="20">
      <c r="A20" s="184">
        <v>44120.9831754051</v>
      </c>
      <c r="B20" s="281">
        <v>0.24588438527257825</v>
      </c>
      <c r="C20" s="281">
        <v>0.04123595894586104</v>
      </c>
      <c r="D20" s="281">
        <v>0.2688024793657209</v>
      </c>
      <c r="E20" s="282">
        <v>-0.0011847442560606464</v>
      </c>
      <c r="F20" s="233">
        <v>-1443.6319999999832</v>
      </c>
      <c r="G20" s="233">
        <v>234.6986434108694</v>
      </c>
      <c r="H20" s="233">
        <v>231316.37999999977</v>
      </c>
      <c r="I20" s="233">
        <v>201516.65576666663</v>
      </c>
      <c r="J20" s="233">
        <v>404324.9099999998</v>
      </c>
    </row>
    <row r="21">
      <c r="A21" s="184">
        <v>44119.983247129625</v>
      </c>
      <c r="B21" s="281">
        <v>0.24795895553850084</v>
      </c>
      <c r="C21" s="281">
        <v>0.04130208482029139</v>
      </c>
      <c r="D21" s="281">
        <v>0.270913801026565</v>
      </c>
      <c r="E21" s="282">
        <v>0.0025452590895041318</v>
      </c>
      <c r="F21" s="233">
        <v>3105.1180000002496</v>
      </c>
      <c r="G21" s="233">
        <v>239.4791705426178</v>
      </c>
      <c r="H21" s="233">
        <v>232760.01199999976</v>
      </c>
      <c r="I21" s="233">
        <v>201281.95712325576</v>
      </c>
      <c r="J21" s="233">
        <v>405768.5419999998</v>
      </c>
    </row>
    <row r="22">
      <c r="A22" s="184">
        <v>44118.983232303246</v>
      </c>
      <c r="B22" s="281">
        <v>0.24473904123648804</v>
      </c>
      <c r="C22" s="281">
        <v>0.04136871578302123</v>
      </c>
      <c r="D22" s="281">
        <v>0.26773091883711597</v>
      </c>
      <c r="E22" s="282">
        <v>-3.5086146536975624E-4</v>
      </c>
      <c r="F22" s="233">
        <v>-426.9480000003241</v>
      </c>
      <c r="G22" s="233">
        <v>222.9520620154799</v>
      </c>
      <c r="H22" s="233">
        <v>229654.8939999995</v>
      </c>
      <c r="I22" s="233">
        <v>201042.47795271315</v>
      </c>
      <c r="J22" s="233">
        <v>402663.42399999953</v>
      </c>
    </row>
    <row r="23">
      <c r="A23" s="184">
        <v>44117.98317309028</v>
      </c>
      <c r="B23" s="281">
        <v>0.2456296867479934</v>
      </c>
      <c r="C23" s="281">
        <v>0.04143499548734997</v>
      </c>
      <c r="D23" s="281">
        <v>0.26865840123902246</v>
      </c>
      <c r="E23" s="282">
        <v>0.007174935594596308</v>
      </c>
      <c r="F23" s="233">
        <v>8724.374000000069</v>
      </c>
      <c r="G23" s="233">
        <v>116.84583700122312</v>
      </c>
      <c r="H23" s="233">
        <v>230081.84199999983</v>
      </c>
      <c r="I23" s="233">
        <v>200819.52589069767</v>
      </c>
      <c r="J23" s="233">
        <v>403090.37199999986</v>
      </c>
    </row>
    <row r="24">
      <c r="A24" s="184">
        <v>44116.98326980324</v>
      </c>
      <c r="B24" s="281">
        <v>0.23582094673305087</v>
      </c>
      <c r="C24" s="281">
        <v>0.0415015895686112</v>
      </c>
      <c r="D24" s="281">
        <v>0.2588866728386854</v>
      </c>
      <c r="E24" s="282">
        <v>0.006255571610860194</v>
      </c>
      <c r="F24" s="233">
        <v>7551.89599999995</v>
      </c>
      <c r="G24" s="233">
        <v>392.13493044063216</v>
      </c>
      <c r="H24" s="233">
        <v>221357.46799999976</v>
      </c>
      <c r="I24" s="233">
        <v>200702.68005369644</v>
      </c>
      <c r="J24" s="233">
        <v>394365.9979999998</v>
      </c>
    </row>
    <row r="25">
      <c r="A25" s="184">
        <v>44113.98316142361</v>
      </c>
      <c r="B25" s="281">
        <v>0.22759619229452288</v>
      </c>
      <c r="C25" s="281">
        <v>0.04161266192370079</v>
      </c>
      <c r="D25" s="281">
        <v>0.2507236501204851</v>
      </c>
      <c r="E25" s="282">
        <v>0.001378661450488788</v>
      </c>
      <c r="F25" s="233">
        <v>1650.8300000006566</v>
      </c>
      <c r="G25" s="233">
        <v>6082.373310852738</v>
      </c>
      <c r="H25" s="233">
        <v>213805.5719999998</v>
      </c>
      <c r="I25" s="233">
        <v>200310.5451232558</v>
      </c>
      <c r="J25" s="233">
        <v>386814.10199999984</v>
      </c>
    </row>
    <row r="26">
      <c r="A26" s="184">
        <v>44112.98322083333</v>
      </c>
      <c r="B26" s="281">
        <v>0.22594654993043475</v>
      </c>
      <c r="C26" s="281">
        <v>0.041676707512338824</v>
      </c>
      <c r="D26" s="281">
        <v>0.24917067572907997</v>
      </c>
      <c r="E26" s="282">
        <v>0.007707501654014052</v>
      </c>
      <c r="F26" s="233">
        <v>7275.627999999851</v>
      </c>
      <c r="G26" s="233">
        <v>124.38342635642039</v>
      </c>
      <c r="H26" s="233">
        <v>212154.74199999915</v>
      </c>
      <c r="I26" s="233">
        <v>194228.17181240307</v>
      </c>
      <c r="J26" s="233">
        <v>385111.2719999992</v>
      </c>
    </row>
    <row r="27">
      <c r="A27" s="184">
        <v>44111.98313248843</v>
      </c>
      <c r="B27" s="281">
        <v>0.21941020760106666</v>
      </c>
      <c r="C27" s="281">
        <v>0.04006545886177626</v>
      </c>
      <c r="D27" s="281">
        <v>0.24099476512010246</v>
      </c>
      <c r="E27" s="282">
        <v>0.001210769567289107</v>
      </c>
      <c r="F27" s="233">
        <v>1134.240000000107</v>
      </c>
      <c r="G27" s="233">
        <v>47.53413178288611</v>
      </c>
      <c r="H27" s="233">
        <v>204879.1139999993</v>
      </c>
      <c r="I27" s="233">
        <v>194103.78838604665</v>
      </c>
      <c r="J27" s="233">
        <v>377835.6439999993</v>
      </c>
    </row>
    <row r="28">
      <c r="A28" s="184">
        <v>44110.98319322917</v>
      </c>
      <c r="B28" s="281">
        <v>0.21840386985358465</v>
      </c>
      <c r="C28" s="281">
        <v>0.04012569109570645</v>
      </c>
      <c r="D28" s="281">
        <v>0.24002087642361597</v>
      </c>
      <c r="E28" s="282">
        <v>3.347888560146809E-4</v>
      </c>
      <c r="F28" s="233">
        <v>313.247999999905</v>
      </c>
      <c r="G28" s="233">
        <v>13.294582668342628</v>
      </c>
      <c r="H28" s="233">
        <v>203744.8739999992</v>
      </c>
      <c r="I28" s="233">
        <v>194056.25425426377</v>
      </c>
      <c r="J28" s="233">
        <v>376701.40399999917</v>
      </c>
    </row>
    <row r="29">
      <c r="A29" s="184">
        <v>44109.98325773148</v>
      </c>
      <c r="B29" s="281">
        <v>0.2183620801173222</v>
      </c>
      <c r="C29" s="281">
        <v>0.04018591250232624</v>
      </c>
      <c r="D29" s="281">
        <v>0.2400115299053271</v>
      </c>
      <c r="E29" s="282">
        <v>-0.0027124468844192564</v>
      </c>
      <c r="F29" s="233">
        <v>-2537.073999999906</v>
      </c>
      <c r="G29" s="233">
        <v>90.17369640161633</v>
      </c>
      <c r="H29" s="233">
        <v>203431.6259999993</v>
      </c>
      <c r="I29" s="233">
        <v>194042.95967159542</v>
      </c>
      <c r="J29" s="233">
        <v>376388.15599999926</v>
      </c>
    </row>
    <row r="30">
      <c r="A30" s="184">
        <v>44106.98320333334</v>
      </c>
      <c r="B30" s="281">
        <v>0.22193362232863165</v>
      </c>
      <c r="C30" s="281">
        <v>0.04029089371488676</v>
      </c>
      <c r="D30" s="281">
        <v>0.2436396288886118</v>
      </c>
      <c r="E30" s="282">
        <v>-9.961805331596663E-5</v>
      </c>
      <c r="F30" s="233">
        <v>-93.4299999998766</v>
      </c>
      <c r="G30" s="233">
        <v>79.17415503863594</v>
      </c>
      <c r="H30" s="233">
        <v>205968.6999999992</v>
      </c>
      <c r="I30" s="233">
        <v>193952.7859751938</v>
      </c>
      <c r="J30" s="233">
        <v>378925.22999999917</v>
      </c>
    </row>
    <row r="31">
      <c r="A31" s="184">
        <v>44105.9831092824</v>
      </c>
      <c r="B31" s="281">
        <v>0.22238004700152333</v>
      </c>
      <c r="C31" s="281">
        <v>0.04035202174171956</v>
      </c>
      <c r="D31" s="281">
        <v>0.24411995665172886</v>
      </c>
      <c r="E31" s="282">
        <v>-0.001184042445830494</v>
      </c>
      <c r="F31" s="233">
        <v>-1110.6020000002172</v>
      </c>
      <c r="G31" s="233">
        <v>63.33613178291125</v>
      </c>
      <c r="H31" s="233">
        <v>206062.12999999907</v>
      </c>
      <c r="I31" s="233">
        <v>193873.61182015517</v>
      </c>
      <c r="J31" s="233">
        <v>380018.6599999991</v>
      </c>
    </row>
    <row r="32">
      <c r="A32" s="184">
        <v>44104.98322375</v>
      </c>
      <c r="B32" s="281">
        <v>0.22284943491410328</v>
      </c>
      <c r="C32" s="281">
        <v>0.04041037916952329</v>
      </c>
      <c r="D32" s="281">
        <v>0.24580996876865524</v>
      </c>
      <c r="E32" s="282">
        <v>-0.0011632517727359732</v>
      </c>
      <c r="F32" s="233">
        <v>-1089.0119999998715</v>
      </c>
      <c r="G32" s="233">
        <v>113.0618217055453</v>
      </c>
      <c r="H32" s="233">
        <v>207172.7319999993</v>
      </c>
      <c r="I32" s="233">
        <v>193810.27568837226</v>
      </c>
      <c r="J32" s="233">
        <v>380129.2619999993</v>
      </c>
    </row>
    <row r="33">
      <c r="A33" s="184">
        <v>44103.983189872684</v>
      </c>
      <c r="B33" s="281">
        <v>0.2244841043078832</v>
      </c>
      <c r="C33" s="281">
        <v>0.040472139008920195</v>
      </c>
      <c r="D33" s="281">
        <v>0.24747972911957214</v>
      </c>
      <c r="E33" s="282">
        <v>-0.005991576372961816</v>
      </c>
      <c r="F33" s="233">
        <v>-5558.446000000113</v>
      </c>
      <c r="G33" s="233">
        <v>5.522506355540827</v>
      </c>
      <c r="H33" s="233">
        <v>208261.74399999916</v>
      </c>
      <c r="I33" s="233">
        <v>193697.21386666672</v>
      </c>
      <c r="J33" s="233">
        <v>381218.27399999916</v>
      </c>
    </row>
    <row r="34">
      <c r="A34" s="184">
        <v>44102.98317905093</v>
      </c>
      <c r="B34" s="281">
        <v>0.2314442656424073</v>
      </c>
      <c r="C34" s="281">
        <v>0.04053431218073631</v>
      </c>
      <c r="D34" s="281">
        <v>0.25447521626013087</v>
      </c>
      <c r="E34" s="282">
        <v>0.006602159618448937</v>
      </c>
      <c r="F34" s="233">
        <v>6161.587999999989</v>
      </c>
      <c r="G34" s="233">
        <v>112.01780372206122</v>
      </c>
      <c r="H34" s="233">
        <v>213820.18999999927</v>
      </c>
      <c r="I34" s="233">
        <v>193691.69136031118</v>
      </c>
      <c r="J34" s="233">
        <v>386776.7199999993</v>
      </c>
    </row>
    <row r="35">
      <c r="A35" s="184">
        <v>44099.98347827546</v>
      </c>
      <c r="B35" s="281">
        <v>0.22471168473537032</v>
      </c>
      <c r="C35" s="281">
        <v>0.0406429318628974</v>
      </c>
      <c r="D35" s="281">
        <v>0.24780435132658343</v>
      </c>
      <c r="E35" s="282">
        <v>0.006855709418610675</v>
      </c>
      <c r="F35" s="233">
        <v>6355.976000000024</v>
      </c>
      <c r="G35" s="233">
        <v>64.52867441857234</v>
      </c>
      <c r="H35" s="233">
        <v>207658.6019999993</v>
      </c>
      <c r="I35" s="233">
        <v>193579.6735565891</v>
      </c>
      <c r="J35" s="233">
        <v>380615.1319999993</v>
      </c>
    </row>
    <row r="36">
      <c r="A36" s="184">
        <v>44098.983132905094</v>
      </c>
      <c r="B36" s="281">
        <v>0.2174612488400281</v>
      </c>
      <c r="C36" s="281">
        <v>0.04070551042469665</v>
      </c>
      <c r="D36" s="281">
        <v>0.2405894715734079</v>
      </c>
      <c r="E36" s="282">
        <v>-0.00430904774172002</v>
      </c>
      <c r="F36" s="233">
        <v>-3967.5600000002596</v>
      </c>
      <c r="G36" s="233">
        <v>-3.0018604651850183</v>
      </c>
      <c r="H36" s="233">
        <v>201302.62599999926</v>
      </c>
      <c r="I36" s="233">
        <v>193515.14488217054</v>
      </c>
      <c r="J36" s="233">
        <v>374259.15599999926</v>
      </c>
    </row>
    <row r="37">
      <c r="A37" s="184">
        <v>44097.98317869213</v>
      </c>
      <c r="B37" s="281">
        <v>0.22253927229279022</v>
      </c>
      <c r="C37" s="281">
        <v>0.04076708848026542</v>
      </c>
      <c r="D37" s="281">
        <v>0.24570248269663103</v>
      </c>
      <c r="E37" s="282">
        <v>8.521944270360648E-5</v>
      </c>
      <c r="F37" s="233">
        <v>78.80400000000373</v>
      </c>
      <c r="G37" s="233">
        <v>27.83357364346739</v>
      </c>
      <c r="H37" s="233">
        <v>205270.18599999952</v>
      </c>
      <c r="I37" s="233">
        <v>193518.14674263573</v>
      </c>
      <c r="J37" s="233">
        <v>338226.71599999955</v>
      </c>
    </row>
    <row r="38">
      <c r="A38" s="184">
        <v>44096.98318790509</v>
      </c>
      <c r="B38" s="281">
        <v>0.22274443996592644</v>
      </c>
      <c r="C38" s="281">
        <v>0.04082197617192124</v>
      </c>
      <c r="D38" s="281">
        <v>0.24593883668200578</v>
      </c>
      <c r="E38" s="282">
        <v>0.006580526077144208</v>
      </c>
      <c r="F38" s="233">
        <v>6084.616000000155</v>
      </c>
      <c r="G38" s="233">
        <v>39.68437677441398</v>
      </c>
      <c r="H38" s="233">
        <v>205191.38199999952</v>
      </c>
      <c r="I38" s="233">
        <v>193490.31316899226</v>
      </c>
      <c r="J38" s="233">
        <v>338147.91199999955</v>
      </c>
    </row>
    <row r="39">
      <c r="A39" s="184">
        <v>44095.98324008102</v>
      </c>
      <c r="B39" s="281">
        <v>0.21574199531842952</v>
      </c>
      <c r="C39" s="281">
        <v>0.04087701216370941</v>
      </c>
      <c r="D39" s="281">
        <v>0.23896766260852084</v>
      </c>
      <c r="E39" s="282">
        <v>-0.0027891412279907107</v>
      </c>
      <c r="F39" s="233">
        <v>-2561.980000000214</v>
      </c>
      <c r="G39" s="233">
        <v>42.20049144254881</v>
      </c>
      <c r="H39" s="233">
        <v>199106.76599999936</v>
      </c>
      <c r="I39" s="233">
        <v>193450.62879221785</v>
      </c>
      <c r="J39" s="233">
        <v>332063.2959999994</v>
      </c>
    </row>
    <row r="40">
      <c r="A40" s="184">
        <v>44092.98318997685</v>
      </c>
      <c r="B40" s="281">
        <v>0.21935091181185895</v>
      </c>
      <c r="C40" s="281">
        <v>0.04097677420772459</v>
      </c>
      <c r="D40" s="281">
        <v>0.2426332623065151</v>
      </c>
      <c r="E40" s="282">
        <v>-0.005451076646804857</v>
      </c>
      <c r="F40" s="233">
        <v>-5021.079999999842</v>
      </c>
      <c r="G40" s="233">
        <v>31.976465116458712</v>
      </c>
      <c r="H40" s="233">
        <v>201668.74599999958</v>
      </c>
      <c r="I40" s="233">
        <v>193408.4283007753</v>
      </c>
      <c r="J40" s="233">
        <v>334625.2759999996</v>
      </c>
    </row>
    <row r="41">
      <c r="A41" s="184">
        <v>44091.98314175926</v>
      </c>
      <c r="B41" s="281">
        <v>0.22569316410451343</v>
      </c>
      <c r="C41" s="281">
        <v>0.041031542461904</v>
      </c>
      <c r="D41" s="281">
        <v>0.24900663304893633</v>
      </c>
      <c r="E41" s="282">
        <v>-0.006607165136292516</v>
      </c>
      <c r="F41" s="233">
        <v>-6119.148000000045</v>
      </c>
      <c r="G41" s="233">
        <v>44.6725891471724</v>
      </c>
      <c r="H41" s="233">
        <v>206689.82599999942</v>
      </c>
      <c r="I41" s="233">
        <v>193376.45183565884</v>
      </c>
      <c r="J41" s="233">
        <v>339646.35599999945</v>
      </c>
    </row>
    <row r="42">
      <c r="A42" s="184">
        <v>44090.98316108796</v>
      </c>
      <c r="B42" s="281">
        <v>0.23338265931544433</v>
      </c>
      <c r="C42" s="281">
        <v>0.04108744570576982</v>
      </c>
      <c r="D42" s="281">
        <v>0.25672789159269754</v>
      </c>
      <c r="E42" s="282">
        <v>0.003692930951048628</v>
      </c>
      <c r="F42" s="233">
        <v>3442.761999999988</v>
      </c>
      <c r="G42" s="233">
        <v>93.60465116277919</v>
      </c>
      <c r="H42" s="233">
        <v>212808.97399999946</v>
      </c>
      <c r="I42" s="233">
        <v>193331.77924651167</v>
      </c>
      <c r="J42" s="233">
        <v>345765.5039999995</v>
      </c>
    </row>
    <row r="43">
      <c r="A43" s="184">
        <v>44089.983157118055</v>
      </c>
      <c r="B43" s="281">
        <v>0.22954885304711214</v>
      </c>
      <c r="C43" s="281">
        <v>0.041144706818035</v>
      </c>
      <c r="D43" s="281">
        <v>0.2529266201763943</v>
      </c>
      <c r="E43" s="282">
        <v>0.0026956811924814745</v>
      </c>
      <c r="F43" s="233">
        <v>2503.7879999999423</v>
      </c>
      <c r="G43" s="233">
        <v>42.976752547430806</v>
      </c>
      <c r="H43" s="233">
        <v>209366.21199999948</v>
      </c>
      <c r="I43" s="233">
        <v>193238.1745953489</v>
      </c>
      <c r="J43" s="233">
        <v>342322.7419999995</v>
      </c>
    </row>
    <row r="44">
      <c r="A44" s="184">
        <v>44088.98315741898</v>
      </c>
      <c r="B44" s="281">
        <v>0.2268366596885743</v>
      </c>
      <c r="C44" s="281">
        <v>0.04120147299524363</v>
      </c>
      <c r="D44" s="281">
        <v>0.2502466804556688</v>
      </c>
      <c r="E44" s="282">
        <v>0.003116971127511336</v>
      </c>
      <c r="F44" s="233">
        <v>2887.2840000001015</v>
      </c>
      <c r="G44" s="233">
        <v>154.31660404190188</v>
      </c>
      <c r="H44" s="233">
        <v>206862.42399999953</v>
      </c>
      <c r="I44" s="233">
        <v>193195.19784280146</v>
      </c>
      <c r="J44" s="233">
        <v>339818.95399999956</v>
      </c>
    </row>
    <row r="45">
      <c r="A45" s="184">
        <v>44085.983099895835</v>
      </c>
      <c r="B45" s="281">
        <v>0.2239007095024475</v>
      </c>
      <c r="C45" s="281">
        <v>0.04130420187090643</v>
      </c>
      <c r="D45" s="281">
        <v>0.24736909918059824</v>
      </c>
      <c r="E45" s="282">
        <v>2.2022614520620233E-4</v>
      </c>
      <c r="F45" s="233">
        <v>203.36200000008103</v>
      </c>
      <c r="G45" s="233">
        <v>46.52532558122766</v>
      </c>
      <c r="H45" s="233">
        <v>203975.13999999943</v>
      </c>
      <c r="I45" s="233">
        <v>193040.88123875955</v>
      </c>
      <c r="J45" s="233">
        <v>336931.66999999946</v>
      </c>
    </row>
    <row r="46">
      <c r="A46" s="184">
        <v>44084.983133333335</v>
      </c>
      <c r="B46" s="281">
        <v>0.2239580885211845</v>
      </c>
      <c r="C46" s="281">
        <v>0.041360345110363836</v>
      </c>
      <c r="D46" s="281">
        <v>0.24745837789383845</v>
      </c>
      <c r="E46" s="282">
        <v>-0.005047680133601365</v>
      </c>
      <c r="F46" s="233">
        <v>-4660.120000000112</v>
      </c>
      <c r="G46" s="233">
        <v>45.13480620161863</v>
      </c>
      <c r="H46" s="233">
        <v>203771.77799999935</v>
      </c>
      <c r="I46" s="233">
        <v>192994.35591317833</v>
      </c>
      <c r="J46" s="233">
        <v>336728.3079999994</v>
      </c>
    </row>
    <row r="47">
      <c r="A47" s="184">
        <v>44083.983159560186</v>
      </c>
      <c r="B47" s="281">
        <v>0.2299296917660684</v>
      </c>
      <c r="C47" s="281">
        <v>0.04141661703364239</v>
      </c>
      <c r="D47" s="281">
        <v>0.2534619539493233</v>
      </c>
      <c r="E47" s="282">
        <v>0.0027631625420015526</v>
      </c>
      <c r="F47" s="233">
        <v>2563.883999999962</v>
      </c>
      <c r="G47" s="233">
        <v>77.37203875972773</v>
      </c>
      <c r="H47" s="233">
        <v>208431.89799999946</v>
      </c>
      <c r="I47" s="233">
        <v>192949.2211069767</v>
      </c>
      <c r="J47" s="233">
        <v>341388.4279999995</v>
      </c>
    </row>
    <row r="48">
      <c r="A48" s="184">
        <v>44082.98313530092</v>
      </c>
      <c r="B48" s="281">
        <v>0.2271260338309235</v>
      </c>
      <c r="C48" s="281">
        <v>0.04147397874780924</v>
      </c>
      <c r="D48" s="281">
        <v>0.25069088802660566</v>
      </c>
      <c r="E48" s="282">
        <v>-0.00548814447448485</v>
      </c>
      <c r="F48" s="233">
        <v>-5078.269999999902</v>
      </c>
      <c r="G48" s="233">
        <v>1.2883071273681708</v>
      </c>
      <c r="H48" s="233">
        <v>205868.0139999995</v>
      </c>
      <c r="I48" s="233">
        <v>192871.84906821698</v>
      </c>
      <c r="J48" s="233">
        <v>339824.5439999995</v>
      </c>
    </row>
    <row r="49">
      <c r="A49" s="184">
        <v>44081.98470541667</v>
      </c>
      <c r="B49" s="281">
        <v>0.23363190711309734</v>
      </c>
      <c r="C49" s="281">
        <v>0.041531206216510914</v>
      </c>
      <c r="D49" s="281">
        <v>0.2572292770450714</v>
      </c>
      <c r="E49" s="282">
        <v>0.002241412277074335</v>
      </c>
      <c r="F49" s="233">
        <v>2085.3979999999283</v>
      </c>
      <c r="G49" s="233">
        <v>105.58811147717643</v>
      </c>
      <c r="H49" s="233">
        <v>210946.2839999994</v>
      </c>
      <c r="I49" s="233">
        <v>192870.5607610896</v>
      </c>
      <c r="J49" s="233">
        <v>344902.81399999943</v>
      </c>
    </row>
    <row r="50">
      <c r="A50" s="184">
        <v>44078.983152581015</v>
      </c>
      <c r="B50" s="281">
        <v>0.23167457366335942</v>
      </c>
      <c r="C50" s="281">
        <v>0.04163645259673604</v>
      </c>
      <c r="D50" s="281">
        <v>0.2553317429123874</v>
      </c>
      <c r="E50" s="282">
        <v>-0.01252123462614702</v>
      </c>
      <c r="F50" s="233">
        <v>-11623.57799999998</v>
      </c>
      <c r="G50" s="233">
        <v>13.952736434177496</v>
      </c>
      <c r="H50" s="233">
        <v>208860.88599999947</v>
      </c>
      <c r="I50" s="233">
        <v>192764.97264961243</v>
      </c>
      <c r="J50" s="233">
        <v>342817.4159999995</v>
      </c>
    </row>
    <row r="51">
      <c r="A51" s="184">
        <v>44077.98314321759</v>
      </c>
      <c r="B51" s="281">
        <v>0.24622846735255632</v>
      </c>
      <c r="C51" s="281">
        <v>0.041694721598992575</v>
      </c>
      <c r="D51" s="281">
        <v>0.26991874412065436</v>
      </c>
      <c r="E51" s="282">
        <v>-0.0071896732995710404</v>
      </c>
      <c r="F51" s="233">
        <v>-6757.8099999999395</v>
      </c>
      <c r="G51" s="233">
        <v>10321.718147286825</v>
      </c>
      <c r="H51" s="233">
        <v>220484.46399999945</v>
      </c>
      <c r="I51" s="233">
        <v>192751.01991317826</v>
      </c>
      <c r="J51" s="233">
        <v>354440.9939999995</v>
      </c>
    </row>
    <row r="52">
      <c r="A52" s="184">
        <v>44076.98318923611</v>
      </c>
      <c r="B52" s="281">
        <v>0.2548724013430055</v>
      </c>
      <c r="C52" s="281">
        <v>0.04175549758233518</v>
      </c>
      <c r="D52" s="281">
        <v>0.27859721005689964</v>
      </c>
      <c r="E52" s="282">
        <v>0.01598394026709496</v>
      </c>
      <c r="F52" s="233">
        <v>17010.842000000062</v>
      </c>
      <c r="G52" s="233">
        <v>278.3414651163039</v>
      </c>
      <c r="H52" s="233">
        <v>227242.2739999994</v>
      </c>
      <c r="I52" s="233">
        <v>182429.30176589143</v>
      </c>
      <c r="J52" s="233">
        <v>362698.8039999994</v>
      </c>
    </row>
    <row r="53">
      <c r="A53" s="184">
        <v>44075.98318387731</v>
      </c>
      <c r="B53" s="281">
        <v>0.2343682524438996</v>
      </c>
      <c r="C53" s="281">
        <v>0.041818127517738425</v>
      </c>
      <c r="D53" s="281">
        <v>0.258128646489624</v>
      </c>
      <c r="E53" s="282">
        <v>0.0019265240295974911</v>
      </c>
      <c r="F53" s="233">
        <v>2015.345999999845</v>
      </c>
      <c r="G53" s="233">
        <v>130.7601856000838</v>
      </c>
      <c r="H53" s="233">
        <v>210231.43199999933</v>
      </c>
      <c r="I53" s="233">
        <v>182150.96030077513</v>
      </c>
      <c r="J53" s="233">
        <v>345687.96199999936</v>
      </c>
    </row>
    <row r="54">
      <c r="A54" s="184">
        <v>44074.983374131945</v>
      </c>
      <c r="B54" s="281">
        <v>0.23138687293445148</v>
      </c>
      <c r="C54" s="281">
        <v>0.04187753732415179</v>
      </c>
      <c r="D54" s="281">
        <v>0.2560173428735868</v>
      </c>
      <c r="E54" s="282">
        <v>-0.001622041590332041</v>
      </c>
      <c r="F54" s="233">
        <v>-1690.6439999999711</v>
      </c>
      <c r="G54" s="233">
        <v>233.2360702138394</v>
      </c>
      <c r="H54" s="233">
        <v>208216.0859999995</v>
      </c>
      <c r="I54" s="233">
        <v>182020.20011517504</v>
      </c>
      <c r="J54" s="233">
        <v>343672.61599999946</v>
      </c>
    </row>
    <row r="55">
      <c r="A55" s="184">
        <v>44071.98312766204</v>
      </c>
      <c r="B55" s="281">
        <v>0.23405994852982134</v>
      </c>
      <c r="C55" s="281">
        <v>0.041984139249692284</v>
      </c>
      <c r="D55" s="281">
        <v>0.25875311689131514</v>
      </c>
      <c r="E55" s="282">
        <v>-0.006261501413119268</v>
      </c>
      <c r="F55" s="233">
        <v>-6525.21399999992</v>
      </c>
      <c r="G55" s="233">
        <v>142.15323255804833</v>
      </c>
      <c r="H55" s="233">
        <v>209906.72999999946</v>
      </c>
      <c r="I55" s="233">
        <v>181786.9640449612</v>
      </c>
      <c r="J55" s="233">
        <v>345363.2599999994</v>
      </c>
    </row>
    <row r="56">
      <c r="A56" s="184">
        <v>44070.98313912037</v>
      </c>
      <c r="B56" s="281">
        <v>0.2424485164568369</v>
      </c>
      <c r="C56" s="281">
        <v>0.04204395018595989</v>
      </c>
      <c r="D56" s="281">
        <v>0.2671768629009473</v>
      </c>
      <c r="E56" s="282">
        <v>0.003915642402952564</v>
      </c>
      <c r="F56" s="233">
        <v>4106.10599999968</v>
      </c>
      <c r="G56" s="233">
        <v>247.18383720924612</v>
      </c>
      <c r="H56" s="233">
        <v>216431.94399999938</v>
      </c>
      <c r="I56" s="233">
        <v>181644.81081240316</v>
      </c>
      <c r="J56" s="233">
        <v>351888.47399999935</v>
      </c>
    </row>
    <row r="57">
      <c r="A57" s="184">
        <v>44069.98320857639</v>
      </c>
      <c r="B57" s="281">
        <v>0.23772594163082073</v>
      </c>
      <c r="C57" s="281">
        <v>0.042105277650316186</v>
      </c>
      <c r="D57" s="281">
        <v>0.2624903581106541</v>
      </c>
      <c r="E57" s="282">
        <v>0.004121904194106544</v>
      </c>
      <c r="F57" s="233">
        <v>4300.802000000258</v>
      </c>
      <c r="G57" s="233">
        <v>255.07195348857203</v>
      </c>
      <c r="H57" s="233">
        <v>212325.8379999997</v>
      </c>
      <c r="I57" s="233">
        <v>181397.6269751939</v>
      </c>
      <c r="J57" s="233">
        <v>347782.36799999967</v>
      </c>
    </row>
    <row r="58">
      <c r="A58" s="184">
        <v>44068.98318372685</v>
      </c>
      <c r="B58" s="281">
        <v>0.23274399512392657</v>
      </c>
      <c r="C58" s="281">
        <v>0.04216596404262143</v>
      </c>
      <c r="D58" s="281">
        <v>0.25754410458995003</v>
      </c>
      <c r="E58" s="282">
        <v>-0.002401905946643672</v>
      </c>
      <c r="F58" s="233">
        <v>-2493.1040000003995</v>
      </c>
      <c r="G58" s="233">
        <v>2005.1738792929682</v>
      </c>
      <c r="H58" s="233">
        <v>208025.03599999944</v>
      </c>
      <c r="I58" s="233">
        <v>181142.55502170534</v>
      </c>
      <c r="J58" s="233">
        <v>343481.5659999994</v>
      </c>
    </row>
    <row r="59">
      <c r="A59" s="184">
        <v>44067.98321777778</v>
      </c>
      <c r="B59" s="281">
        <v>0.23616613370913583</v>
      </c>
      <c r="C59" s="281">
        <v>0.042225962589874315</v>
      </c>
      <c r="D59" s="281">
        <v>0.26100153160205664</v>
      </c>
      <c r="E59" s="282">
        <v>0.0039555693683493015</v>
      </c>
      <c r="F59" s="233">
        <v>3754.374000000069</v>
      </c>
      <c r="G59" s="233">
        <v>332.03898117211065</v>
      </c>
      <c r="H59" s="233">
        <v>210518.13999999984</v>
      </c>
      <c r="I59" s="233">
        <v>179137.38114241237</v>
      </c>
      <c r="J59" s="233">
        <v>345974.6699999998</v>
      </c>
    </row>
    <row r="60">
      <c r="A60" s="184">
        <v>44064.9831471412</v>
      </c>
      <c r="B60" s="281">
        <v>0.23210739647485149</v>
      </c>
      <c r="C60" s="281">
        <v>0.04233466052792454</v>
      </c>
      <c r="D60" s="281">
        <v>0.25700672556971643</v>
      </c>
      <c r="E60" s="282">
        <v>0.007253955974693166</v>
      </c>
      <c r="F60" s="233">
        <v>6857.757999999914</v>
      </c>
      <c r="G60" s="233">
        <v>188.40062015512376</v>
      </c>
      <c r="H60" s="233">
        <v>206763.76599999977</v>
      </c>
      <c r="I60" s="233">
        <v>178805.34216124026</v>
      </c>
      <c r="J60" s="233">
        <v>342220.29599999974</v>
      </c>
    </row>
    <row r="61">
      <c r="A61" s="184">
        <v>44063.98314143519</v>
      </c>
      <c r="B61" s="281">
        <v>0.22390123360928205</v>
      </c>
      <c r="C61" s="281">
        <v>0.042394874408536135</v>
      </c>
      <c r="D61" s="281">
        <v>0.24883597778036898</v>
      </c>
      <c r="E61" s="282">
        <v>1.2754494704211416E-4</v>
      </c>
      <c r="F61" s="233">
        <v>119.7039999999106</v>
      </c>
      <c r="G61" s="233">
        <v>141.07986821702798</v>
      </c>
      <c r="H61" s="233">
        <v>199906.00799999986</v>
      </c>
      <c r="I61" s="233">
        <v>178616.94154108514</v>
      </c>
      <c r="J61" s="233">
        <v>335362.5379999998</v>
      </c>
    </row>
    <row r="62">
      <c r="A62" s="184">
        <v>44062.9832450463</v>
      </c>
      <c r="B62" s="281">
        <v>0.22406353494375209</v>
      </c>
      <c r="C62" s="281">
        <v>0.04245385805464324</v>
      </c>
      <c r="D62" s="281">
        <v>0.2490329706228686</v>
      </c>
      <c r="E62" s="282">
        <v>0.0032040175636698738</v>
      </c>
      <c r="F62" s="233">
        <v>3006.664000000106</v>
      </c>
      <c r="G62" s="233">
        <v>150.72125581401633</v>
      </c>
      <c r="H62" s="233">
        <v>199786.30399999995</v>
      </c>
      <c r="I62" s="233">
        <v>178475.8616728681</v>
      </c>
      <c r="J62" s="233">
        <v>335242.8339999999</v>
      </c>
    </row>
    <row r="63">
      <c r="A63" s="184">
        <v>44061.984082256946</v>
      </c>
      <c r="B63" s="281">
        <v>0.22062264834327625</v>
      </c>
      <c r="C63" s="281">
        <v>0.04251299827525819</v>
      </c>
      <c r="D63" s="281">
        <v>0.24562686762045333</v>
      </c>
      <c r="E63" s="282">
        <v>-0.0026367266594034657</v>
      </c>
      <c r="F63" s="233">
        <v>-2466.388000000152</v>
      </c>
      <c r="G63" s="233">
        <v>30.043352462758776</v>
      </c>
      <c r="H63" s="233">
        <v>196779.63999999984</v>
      </c>
      <c r="I63" s="233">
        <v>178325.1404170541</v>
      </c>
      <c r="J63" s="233">
        <v>332236.1699999998</v>
      </c>
    </row>
    <row r="64">
      <c r="A64" s="184">
        <v>44060.98467878472</v>
      </c>
      <c r="B64" s="281">
        <v>0.22401013250847845</v>
      </c>
      <c r="C64" s="281">
        <v>0.04257169456187886</v>
      </c>
      <c r="D64" s="281">
        <v>0.24904887428185582</v>
      </c>
      <c r="E64" s="282">
        <v>0.001465687882606926</v>
      </c>
      <c r="F64" s="233">
        <v>1374.6160000000382</v>
      </c>
      <c r="G64" s="233">
        <v>283.3754304830509</v>
      </c>
      <c r="H64" s="233">
        <v>199246.028</v>
      </c>
      <c r="I64" s="233">
        <v>178295.09706459133</v>
      </c>
      <c r="J64" s="233">
        <v>334702.55799999996</v>
      </c>
    </row>
    <row r="65">
      <c r="A65" s="184">
        <v>44057.9835600463</v>
      </c>
      <c r="B65" s="281">
        <v>0.22285571337342575</v>
      </c>
      <c r="C65" s="281">
        <v>0.042679667640041434</v>
      </c>
      <c r="D65" s="281">
        <v>0.24795796001900544</v>
      </c>
      <c r="E65" s="282">
        <v>-0.0019548645167227815</v>
      </c>
      <c r="F65" s="233">
        <v>-1830.7099999999627</v>
      </c>
      <c r="G65" s="233">
        <v>168.5775193796435</v>
      </c>
      <c r="H65" s="233">
        <v>197871.41199999995</v>
      </c>
      <c r="I65" s="233">
        <v>178011.72163410828</v>
      </c>
      <c r="J65" s="233">
        <v>333327.9419999999</v>
      </c>
    </row>
    <row r="66">
      <c r="A66" s="184">
        <v>44056.98320953704</v>
      </c>
      <c r="B66" s="281">
        <v>0.22546308106214635</v>
      </c>
      <c r="C66" s="281">
        <v>0.04273904882066719</v>
      </c>
      <c r="D66" s="281">
        <v>0.25060025302754685</v>
      </c>
      <c r="E66" s="282">
        <v>-7.467408549618237E-4</v>
      </c>
      <c r="F66" s="233">
        <v>-700.681999999797</v>
      </c>
      <c r="G66" s="233">
        <v>176.31488372088643</v>
      </c>
      <c r="H66" s="233">
        <v>199702.12199999992</v>
      </c>
      <c r="I66" s="233">
        <v>177843.14411472864</v>
      </c>
      <c r="J66" s="233">
        <v>335158.6519999999</v>
      </c>
    </row>
    <row r="67">
      <c r="A67" s="184">
        <v>44055.9831977662</v>
      </c>
      <c r="B67" s="281">
        <v>0.22665983067153478</v>
      </c>
      <c r="C67" s="281">
        <v>0.042798997789189865</v>
      </c>
      <c r="D67" s="281">
        <v>0.25183226190387</v>
      </c>
      <c r="E67" s="282">
        <v>-0.004134434315070627</v>
      </c>
      <c r="F67" s="233">
        <v>-3882.3200000001816</v>
      </c>
      <c r="G67" s="233">
        <v>196.47367441881215</v>
      </c>
      <c r="H67" s="233">
        <v>200402.8039999997</v>
      </c>
      <c r="I67" s="233">
        <v>177666.82923100775</v>
      </c>
      <c r="J67" s="233">
        <v>335859.3339999997</v>
      </c>
    </row>
    <row r="68">
      <c r="A68" s="184">
        <v>44054.98316871528</v>
      </c>
      <c r="B68" s="281">
        <v>0.23186459581162697</v>
      </c>
      <c r="C68" s="281">
        <v>0.042859280500759295</v>
      </c>
      <c r="D68" s="281">
        <v>0.2570724826034347</v>
      </c>
      <c r="E68" s="282">
        <v>-0.004638552681747079</v>
      </c>
      <c r="F68" s="233">
        <v>-4373.706000000006</v>
      </c>
      <c r="G68" s="233">
        <v>55.15211067473865</v>
      </c>
      <c r="H68" s="233">
        <v>204285.1239999999</v>
      </c>
      <c r="I68" s="233">
        <v>177470.35555658894</v>
      </c>
      <c r="J68" s="233">
        <v>339741.65399999986</v>
      </c>
    </row>
    <row r="69">
      <c r="A69" s="184">
        <v>44053.98470045139</v>
      </c>
      <c r="B69" s="281">
        <v>0.2377079249596249</v>
      </c>
      <c r="C69" s="281">
        <v>0.042920572673446636</v>
      </c>
      <c r="D69" s="281">
        <v>0.262951861030195</v>
      </c>
      <c r="E69" s="282">
        <v>0.0022729025358764294</v>
      </c>
      <c r="F69" s="233">
        <v>2153.0680000000866</v>
      </c>
      <c r="G69" s="233">
        <v>394.75938389869407</v>
      </c>
      <c r="H69" s="233">
        <v>208658.8299999999</v>
      </c>
      <c r="I69" s="233">
        <v>177415.2034459142</v>
      </c>
      <c r="J69" s="233">
        <v>344115.35999999987</v>
      </c>
    </row>
    <row r="70">
      <c r="A70" s="184">
        <v>44050.98315290509</v>
      </c>
      <c r="B70" s="281">
        <v>0.23560561846374403</v>
      </c>
      <c r="C70" s="281">
        <v>0.0430321668562704</v>
      </c>
      <c r="D70" s="281">
        <v>0.26091518917620216</v>
      </c>
      <c r="E70" s="282">
        <v>0.0035016089881523384</v>
      </c>
      <c r="F70" s="233">
        <v>3309.4539999999106</v>
      </c>
      <c r="G70" s="233">
        <v>95.43891804668237</v>
      </c>
      <c r="H70" s="233">
        <v>206505.7619999998</v>
      </c>
      <c r="I70" s="233">
        <v>177020.4440620155</v>
      </c>
      <c r="J70" s="233">
        <v>341962.2919999998</v>
      </c>
    </row>
    <row r="71">
      <c r="A71" s="184">
        <v>44049.98325348379</v>
      </c>
      <c r="B71" s="281">
        <v>0.23175900819837597</v>
      </c>
      <c r="C71" s="281">
        <v>0.043094422587034394</v>
      </c>
      <c r="D71" s="281">
        <v>0.2571051949107973</v>
      </c>
      <c r="E71" s="282">
        <v>0.006547817001403193</v>
      </c>
      <c r="F71" s="233">
        <v>6166.827999999863</v>
      </c>
      <c r="G71" s="233">
        <v>465.8589036586636</v>
      </c>
      <c r="H71" s="233">
        <v>203196.3079999999</v>
      </c>
      <c r="I71" s="233">
        <v>176925.00514396882</v>
      </c>
      <c r="J71" s="233">
        <v>338652.8379999999</v>
      </c>
    </row>
    <row r="72">
      <c r="A72" s="184">
        <v>44048.983191527775</v>
      </c>
      <c r="B72" s="281">
        <v>0.22427698281663597</v>
      </c>
      <c r="C72" s="281">
        <v>0.043156169296462474</v>
      </c>
      <c r="D72" s="281">
        <v>0.24965948614573505</v>
      </c>
      <c r="E72" s="282">
        <v>-0.004301138958824733</v>
      </c>
      <c r="F72" s="233">
        <v>-4024.349999999744</v>
      </c>
      <c r="G72" s="233">
        <v>215.25356589147123</v>
      </c>
      <c r="H72" s="233">
        <v>197029.48000000004</v>
      </c>
      <c r="I72" s="233">
        <v>176459.14624031016</v>
      </c>
      <c r="J72" s="233">
        <v>332486.01</v>
      </c>
    </row>
    <row r="73">
      <c r="A73" s="184">
        <v>44047.98322415509</v>
      </c>
      <c r="B73" s="281">
        <v>0.2296984982529146</v>
      </c>
      <c r="C73" s="281">
        <v>0.043216788237542866</v>
      </c>
      <c r="D73" s="281">
        <v>0.25511665489644975</v>
      </c>
      <c r="E73" s="282">
        <v>0.001762906875141182</v>
      </c>
      <c r="F73" s="233">
        <v>1656.553999999771</v>
      </c>
      <c r="G73" s="233">
        <v>70.81525807612343</v>
      </c>
      <c r="H73" s="233">
        <v>201053.82999999978</v>
      </c>
      <c r="I73" s="233">
        <v>176243.8926744187</v>
      </c>
      <c r="J73" s="233">
        <v>336510.35999999975</v>
      </c>
    </row>
    <row r="74">
      <c r="A74" s="184">
        <v>44046.983242013885</v>
      </c>
      <c r="B74" s="281">
        <v>0.22792129750703616</v>
      </c>
      <c r="C74" s="281">
        <v>0.043278461610775754</v>
      </c>
      <c r="D74" s="281">
        <v>0.25337572763422195</v>
      </c>
      <c r="E74" s="282">
        <v>0.014407687987047856</v>
      </c>
      <c r="F74" s="233">
        <v>13514.6320000001</v>
      </c>
      <c r="G74" s="233">
        <v>331.86521479219664</v>
      </c>
      <c r="H74" s="233">
        <v>199397.276</v>
      </c>
      <c r="I74" s="233">
        <v>176173.07741634257</v>
      </c>
      <c r="J74" s="233">
        <v>334853.806</v>
      </c>
    </row>
    <row r="75">
      <c r="A75" s="184">
        <v>44043.98371217593</v>
      </c>
      <c r="B75" s="281">
        <v>0.21040987823945764</v>
      </c>
      <c r="C75" s="281">
        <v>0.043389759305867505</v>
      </c>
      <c r="D75" s="281">
        <v>0.2368100095394062</v>
      </c>
      <c r="E75" s="282">
        <v>4.298482480609104E-4</v>
      </c>
      <c r="F75" s="233">
        <v>397.09799999999814</v>
      </c>
      <c r="G75" s="233">
        <v>104.47283720911946</v>
      </c>
      <c r="H75" s="233">
        <v>185882.6439999999</v>
      </c>
      <c r="I75" s="233">
        <v>175841.21220155037</v>
      </c>
      <c r="J75" s="233">
        <v>321339.1739999999</v>
      </c>
    </row>
    <row r="76">
      <c r="A76" s="184">
        <v>44042.98394230324</v>
      </c>
      <c r="B76" s="281">
        <v>0.2101887914036828</v>
      </c>
      <c r="C76" s="281">
        <v>0.04344863233407448</v>
      </c>
      <c r="D76" s="281">
        <v>0.23662474349866583</v>
      </c>
      <c r="E76" s="282">
        <v>-0.002451772790644568</v>
      </c>
      <c r="F76" s="233">
        <v>-2263.997999999905</v>
      </c>
      <c r="G76" s="233">
        <v>105.38010077516083</v>
      </c>
      <c r="H76" s="233">
        <v>185485.54599999991</v>
      </c>
      <c r="I76" s="233">
        <v>175736.73936434125</v>
      </c>
      <c r="J76" s="233">
        <v>320942.0759999999</v>
      </c>
    </row>
    <row r="77">
      <c r="A77" s="184">
        <v>44041.98395645834</v>
      </c>
      <c r="B77" s="281">
        <v>0.21336614723833208</v>
      </c>
      <c r="C77" s="281">
        <v>0.04350759578999728</v>
      </c>
      <c r="D77" s="281">
        <v>0.23983797514832683</v>
      </c>
      <c r="E77" s="282">
        <v>-0.002345183940927108</v>
      </c>
      <c r="F77" s="233">
        <v>-2170.8820000000997</v>
      </c>
      <c r="G77" s="233">
        <v>109.07332558144117</v>
      </c>
      <c r="H77" s="233">
        <v>187749.54399999982</v>
      </c>
      <c r="I77" s="233">
        <v>175631.3592635661</v>
      </c>
      <c r="J77" s="233">
        <v>323206.0739999998</v>
      </c>
    </row>
    <row r="78">
      <c r="A78" s="184">
        <v>44040.983220462964</v>
      </c>
      <c r="B78" s="281">
        <v>0.21643556373788483</v>
      </c>
      <c r="C78" s="281">
        <v>0.04356723006598331</v>
      </c>
      <c r="D78" s="281">
        <v>0.24294367561767322</v>
      </c>
      <c r="E78" s="282">
        <v>0.005310721710109983</v>
      </c>
      <c r="F78" s="233">
        <v>4927.540000000037</v>
      </c>
      <c r="G78" s="233">
        <v>40.3415177508723</v>
      </c>
      <c r="H78" s="233">
        <v>189920.42599999992</v>
      </c>
      <c r="I78" s="233">
        <v>175522.28593798465</v>
      </c>
      <c r="J78" s="233">
        <v>325376.9559999999</v>
      </c>
    </row>
    <row r="79">
      <c r="A79" s="184">
        <v>44039.98330314815</v>
      </c>
      <c r="B79" s="281">
        <v>0.21042310943518464</v>
      </c>
      <c r="C79" s="281">
        <v>0.04362752006439087</v>
      </c>
      <c r="D79" s="281">
        <v>0.23696790425351652</v>
      </c>
      <c r="E79" s="282">
        <v>-0.007832015894821052</v>
      </c>
      <c r="F79" s="233">
        <v>-7228.324000000022</v>
      </c>
      <c r="G79" s="233">
        <v>188.65835821814835</v>
      </c>
      <c r="H79" s="233">
        <v>184992.88599999988</v>
      </c>
      <c r="I79" s="233">
        <v>175481.94442023378</v>
      </c>
      <c r="J79" s="233">
        <v>320449.41599999985</v>
      </c>
    </row>
    <row r="80">
      <c r="A80" s="184">
        <v>44036.98330869213</v>
      </c>
      <c r="B80" s="281">
        <v>0.2202350780319888</v>
      </c>
      <c r="C80" s="281">
        <v>0.043737302166324765</v>
      </c>
      <c r="D80" s="281">
        <v>0.24684666883978462</v>
      </c>
      <c r="E80" s="282">
        <v>-0.01091942208657029</v>
      </c>
      <c r="F80" s="233">
        <v>-10156.68200000003</v>
      </c>
      <c r="G80" s="233">
        <v>97.18160465100664</v>
      </c>
      <c r="H80" s="233">
        <v>192221.2099999999</v>
      </c>
      <c r="I80" s="233">
        <v>175293.28606201563</v>
      </c>
      <c r="J80" s="233">
        <v>327677.7399999999</v>
      </c>
    </row>
    <row r="81">
      <c r="A81" s="184">
        <v>44035.98314776621</v>
      </c>
      <c r="B81" s="281">
        <v>0.23360483994729672</v>
      </c>
      <c r="C81" s="281">
        <v>0.0437985649187449</v>
      </c>
      <c r="D81" s="281">
        <v>0.26025370555757044</v>
      </c>
      <c r="E81" s="282">
        <v>0.0038170827875388612</v>
      </c>
      <c r="F81" s="233">
        <v>3589.222000000067</v>
      </c>
      <c r="G81" s="233">
        <v>207.67128682186012</v>
      </c>
      <c r="H81" s="233">
        <v>202377.89199999993</v>
      </c>
      <c r="I81" s="233">
        <v>175196.10445736462</v>
      </c>
      <c r="J81" s="233">
        <v>337834.4219999999</v>
      </c>
    </row>
    <row r="82">
      <c r="A82" s="184">
        <v>44034.983165196754</v>
      </c>
      <c r="B82" s="281">
        <v>0.22932219959201608</v>
      </c>
      <c r="C82" s="281">
        <v>0.043862262044422826</v>
      </c>
      <c r="D82" s="281">
        <v>0.2560098211785438</v>
      </c>
      <c r="E82" s="282">
        <v>-0.007756397653046919</v>
      </c>
      <c r="F82" s="233">
        <v>-7265.540000000037</v>
      </c>
      <c r="G82" s="233">
        <v>171.13453488372033</v>
      </c>
      <c r="H82" s="233">
        <v>198788.66999999987</v>
      </c>
      <c r="I82" s="233">
        <v>174988.43317054276</v>
      </c>
      <c r="J82" s="233">
        <v>334245.19999999984</v>
      </c>
    </row>
    <row r="83">
      <c r="A83" s="184">
        <v>44033.98384851852</v>
      </c>
      <c r="B83" s="281">
        <v>0.23902251442659336</v>
      </c>
      <c r="C83" s="281">
        <v>0.04392536808081342</v>
      </c>
      <c r="D83" s="281">
        <v>0.265748532346108</v>
      </c>
      <c r="E83" s="282">
        <v>0.005360108241973504</v>
      </c>
      <c r="F83" s="233">
        <v>5059.841999999946</v>
      </c>
      <c r="G83" s="233">
        <v>106.37682242924348</v>
      </c>
      <c r="H83" s="233">
        <v>206054.2099999999</v>
      </c>
      <c r="I83" s="233">
        <v>174817.29863565904</v>
      </c>
      <c r="J83" s="233">
        <v>341510.7399999999</v>
      </c>
    </row>
    <row r="84">
      <c r="A84" s="184">
        <v>44032.983224814816</v>
      </c>
      <c r="B84" s="281">
        <v>0.23284046099236153</v>
      </c>
      <c r="C84" s="281">
        <v>0.04399029067066959</v>
      </c>
      <c r="D84" s="281">
        <v>0.2596059805114231</v>
      </c>
      <c r="E84" s="282">
        <v>0.0011319924362408848</v>
      </c>
      <c r="F84" s="233">
        <v>1062.8520000001881</v>
      </c>
      <c r="G84" s="233">
        <v>359.2116333846934</v>
      </c>
      <c r="H84" s="233">
        <v>200994.36799999996</v>
      </c>
      <c r="I84" s="233">
        <v>174710.9218132298</v>
      </c>
      <c r="J84" s="233">
        <v>336450.8979999999</v>
      </c>
    </row>
    <row r="85">
      <c r="A85" s="184">
        <v>44029.983179629635</v>
      </c>
      <c r="B85" s="281">
        <v>0.23207290398524652</v>
      </c>
      <c r="C85" s="281">
        <v>0.044105314528308015</v>
      </c>
      <c r="D85" s="281">
        <v>0.25890840879560395</v>
      </c>
      <c r="E85" s="282">
        <v>0.0011450851777427785</v>
      </c>
      <c r="F85" s="233">
        <v>1073.9279999999562</v>
      </c>
      <c r="G85" s="233">
        <v>205.17654263562872</v>
      </c>
      <c r="H85" s="233">
        <v>199931.51599999977</v>
      </c>
      <c r="I85" s="233">
        <v>174351.7101798451</v>
      </c>
      <c r="J85" s="233">
        <v>335388.04599999974</v>
      </c>
    </row>
    <row r="86">
      <c r="A86" s="184">
        <v>44028.98360743056</v>
      </c>
      <c r="B86" s="281">
        <v>0.23101732294655827</v>
      </c>
      <c r="C86" s="281">
        <v>0.04416939169384309</v>
      </c>
      <c r="D86" s="281">
        <v>0.2578918149651998</v>
      </c>
      <c r="E86" s="282">
        <v>-0.0011728949181971646</v>
      </c>
      <c r="F86" s="233">
        <v>-1098.7500000001164</v>
      </c>
      <c r="G86" s="233">
        <v>183.47673488379223</v>
      </c>
      <c r="H86" s="233">
        <v>198857.5879999998</v>
      </c>
      <c r="I86" s="233">
        <v>174146.53363720948</v>
      </c>
      <c r="J86" s="233">
        <v>334314.1179999998</v>
      </c>
    </row>
    <row r="87">
      <c r="A87" s="184">
        <v>44027.983152789355</v>
      </c>
      <c r="B87" s="281">
        <v>0.23277927473038412</v>
      </c>
      <c r="C87" s="281">
        <v>0.044233433141804925</v>
      </c>
      <c r="D87" s="281">
        <v>0.2596927322252551</v>
      </c>
      <c r="E87" s="282">
        <v>0.004631223693705903</v>
      </c>
      <c r="F87" s="233">
        <v>4343.547999999952</v>
      </c>
      <c r="G87" s="233">
        <v>265.2129381231789</v>
      </c>
      <c r="H87" s="233">
        <v>199956.33799999993</v>
      </c>
      <c r="I87" s="233">
        <v>173963.05690232568</v>
      </c>
      <c r="J87" s="233">
        <v>335412.8679999999</v>
      </c>
    </row>
    <row r="88">
      <c r="A88" s="184">
        <v>44026.0</v>
      </c>
      <c r="B88" s="279">
        <v>0.22746928188471763</v>
      </c>
      <c r="C88" s="279">
        <v>0.044297927544019275</v>
      </c>
      <c r="D88" s="279">
        <v>0.2544219804519939</v>
      </c>
      <c r="E88" s="280">
        <v>-0.010393349126195127</v>
      </c>
      <c r="F88" s="235">
        <v>-9702.605999999796</v>
      </c>
      <c r="G88" s="235">
        <v>-37.753330739215016</v>
      </c>
      <c r="H88" s="235">
        <v>195612.78999999998</v>
      </c>
      <c r="I88" s="235">
        <v>173697.8439642025</v>
      </c>
      <c r="J88" s="235">
        <v>331069.31999999995</v>
      </c>
    </row>
    <row r="89">
      <c r="A89" s="184">
        <v>44025.98387409722</v>
      </c>
      <c r="B89" s="281">
        <v>0.2404342393804579</v>
      </c>
      <c r="C89" s="281">
        <v>0.044361647191033034</v>
      </c>
      <c r="D89" s="281">
        <v>0.2674257076269041</v>
      </c>
      <c r="E89" s="282">
        <v>0.004110771107581556</v>
      </c>
      <c r="F89" s="233">
        <v>3877.4539999999106</v>
      </c>
      <c r="G89" s="233">
        <v>375.46906703463173</v>
      </c>
      <c r="H89" s="233">
        <v>205315.39599999978</v>
      </c>
      <c r="I89" s="233">
        <v>173735.59729494172</v>
      </c>
      <c r="J89" s="233">
        <v>340771.92599999974</v>
      </c>
    </row>
    <row r="90">
      <c r="A90" s="184">
        <v>44022.98317260417</v>
      </c>
      <c r="B90" s="281">
        <v>0.23600877561529462</v>
      </c>
      <c r="C90" s="281">
        <v>0.04447943140891431</v>
      </c>
      <c r="D90" s="281">
        <v>0.2630719086708311</v>
      </c>
      <c r="E90" s="282">
        <v>0.006060353265732835</v>
      </c>
      <c r="F90" s="233">
        <v>5692.883999999962</v>
      </c>
      <c r="G90" s="233">
        <v>233.01024031016277</v>
      </c>
      <c r="H90" s="233">
        <v>201437.94199999986</v>
      </c>
      <c r="I90" s="233">
        <v>173360.1282279071</v>
      </c>
      <c r="J90" s="233">
        <v>336894.47199999983</v>
      </c>
    </row>
    <row r="91">
      <c r="A91" s="184">
        <v>44021.983304803245</v>
      </c>
      <c r="B91" s="281">
        <v>0.22891097075215297</v>
      </c>
      <c r="C91" s="281">
        <v>0.044544996563532085</v>
      </c>
      <c r="D91" s="281">
        <v>0.25601399637031946</v>
      </c>
      <c r="E91" s="282">
        <v>0.001798271465646556</v>
      </c>
      <c r="F91" s="233">
        <v>1678.9960000000428</v>
      </c>
      <c r="G91" s="233">
        <v>201.63170542634907</v>
      </c>
      <c r="H91" s="233">
        <v>195745.0579999999</v>
      </c>
      <c r="I91" s="233">
        <v>173127.11798759692</v>
      </c>
      <c r="J91" s="233">
        <v>331201.5879999999</v>
      </c>
    </row>
    <row r="92">
      <c r="A92" s="184">
        <v>44020.98318141204</v>
      </c>
      <c r="B92" s="281">
        <v>0.22704318037230362</v>
      </c>
      <c r="C92" s="281">
        <v>0.0446094735244271</v>
      </c>
      <c r="D92" s="281">
        <v>0.25418543645085245</v>
      </c>
      <c r="E92" s="282">
        <v>-0.006042091540581584</v>
      </c>
      <c r="F92" s="233">
        <v>-5631.188000000082</v>
      </c>
      <c r="G92" s="233">
        <v>164.3518294573878</v>
      </c>
      <c r="H92" s="233">
        <v>194066.06199999986</v>
      </c>
      <c r="I92" s="233">
        <v>172925.48628217058</v>
      </c>
      <c r="J92" s="233">
        <v>329522.59199999983</v>
      </c>
    </row>
    <row r="93">
      <c r="A93" s="184">
        <v>44019.98321366898</v>
      </c>
      <c r="B93" s="281">
        <v>0.23475672498645342</v>
      </c>
      <c r="C93" s="281">
        <v>0.04467377166784951</v>
      </c>
      <c r="D93" s="281">
        <v>0.261938102725409</v>
      </c>
      <c r="E93" s="282">
        <v>0.0038845663511191514</v>
      </c>
      <c r="F93" s="233">
        <v>3642.2639999999665</v>
      </c>
      <c r="G93" s="233">
        <v>84.12634065083694</v>
      </c>
      <c r="H93" s="233">
        <v>199697.24999999994</v>
      </c>
      <c r="I93" s="233">
        <v>172761.1344527132</v>
      </c>
      <c r="J93" s="233">
        <v>335153.7799999999</v>
      </c>
    </row>
    <row r="94">
      <c r="A94" s="184">
        <v>44018.98341570602</v>
      </c>
      <c r="B94" s="281">
        <v>0.23031798417722946</v>
      </c>
      <c r="C94" s="281">
        <v>0.0447395703552831</v>
      </c>
      <c r="D94" s="281">
        <v>0.2575393965698775</v>
      </c>
      <c r="E94" s="282">
        <v>0.0029600375011907057</v>
      </c>
      <c r="F94" s="233">
        <v>2764.622000000323</v>
      </c>
      <c r="G94" s="233">
        <v>339.47917872897233</v>
      </c>
      <c r="H94" s="233">
        <v>196054.98599999998</v>
      </c>
      <c r="I94" s="233">
        <v>172677.00811206235</v>
      </c>
      <c r="J94" s="233">
        <v>331511.51599999995</v>
      </c>
    </row>
    <row r="95">
      <c r="A95" s="184">
        <v>44015.98323453704</v>
      </c>
      <c r="B95" s="281">
        <v>0.22728161988320394</v>
      </c>
      <c r="C95" s="281">
        <v>0.04485705388040223</v>
      </c>
      <c r="D95" s="281">
        <v>0.25457451413097976</v>
      </c>
      <c r="E95" s="282">
        <v>-0.0032289536185075678</v>
      </c>
      <c r="F95" s="233">
        <v>-3006.8580000002403</v>
      </c>
      <c r="G95" s="233">
        <v>175.55881395348115</v>
      </c>
      <c r="H95" s="233">
        <v>193290.36399999965</v>
      </c>
      <c r="I95" s="233">
        <v>172337.52893333338</v>
      </c>
      <c r="J95" s="233">
        <v>328746.8939999996</v>
      </c>
    </row>
    <row r="96">
      <c r="A96" s="184">
        <v>44014.98316203704</v>
      </c>
      <c r="B96" s="281">
        <v>0.23157612135271818</v>
      </c>
      <c r="C96" s="281">
        <v>0.044921901866851084</v>
      </c>
      <c r="D96" s="281">
        <v>0.2589084718082299</v>
      </c>
      <c r="E96" s="282">
        <v>0.00889273786215987</v>
      </c>
      <c r="F96" s="233">
        <v>8307.812000000034</v>
      </c>
      <c r="G96" s="233">
        <v>91.38192171455012</v>
      </c>
      <c r="H96" s="233">
        <v>196297.2219999999</v>
      </c>
      <c r="I96" s="233">
        <v>172161.9701193799</v>
      </c>
      <c r="J96" s="233">
        <v>331753.75199999986</v>
      </c>
    </row>
    <row r="97">
      <c r="A97" s="184">
        <v>44013.983109479166</v>
      </c>
      <c r="B97" s="281">
        <v>0.22094136783787463</v>
      </c>
      <c r="C97" s="281">
        <v>0.04498765633056952</v>
      </c>
      <c r="D97" s="281">
        <v>0.2483137260395342</v>
      </c>
      <c r="E97" s="282">
        <v>0.001863530870618053</v>
      </c>
      <c r="F97" s="233">
        <v>1725.4739999999292</v>
      </c>
      <c r="G97" s="233">
        <v>382.849278285692</v>
      </c>
      <c r="H97" s="233">
        <v>187989.40999999986</v>
      </c>
      <c r="I97" s="233">
        <v>172070.58819766535</v>
      </c>
      <c r="J97" s="233">
        <v>323445.9399999998</v>
      </c>
    </row>
    <row r="98">
      <c r="A98" s="184">
        <v>44012.98317060185</v>
      </c>
      <c r="B98" s="281">
        <v>0.21813841582296092</v>
      </c>
      <c r="C98" s="281">
        <v>0.04505168539172018</v>
      </c>
      <c r="D98" s="281">
        <v>0.24638473183217757</v>
      </c>
      <c r="E98" s="282">
        <v>0.006370387807249122</v>
      </c>
      <c r="F98" s="233">
        <v>5883.434000000008</v>
      </c>
      <c r="G98" s="233">
        <v>42.297552842850564</v>
      </c>
      <c r="H98" s="233">
        <v>186263.93599999993</v>
      </c>
      <c r="I98" s="233">
        <v>171687.73891937966</v>
      </c>
      <c r="J98" s="233">
        <v>321720.4659999999</v>
      </c>
    </row>
    <row r="99">
      <c r="A99" s="184">
        <v>44011.983203703705</v>
      </c>
      <c r="B99" s="281">
        <v>0.2106539949885506</v>
      </c>
      <c r="C99" s="281">
        <v>0.04511551225981119</v>
      </c>
      <c r="D99" s="281">
        <v>0.23894032889876926</v>
      </c>
      <c r="E99" s="282">
        <v>0.0012658929234346963</v>
      </c>
      <c r="F99" s="233">
        <v>1161.6800000001676</v>
      </c>
      <c r="G99" s="233">
        <v>404.058540180471</v>
      </c>
      <c r="H99" s="233">
        <v>180380.50199999992</v>
      </c>
      <c r="I99" s="233">
        <v>171645.4413665368</v>
      </c>
      <c r="J99" s="233">
        <v>315837.0319999999</v>
      </c>
    </row>
    <row r="100">
      <c r="A100" s="184">
        <v>44008.983426886574</v>
      </c>
      <c r="B100" s="281">
        <v>0.20965104398706508</v>
      </c>
      <c r="C100" s="281">
        <v>0.0452311221048384</v>
      </c>
      <c r="D100" s="281">
        <v>0.23800986247112424</v>
      </c>
      <c r="E100" s="282">
        <v>0.0034186926796955924</v>
      </c>
      <c r="F100" s="233">
        <v>3133.2820000000065</v>
      </c>
      <c r="G100" s="233">
        <v>192.68953488371335</v>
      </c>
      <c r="H100" s="233">
        <v>179218.82199999975</v>
      </c>
      <c r="I100" s="233">
        <v>171241.38282635633</v>
      </c>
      <c r="J100" s="233">
        <v>314675.3519999997</v>
      </c>
    </row>
    <row r="101">
      <c r="A101" s="184">
        <v>44007.98330918982</v>
      </c>
      <c r="B101" s="281">
        <v>0.21034043226791274</v>
      </c>
      <c r="C101" s="281">
        <v>0.040727992369574535</v>
      </c>
      <c r="D101" s="281">
        <v>0.23417274376128233</v>
      </c>
      <c r="E101" s="282">
        <v>0.0027851933383743763</v>
      </c>
      <c r="F101" s="233">
        <v>2553.5060000001686</v>
      </c>
      <c r="G101" s="233">
        <v>194.91327131789876</v>
      </c>
      <c r="H101" s="233">
        <v>176085.53999999975</v>
      </c>
      <c r="I101" s="233">
        <v>171048.69329147262</v>
      </c>
      <c r="J101" s="233">
        <v>311542.0699999997</v>
      </c>
    </row>
    <row r="102">
      <c r="A102" s="184">
        <v>44006.98320567129</v>
      </c>
      <c r="B102" s="281">
        <v>0.20722840124568317</v>
      </c>
      <c r="C102" s="281">
        <v>0.04078385132048517</v>
      </c>
      <c r="D102" s="281">
        <v>0.23109339905233126</v>
      </c>
      <c r="E102" s="282">
        <v>-0.010325535836740082</v>
      </c>
      <c r="F102" s="233">
        <v>-9440.236000000266</v>
      </c>
      <c r="G102" s="233">
        <v>142.26410077509354</v>
      </c>
      <c r="H102" s="233">
        <v>173532.03399999958</v>
      </c>
      <c r="I102" s="233">
        <v>170853.78002015472</v>
      </c>
      <c r="J102" s="233">
        <v>308988.56399999955</v>
      </c>
    </row>
    <row r="103">
      <c r="A103" s="184">
        <v>44005.98317166667</v>
      </c>
      <c r="B103" s="281">
        <v>0.22009903207975418</v>
      </c>
      <c r="C103" s="281">
        <v>0.040839335468253794</v>
      </c>
      <c r="D103" s="281">
        <v>0.24399649688061512</v>
      </c>
      <c r="E103" s="282">
        <v>-6.518340516461513E-4</v>
      </c>
      <c r="F103" s="233">
        <v>-602.0999999998603</v>
      </c>
      <c r="G103" s="233">
        <v>21.41141665604664</v>
      </c>
      <c r="H103" s="233">
        <v>182972.26999999984</v>
      </c>
      <c r="I103" s="233">
        <v>170711.51591937963</v>
      </c>
      <c r="J103" s="233">
        <v>318428.7999999998</v>
      </c>
    </row>
    <row r="104">
      <c r="A104" s="184">
        <v>44004.98319782407</v>
      </c>
      <c r="B104" s="281">
        <v>0.2212138824635682</v>
      </c>
      <c r="C104" s="281">
        <v>0.0408970055465188</v>
      </c>
      <c r="D104" s="281">
        <v>0.24514509337340962</v>
      </c>
      <c r="E104" s="282">
        <v>-0.007838256929169207</v>
      </c>
      <c r="F104" s="233">
        <v>-7244.928000000073</v>
      </c>
      <c r="G104" s="233">
        <v>334.1101957470528</v>
      </c>
      <c r="H104" s="233">
        <v>183574.3699999997</v>
      </c>
      <c r="I104" s="233">
        <v>170690.10450272358</v>
      </c>
      <c r="J104" s="233">
        <v>319030.8999999997</v>
      </c>
    </row>
    <row r="105">
      <c r="A105" s="184">
        <v>44001.98315118055</v>
      </c>
      <c r="B105" s="281">
        <v>0.23148826323605268</v>
      </c>
      <c r="C105" s="281">
        <v>0.0410031956875171</v>
      </c>
      <c r="D105" s="281">
        <v>0.2554816121588565</v>
      </c>
      <c r="E105" s="282">
        <v>0.007056305485228236</v>
      </c>
      <c r="F105" s="233">
        <v>6573.289999999921</v>
      </c>
      <c r="G105" s="233">
        <v>259.3919961239153</v>
      </c>
      <c r="H105" s="233">
        <v>190819.29799999978</v>
      </c>
      <c r="I105" s="233">
        <v>170355.99430697653</v>
      </c>
      <c r="J105" s="233">
        <v>326275.82799999975</v>
      </c>
    </row>
    <row r="106">
      <c r="A106" s="184">
        <v>44000.98316282408</v>
      </c>
      <c r="B106" s="281">
        <v>0.2230123802219175</v>
      </c>
      <c r="C106" s="281">
        <v>0.0410630148012677</v>
      </c>
      <c r="D106" s="281">
        <v>0.24704073277905783</v>
      </c>
      <c r="E106" s="282">
        <v>0.0019199868232561439</v>
      </c>
      <c r="F106" s="233">
        <v>1775.9400000000605</v>
      </c>
      <c r="G106" s="233">
        <v>198.75771317849285</v>
      </c>
      <c r="H106" s="233">
        <v>184246.00799999986</v>
      </c>
      <c r="I106" s="233">
        <v>170096.6023108526</v>
      </c>
      <c r="J106" s="233">
        <v>319702.5379999998</v>
      </c>
    </row>
    <row r="107">
      <c r="A107" s="184">
        <v>43999.98317890047</v>
      </c>
      <c r="B107" s="281">
        <v>0.2209459750327084</v>
      </c>
      <c r="C107" s="281">
        <v>0.04112160614237573</v>
      </c>
      <c r="D107" s="281">
        <v>0.24500861278317299</v>
      </c>
      <c r="E107" s="282">
        <v>0.003577061321366551</v>
      </c>
      <c r="F107" s="233">
        <v>3302.3399999999674</v>
      </c>
      <c r="G107" s="233">
        <v>234.96760852707666</v>
      </c>
      <c r="H107" s="233">
        <v>182470.0679999998</v>
      </c>
      <c r="I107" s="233">
        <v>169897.84459767412</v>
      </c>
      <c r="J107" s="233">
        <v>317926.59799999977</v>
      </c>
    </row>
    <row r="108">
      <c r="A108" s="184">
        <v>43998.98355042824</v>
      </c>
      <c r="B108" s="281">
        <v>0.21681925290279117</v>
      </c>
      <c r="C108" s="281">
        <v>0.04117999740822518</v>
      </c>
      <c r="D108" s="281">
        <v>0.24091605877093733</v>
      </c>
      <c r="E108" s="282">
        <v>0.014404428562769512</v>
      </c>
      <c r="F108" s="233">
        <v>13250.587999999989</v>
      </c>
      <c r="G108" s="233">
        <v>64.58956813561963</v>
      </c>
      <c r="H108" s="233">
        <v>179167.72799999983</v>
      </c>
      <c r="I108" s="233">
        <v>169662.87698914704</v>
      </c>
      <c r="J108" s="233">
        <v>314624.2579999998</v>
      </c>
    </row>
    <row r="109">
      <c r="A109" s="184">
        <v>43997.983149039355</v>
      </c>
      <c r="B109" s="281">
        <v>0.19928157633541557</v>
      </c>
      <c r="C109" s="281">
        <v>0.04123785400158118</v>
      </c>
      <c r="D109" s="281">
        <v>0.22341223745334407</v>
      </c>
      <c r="E109" s="282">
        <v>-0.0057259202412389245</v>
      </c>
      <c r="F109" s="233">
        <v>-5191.383999999962</v>
      </c>
      <c r="G109" s="233">
        <v>357.97682721330784</v>
      </c>
      <c r="H109" s="233">
        <v>165917.13999999984</v>
      </c>
      <c r="I109" s="233">
        <v>169598.28742101142</v>
      </c>
      <c r="J109" s="233">
        <v>301373.6699999998</v>
      </c>
    </row>
    <row r="110">
      <c r="A110" s="184">
        <v>43994.983169178246</v>
      </c>
      <c r="B110" s="281">
        <v>0.2067919143600617</v>
      </c>
      <c r="C110" s="281">
        <v>0.04134181013200238</v>
      </c>
      <c r="D110" s="281">
        <v>0.23098340624174013</v>
      </c>
      <c r="E110" s="282">
        <v>0.00309268443931504</v>
      </c>
      <c r="F110" s="233">
        <v>2820.0259999999544</v>
      </c>
      <c r="G110" s="233">
        <v>225.78829844947904</v>
      </c>
      <c r="H110" s="233">
        <v>171108.5239999998</v>
      </c>
      <c r="I110" s="233">
        <v>169240.31059379812</v>
      </c>
      <c r="J110" s="233">
        <v>306565.05399999977</v>
      </c>
    </row>
    <row r="111">
      <c r="A111" s="184">
        <v>43993.983202083335</v>
      </c>
      <c r="B111" s="281">
        <v>0.20326270736170343</v>
      </c>
      <c r="C111" s="281">
        <v>0.0413983511806385</v>
      </c>
      <c r="D111" s="281">
        <v>0.2274872846916168</v>
      </c>
      <c r="E111" s="282">
        <v>-0.021322001087618014</v>
      </c>
      <c r="F111" s="233">
        <v>-19382.073999999906</v>
      </c>
      <c r="G111" s="233">
        <v>-102.19462371733971</v>
      </c>
      <c r="H111" s="233">
        <v>168288.49799999985</v>
      </c>
      <c r="I111" s="233">
        <v>169014.52229534864</v>
      </c>
      <c r="J111" s="233">
        <v>303745.0279999998</v>
      </c>
    </row>
    <row r="112">
      <c r="A112" s="184">
        <v>43992.98337318287</v>
      </c>
      <c r="B112" s="281">
        <v>0.22977371828560453</v>
      </c>
      <c r="C112" s="281">
        <v>0.04145444402659398</v>
      </c>
      <c r="D112" s="281">
        <v>0.2540311187943584</v>
      </c>
      <c r="E112" s="282">
        <v>0.0010997742047864165</v>
      </c>
      <c r="F112" s="233">
        <v>1021.0300000000279</v>
      </c>
      <c r="G112" s="233">
        <v>497.8161237172608</v>
      </c>
      <c r="H112" s="233">
        <v>187670.57199999975</v>
      </c>
      <c r="I112" s="233">
        <v>169116.71691906598</v>
      </c>
      <c r="J112" s="233">
        <v>323127.1019999997</v>
      </c>
    </row>
    <row r="113">
      <c r="A113" s="184">
        <v>43991.9838824537</v>
      </c>
      <c r="B113" s="281">
        <v>0.22872514761969528</v>
      </c>
      <c r="C113" s="281">
        <v>0.041514975682100184</v>
      </c>
      <c r="D113" s="281">
        <v>0.2530179687123106</v>
      </c>
      <c r="E113" s="282">
        <v>-7.760778339778234E-4</v>
      </c>
      <c r="F113" s="233">
        <v>-719.7179999998771</v>
      </c>
      <c r="G113" s="233">
        <v>43.40468173008412</v>
      </c>
      <c r="H113" s="233">
        <v>186649.54199999972</v>
      </c>
      <c r="I113" s="233">
        <v>168618.90079534872</v>
      </c>
      <c r="J113" s="233">
        <v>322106.0719999997</v>
      </c>
    </row>
    <row r="114">
      <c r="A114" s="184">
        <v>43990.98435254629</v>
      </c>
      <c r="B114" s="281">
        <v>0.23003553330321375</v>
      </c>
      <c r="C114" s="281">
        <v>0.041575477086038995</v>
      </c>
      <c r="D114" s="281">
        <v>0.2543637572777431</v>
      </c>
      <c r="E114" s="282">
        <v>0.005384498313136543</v>
      </c>
      <c r="F114" s="233">
        <v>4997.343999999808</v>
      </c>
      <c r="G114" s="233">
        <v>548.4489926885581</v>
      </c>
      <c r="H114" s="233">
        <v>187369.2599999996</v>
      </c>
      <c r="I114" s="233">
        <v>168575.49611361863</v>
      </c>
      <c r="J114" s="233">
        <v>322825.7899999996</v>
      </c>
    </row>
    <row r="115">
      <c r="A115" s="184">
        <v>43987.983116145835</v>
      </c>
      <c r="B115" s="281">
        <v>0.22384353079286734</v>
      </c>
      <c r="C115" s="281">
        <v>0.04166773139080485</v>
      </c>
      <c r="D115" s="281">
        <v>0.24823628364489075</v>
      </c>
      <c r="E115" s="282">
        <v>0.009796574742331197</v>
      </c>
      <c r="F115" s="233">
        <v>9043.22800000012</v>
      </c>
      <c r="G115" s="233">
        <v>318.78492635671864</v>
      </c>
      <c r="H115" s="233">
        <v>182371.9159999998</v>
      </c>
      <c r="I115" s="233">
        <v>168027.04712093007</v>
      </c>
      <c r="J115" s="233">
        <v>317828.44599999976</v>
      </c>
    </row>
    <row r="116">
      <c r="A116" s="184">
        <v>43986.98314200231</v>
      </c>
      <c r="B116" s="281">
        <v>0.2118389860623154</v>
      </c>
      <c r="C116" s="281">
        <v>0.04172774727650384</v>
      </c>
      <c r="D116" s="281">
        <v>0.23626687288055653</v>
      </c>
      <c r="E116" s="282">
        <v>-0.009203866760378947</v>
      </c>
      <c r="F116" s="233">
        <v>-8412.866000000038</v>
      </c>
      <c r="G116" s="233">
        <v>220.15113953480613</v>
      </c>
      <c r="H116" s="233">
        <v>173328.68799999967</v>
      </c>
      <c r="I116" s="233">
        <v>167708.26219457336</v>
      </c>
      <c r="J116" s="233">
        <v>308785.21799999964</v>
      </c>
    </row>
    <row r="117">
      <c r="A117" s="184">
        <v>43985.983211956016</v>
      </c>
      <c r="B117" s="281">
        <v>0.22361807909999878</v>
      </c>
      <c r="C117" s="281">
        <v>0.04178593494170056</v>
      </c>
      <c r="D117" s="281">
        <v>0.24808002962386544</v>
      </c>
      <c r="E117" s="282">
        <v>-7.953770721838717E-4</v>
      </c>
      <c r="F117" s="233">
        <v>-733.7120000002906</v>
      </c>
      <c r="G117" s="233">
        <v>287.13526356595685</v>
      </c>
      <c r="H117" s="233">
        <v>181741.5539999997</v>
      </c>
      <c r="I117" s="233">
        <v>167488.11105503855</v>
      </c>
      <c r="J117" s="233">
        <v>317198.0839999997</v>
      </c>
    </row>
    <row r="118">
      <c r="A118" s="184">
        <v>43984.98322386574</v>
      </c>
      <c r="B118" s="281">
        <v>0.22494348936583863</v>
      </c>
      <c r="C118" s="281">
        <v>0.04184618664610751</v>
      </c>
      <c r="D118" s="281">
        <v>0.24944071190681433</v>
      </c>
      <c r="E118" s="282">
        <v>-0.003682887735421471</v>
      </c>
      <c r="F118" s="233">
        <v>-3400.0580000000773</v>
      </c>
      <c r="G118" s="233">
        <v>22.250280966894934</v>
      </c>
      <c r="H118" s="233">
        <v>182475.266</v>
      </c>
      <c r="I118" s="233">
        <v>167200.9757914726</v>
      </c>
      <c r="J118" s="233">
        <v>417931.79600000003</v>
      </c>
    </row>
    <row r="119">
      <c r="A119" s="184">
        <v>43983.98315565972</v>
      </c>
      <c r="B119" s="281">
        <v>0.23004719910024166</v>
      </c>
      <c r="C119" s="281">
        <v>0.041929278147958896</v>
      </c>
      <c r="D119" s="281">
        <v>0.25459306432948264</v>
      </c>
      <c r="E119" s="282">
        <v>0.007066055267032335</v>
      </c>
      <c r="F119" s="233">
        <v>6547.438000000111</v>
      </c>
      <c r="G119" s="233">
        <v>538.5447950020607</v>
      </c>
      <c r="H119" s="233">
        <v>185875.32400000008</v>
      </c>
      <c r="I119" s="233">
        <v>167178.7255105057</v>
      </c>
      <c r="J119" s="233">
        <v>421331.8540000001</v>
      </c>
    </row>
    <row r="120">
      <c r="A120" s="184">
        <v>43980.983122164354</v>
      </c>
      <c r="B120" s="281">
        <v>0.22103888864718313</v>
      </c>
      <c r="C120" s="281">
        <v>0.04206357406790135</v>
      </c>
      <c r="D120" s="281">
        <v>0.24641176762364791</v>
      </c>
      <c r="E120" s="282">
        <v>-0.011169712150220775</v>
      </c>
      <c r="F120" s="233">
        <v>-10270.687999999966</v>
      </c>
      <c r="G120" s="233">
        <v>209.42397364330827</v>
      </c>
      <c r="H120" s="233">
        <v>179327.88599999997</v>
      </c>
      <c r="I120" s="233">
        <v>166640.18071550364</v>
      </c>
      <c r="J120" s="233">
        <v>415184.416</v>
      </c>
    </row>
    <row r="121">
      <c r="A121" s="184">
        <v>43979.98316521991</v>
      </c>
      <c r="B121" s="281">
        <v>0.23561750237145931</v>
      </c>
      <c r="C121" s="281">
        <v>0.042146898318419806</v>
      </c>
      <c r="D121" s="281">
        <v>0.2610406427955319</v>
      </c>
      <c r="E121" s="282">
        <v>0.0030843110239911035</v>
      </c>
      <c r="F121" s="233">
        <v>2867.7399999998743</v>
      </c>
      <c r="G121" s="233">
        <v>289.9907705427613</v>
      </c>
      <c r="H121" s="233">
        <v>189598.57399999994</v>
      </c>
      <c r="I121" s="233">
        <v>166430.75674186033</v>
      </c>
      <c r="J121" s="233">
        <v>425455.104</v>
      </c>
    </row>
    <row r="122">
      <c r="A122" s="184">
        <v>43978.983182372685</v>
      </c>
      <c r="B122" s="281">
        <v>0.2332369122698586</v>
      </c>
      <c r="C122" s="281">
        <v>0.041138061949741594</v>
      </c>
      <c r="D122" s="281">
        <v>0.2576170807284789</v>
      </c>
      <c r="E122" s="282">
        <v>-0.004108709215602466</v>
      </c>
      <c r="F122" s="233">
        <v>-3811.685999999987</v>
      </c>
      <c r="G122" s="233">
        <v>265.93609612391447</v>
      </c>
      <c r="H122" s="233">
        <v>186730.83400000006</v>
      </c>
      <c r="I122" s="233">
        <v>166140.76597131757</v>
      </c>
      <c r="J122" s="233">
        <v>422587.3640000001</v>
      </c>
    </row>
    <row r="123">
      <c r="A123" s="184">
        <v>43977.983150995366</v>
      </c>
      <c r="B123" s="281">
        <v>0.23897984672674227</v>
      </c>
      <c r="C123" s="281">
        <v>0.04122159302658229</v>
      </c>
      <c r="D123" s="281">
        <v>0.2634095192608679</v>
      </c>
      <c r="E123" s="282">
        <v>-0.008077322523079815</v>
      </c>
      <c r="F123" s="233">
        <v>-7524.191999999923</v>
      </c>
      <c r="G123" s="233">
        <v>43.721938229049556</v>
      </c>
      <c r="H123" s="233">
        <v>190542.52000000005</v>
      </c>
      <c r="I123" s="233">
        <v>165874.82987519365</v>
      </c>
      <c r="J123" s="233">
        <v>426399.0500000001</v>
      </c>
    </row>
    <row r="124">
      <c r="A124" s="184">
        <v>43976.98317258102</v>
      </c>
      <c r="B124" s="281">
        <v>0.24989418340089053</v>
      </c>
      <c r="C124" s="281">
        <v>0.04130634886350756</v>
      </c>
      <c r="D124" s="281">
        <v>0.27437408585553635</v>
      </c>
      <c r="E124" s="282">
        <v>0.00895073848408035</v>
      </c>
      <c r="F124" s="233">
        <v>8405.144000000088</v>
      </c>
      <c r="G124" s="233">
        <v>598.8645175849379</v>
      </c>
      <c r="H124" s="233">
        <v>198066.71199999997</v>
      </c>
      <c r="I124" s="233">
        <v>165831.1079369646</v>
      </c>
      <c r="J124" s="233">
        <v>433923.242</v>
      </c>
    </row>
    <row r="125">
      <c r="A125" s="184">
        <v>43973.983142453704</v>
      </c>
      <c r="B125" s="281">
        <v>0.23903745240566224</v>
      </c>
      <c r="C125" s="281">
        <v>0.04144272207147067</v>
      </c>
      <c r="D125" s="281">
        <v>0.2635981754343896</v>
      </c>
      <c r="E125" s="282">
        <v>0.00469320880226266</v>
      </c>
      <c r="F125" s="233">
        <v>4367.685999999871</v>
      </c>
      <c r="G125" s="233">
        <v>293.09888682173914</v>
      </c>
      <c r="H125" s="233">
        <v>189661.56799999988</v>
      </c>
      <c r="I125" s="233">
        <v>165232.24341937967</v>
      </c>
      <c r="J125" s="233">
        <v>425518.09799999994</v>
      </c>
    </row>
    <row r="126">
      <c r="A126" s="184">
        <v>43972.98317396991</v>
      </c>
      <c r="B126" s="281">
        <v>0.2334474952691644</v>
      </c>
      <c r="C126" s="281">
        <v>0.04152818142232483</v>
      </c>
      <c r="D126" s="281">
        <v>0.2580588651507439</v>
      </c>
      <c r="E126" s="282">
        <v>-0.0014654443989503838</v>
      </c>
      <c r="F126" s="233">
        <v>-1357.3999999999069</v>
      </c>
      <c r="G126" s="233">
        <v>250.21567751950352</v>
      </c>
      <c r="H126" s="233">
        <v>185293.882</v>
      </c>
      <c r="I126" s="233">
        <v>164939.14453255793</v>
      </c>
      <c r="J126" s="233">
        <v>421150.41200000007</v>
      </c>
    </row>
    <row r="127">
      <c r="A127" s="184">
        <v>43971.98361809028</v>
      </c>
      <c r="B127" s="281">
        <v>0.23581879146245577</v>
      </c>
      <c r="C127" s="281">
        <v>0.041613032184807164</v>
      </c>
      <c r="D127" s="281">
        <v>0.2604804475214855</v>
      </c>
      <c r="E127" s="282">
        <v>-0.001027759663681827</v>
      </c>
      <c r="F127" s="233">
        <v>-953.3800000001211</v>
      </c>
      <c r="G127" s="233">
        <v>266.3101193799812</v>
      </c>
      <c r="H127" s="233">
        <v>186651.28199999992</v>
      </c>
      <c r="I127" s="233">
        <v>164688.92885503842</v>
      </c>
      <c r="J127" s="233">
        <v>422507.812</v>
      </c>
    </row>
    <row r="128">
      <c r="A128" s="184">
        <v>43970.98323745371</v>
      </c>
      <c r="B128" s="281">
        <v>0.23763675872643295</v>
      </c>
      <c r="C128" s="281">
        <v>0.04169857150861688</v>
      </c>
      <c r="D128" s="281">
        <v>0.26234910903369596</v>
      </c>
      <c r="E128" s="282">
        <v>-0.00543432479318355</v>
      </c>
      <c r="F128" s="233">
        <v>-5046.219999999972</v>
      </c>
      <c r="G128" s="233">
        <v>47.5831255420926</v>
      </c>
      <c r="H128" s="233">
        <v>187604.66200000004</v>
      </c>
      <c r="I128" s="233">
        <v>164422.61873565844</v>
      </c>
      <c r="J128" s="233">
        <v>423461.1920000001</v>
      </c>
    </row>
    <row r="129">
      <c r="A129" s="184">
        <v>43969.98433399305</v>
      </c>
      <c r="B129" s="281">
        <v>0.24519896024586238</v>
      </c>
      <c r="C129" s="281">
        <v>0.04178471339685256</v>
      </c>
      <c r="D129" s="281">
        <v>0.2699623619067136</v>
      </c>
      <c r="E129" s="282">
        <v>0.014666694312197075</v>
      </c>
      <c r="F129" s="233">
        <v>13693.250000000087</v>
      </c>
      <c r="G129" s="233">
        <v>504.55084965151036</v>
      </c>
      <c r="H129" s="233">
        <v>192650.882</v>
      </c>
      <c r="I129" s="233">
        <v>164375.03561011635</v>
      </c>
      <c r="J129" s="233">
        <v>428507.41200000007</v>
      </c>
    </row>
    <row r="130">
      <c r="A130" s="184">
        <v>43966.98318451389</v>
      </c>
      <c r="B130" s="281">
        <v>0.22816303554461728</v>
      </c>
      <c r="C130" s="281">
        <v>0.04186660900355012</v>
      </c>
      <c r="D130" s="281">
        <v>0.2516023017631222</v>
      </c>
      <c r="E130" s="282">
        <v>0.0023911507252376467</v>
      </c>
      <c r="F130" s="233">
        <v>2202.0960000000196</v>
      </c>
      <c r="G130" s="233">
        <v>255.49394883718924</v>
      </c>
      <c r="H130" s="233">
        <v>178957.63199999993</v>
      </c>
      <c r="I130" s="233">
        <v>163870.48476046484</v>
      </c>
      <c r="J130" s="233">
        <v>415614.16199999995</v>
      </c>
    </row>
    <row r="131">
      <c r="A131" s="184">
        <v>43965.98317482639</v>
      </c>
      <c r="B131" s="281">
        <v>0.2255246763119253</v>
      </c>
      <c r="C131" s="281">
        <v>0.04195173818188828</v>
      </c>
      <c r="D131" s="281">
        <v>0.24901160259943317</v>
      </c>
      <c r="E131" s="282">
        <v>0.00173420242997643</v>
      </c>
      <c r="F131" s="233">
        <v>1593.270000000135</v>
      </c>
      <c r="G131" s="233">
        <v>257.15595658909297</v>
      </c>
      <c r="H131" s="233">
        <v>176755.5359999999</v>
      </c>
      <c r="I131" s="233">
        <v>163614.99081162765</v>
      </c>
      <c r="J131" s="233">
        <v>413412.06599999993</v>
      </c>
    </row>
    <row r="132">
      <c r="A132" s="184">
        <v>43964.98316293981</v>
      </c>
      <c r="B132" s="281">
        <v>0.22373246449520856</v>
      </c>
      <c r="C132" s="281">
        <v>0.042036733737841656</v>
      </c>
      <c r="D132" s="281">
        <v>0.24726697604244482</v>
      </c>
      <c r="E132" s="282">
        <v>-0.009506569434317293</v>
      </c>
      <c r="F132" s="233">
        <v>-8718.858000000007</v>
      </c>
      <c r="G132" s="233">
        <v>241.85455038768123</v>
      </c>
      <c r="H132" s="233">
        <v>175162.26599999977</v>
      </c>
      <c r="I132" s="233">
        <v>163357.83485503856</v>
      </c>
      <c r="J132" s="233">
        <v>411818.7959999998</v>
      </c>
    </row>
    <row r="133">
      <c r="A133" s="184">
        <v>43963.98321686343</v>
      </c>
      <c r="B133" s="281">
        <v>0.23651768191638137</v>
      </c>
      <c r="C133" s="281">
        <v>0.04212173370345987</v>
      </c>
      <c r="D133" s="281">
        <v>0.2600997811921227</v>
      </c>
      <c r="E133" s="282">
        <v>-0.005106774533151582</v>
      </c>
      <c r="F133" s="233">
        <v>-4728.154000000213</v>
      </c>
      <c r="G133" s="233">
        <v>43.307508542056894</v>
      </c>
      <c r="H133" s="233">
        <v>183881.12399999978</v>
      </c>
      <c r="I133" s="233">
        <v>163115.98030465088</v>
      </c>
      <c r="J133" s="233">
        <v>420537.6539999998</v>
      </c>
    </row>
    <row r="134">
      <c r="A134" s="184">
        <v>43962.98321101852</v>
      </c>
      <c r="B134" s="281">
        <v>0.24371040167726488</v>
      </c>
      <c r="C134" s="281">
        <v>0.04220915292101515</v>
      </c>
      <c r="D134" s="281">
        <v>0.2673414431138752</v>
      </c>
      <c r="E134" s="282">
        <v>0.0013233535168380181</v>
      </c>
      <c r="F134" s="233">
        <v>1231.4960000001593</v>
      </c>
      <c r="G134" s="233">
        <v>566.9734604500991</v>
      </c>
      <c r="H134" s="233">
        <v>188609.278</v>
      </c>
      <c r="I134" s="233">
        <v>163072.67279610882</v>
      </c>
      <c r="J134" s="233">
        <v>425265.808</v>
      </c>
    </row>
    <row r="135">
      <c r="A135" s="184">
        <v>43959.98385730324</v>
      </c>
      <c r="B135" s="281">
        <v>0.24276728731536898</v>
      </c>
      <c r="C135" s="281">
        <v>0.04234913523772904</v>
      </c>
      <c r="D135" s="281">
        <v>0.266476698671718</v>
      </c>
      <c r="E135" s="282">
        <v>-0.0013535310913455614</v>
      </c>
      <c r="F135" s="233">
        <v>-1257.9120000000112</v>
      </c>
      <c r="G135" s="233">
        <v>270.37996434111847</v>
      </c>
      <c r="H135" s="233">
        <v>187377.78199999983</v>
      </c>
      <c r="I135" s="233">
        <v>162505.69933565872</v>
      </c>
      <c r="J135" s="233">
        <v>424034.31199999986</v>
      </c>
    </row>
    <row r="136">
      <c r="A136" s="184">
        <v>43958.9835503588</v>
      </c>
      <c r="B136" s="281">
        <v>0.24507122785095733</v>
      </c>
      <c r="C136" s="281">
        <v>0.04243831959977423</v>
      </c>
      <c r="D136" s="281">
        <v>0.2688305695946547</v>
      </c>
      <c r="E136" s="282">
        <v>0.012064107362507353</v>
      </c>
      <c r="F136" s="233">
        <v>11227.02399999986</v>
      </c>
      <c r="G136" s="233">
        <v>316.0317782945931</v>
      </c>
      <c r="H136" s="233">
        <v>188635.69399999984</v>
      </c>
      <c r="I136" s="233">
        <v>162235.3193713176</v>
      </c>
      <c r="J136" s="233">
        <v>425292.2239999999</v>
      </c>
    </row>
    <row r="137">
      <c r="A137" s="184">
        <v>43957.98321369213</v>
      </c>
      <c r="B137" s="281">
        <v>0.22955646913866826</v>
      </c>
      <c r="C137" s="281">
        <v>0.04252821285123435</v>
      </c>
      <c r="D137" s="281">
        <v>0.25336613814560394</v>
      </c>
      <c r="E137" s="282">
        <v>-0.007512062035353843</v>
      </c>
      <c r="F137" s="233">
        <v>-6906.489999999874</v>
      </c>
      <c r="G137" s="233">
        <v>191.70449922481203</v>
      </c>
      <c r="H137" s="233">
        <v>177408.66999999998</v>
      </c>
      <c r="I137" s="233">
        <v>161919.287593023</v>
      </c>
      <c r="J137" s="233">
        <v>414065.2</v>
      </c>
    </row>
    <row r="138">
      <c r="A138" s="184">
        <v>43956.98385945601</v>
      </c>
      <c r="B138" s="281">
        <v>0.23991327744491106</v>
      </c>
      <c r="C138" s="281">
        <v>0.04261583901194832</v>
      </c>
      <c r="D138" s="281">
        <v>0.26377200447105503</v>
      </c>
      <c r="E138" s="282">
        <v>0.019885513571728686</v>
      </c>
      <c r="F138" s="233">
        <v>18419.81599999999</v>
      </c>
      <c r="G138" s="233">
        <v>140.46861052981694</v>
      </c>
      <c r="H138" s="233">
        <v>184315.15999999986</v>
      </c>
      <c r="I138" s="233">
        <v>161727.5830937982</v>
      </c>
      <c r="J138" s="233">
        <v>420971.6899999999</v>
      </c>
    </row>
    <row r="139">
      <c r="A139" s="184">
        <v>43955.98329002315</v>
      </c>
      <c r="B139" s="281">
        <v>0.21400220633375738</v>
      </c>
      <c r="C139" s="281">
        <v>0.0427055167902406</v>
      </c>
      <c r="D139" s="281">
        <v>0.23791113998922495</v>
      </c>
      <c r="E139" s="282">
        <v>-0.016952855179197514</v>
      </c>
      <c r="F139" s="233">
        <v>-15391.045999999973</v>
      </c>
      <c r="G139" s="233">
        <v>283.50723753200145</v>
      </c>
      <c r="H139" s="233">
        <v>165895.34399999987</v>
      </c>
      <c r="I139" s="233">
        <v>161587.11448326838</v>
      </c>
      <c r="J139" s="233">
        <v>402551.8739999999</v>
      </c>
    </row>
    <row r="140">
      <c r="A140" s="184">
        <v>43951.98312075232</v>
      </c>
      <c r="B140" s="281">
        <v>0.23596466218173867</v>
      </c>
      <c r="C140" s="281">
        <v>0.04286901598918263</v>
      </c>
      <c r="D140" s="281">
        <v>0.26097885092859463</v>
      </c>
      <c r="E140" s="282">
        <v>-0.0111760179221246</v>
      </c>
      <c r="F140" s="233">
        <v>-10310.54999999993</v>
      </c>
      <c r="G140" s="233">
        <v>181.39612713173847</v>
      </c>
      <c r="H140" s="233">
        <v>181286.38999999984</v>
      </c>
      <c r="I140" s="233">
        <v>161303.60724573638</v>
      </c>
      <c r="J140" s="233">
        <v>418342.91999999987</v>
      </c>
    </row>
    <row r="141">
      <c r="A141" s="184">
        <v>43950.98315702546</v>
      </c>
      <c r="B141" s="281">
        <v>0.2513345646631049</v>
      </c>
      <c r="C141" s="281">
        <v>0.04295907468374588</v>
      </c>
      <c r="D141" s="281">
        <v>0.2764013029059574</v>
      </c>
      <c r="E141" s="282">
        <v>0.008451704046779944</v>
      </c>
      <c r="F141" s="233">
        <v>7884.347999999882</v>
      </c>
      <c r="G141" s="233">
        <v>274.65298759692814</v>
      </c>
      <c r="H141" s="233">
        <v>191596.93999999977</v>
      </c>
      <c r="I141" s="233">
        <v>161122.21111860464</v>
      </c>
      <c r="J141" s="233">
        <v>428653.4699999998</v>
      </c>
    </row>
    <row r="142">
      <c r="A142" s="184">
        <v>43949.98333368056</v>
      </c>
      <c r="B142" s="281">
        <v>0.2404798432729574</v>
      </c>
      <c r="C142" s="281">
        <v>0.043052057991000446</v>
      </c>
      <c r="D142" s="281">
        <v>0.26560083753135644</v>
      </c>
      <c r="E142" s="282">
        <v>0.0030019271784757964</v>
      </c>
      <c r="F142" s="233">
        <v>2776.7419999999693</v>
      </c>
      <c r="G142" s="233">
        <v>77.9402562995383</v>
      </c>
      <c r="H142" s="233">
        <v>183712.5919999999</v>
      </c>
      <c r="I142" s="233">
        <v>160847.5581310077</v>
      </c>
      <c r="J142" s="233">
        <v>420769.1219999999</v>
      </c>
    </row>
    <row r="143">
      <c r="A143" s="184">
        <v>43948.98325770833</v>
      </c>
      <c r="B143" s="281">
        <v>0.23696791840764234</v>
      </c>
      <c r="C143" s="281">
        <v>0.04314355018619601</v>
      </c>
      <c r="D143" s="281">
        <v>0.26214229861359994</v>
      </c>
      <c r="E143" s="282">
        <v>0.005604100551011407</v>
      </c>
      <c r="F143" s="233">
        <v>5168.156000000075</v>
      </c>
      <c r="G143" s="233">
        <v>1778.0867111422995</v>
      </c>
      <c r="H143" s="233">
        <v>180935.84999999992</v>
      </c>
      <c r="I143" s="233">
        <v>160769.61787470817</v>
      </c>
      <c r="J143" s="233">
        <v>417992.37999999995</v>
      </c>
    </row>
    <row r="144">
      <c r="A144" s="184">
        <v>43945.98317368056</v>
      </c>
      <c r="B144" s="281">
        <v>0.2302454290094722</v>
      </c>
      <c r="C144" s="281">
        <v>0.04328741289513534</v>
      </c>
      <c r="D144" s="281">
        <v>0.2555037535018102</v>
      </c>
      <c r="E144" s="282">
        <v>-0.007087307986729836</v>
      </c>
      <c r="F144" s="233">
        <v>-6456.477999999945</v>
      </c>
      <c r="G144" s="233">
        <v>395.87576279079076</v>
      </c>
      <c r="H144" s="233">
        <v>175767.69399999984</v>
      </c>
      <c r="I144" s="233">
        <v>158991.53116356587</v>
      </c>
      <c r="J144" s="233">
        <v>412824.2239999999</v>
      </c>
    </row>
    <row r="145">
      <c r="A145" s="184">
        <v>43944.9836240625</v>
      </c>
      <c r="B145" s="281">
        <v>0.2401319573484522</v>
      </c>
      <c r="C145" s="281">
        <v>0.043377933388721555</v>
      </c>
      <c r="D145" s="281">
        <v>0.26544310079778694</v>
      </c>
      <c r="E145" s="282">
        <v>0.009639900652008532</v>
      </c>
      <c r="F145" s="233">
        <v>8834.430000000168</v>
      </c>
      <c r="G145" s="233">
        <v>268.96420465115807</v>
      </c>
      <c r="H145" s="233">
        <v>182224.1719999998</v>
      </c>
      <c r="I145" s="233">
        <v>158595.65540077508</v>
      </c>
      <c r="J145" s="233">
        <v>419280.7019999998</v>
      </c>
    </row>
    <row r="146">
      <c r="A146" s="184">
        <v>43943.98326761574</v>
      </c>
      <c r="B146" s="281">
        <v>0.227747795583184</v>
      </c>
      <c r="C146" s="281">
        <v>0.04347047040779157</v>
      </c>
      <c r="D146" s="281">
        <v>0.253112934637682</v>
      </c>
      <c r="E146" s="282">
        <v>0.011228787469651277</v>
      </c>
      <c r="F146" s="233">
        <v>10191.356000000029</v>
      </c>
      <c r="G146" s="233">
        <v>76.43298367262469</v>
      </c>
      <c r="H146" s="233">
        <v>173389.74199999962</v>
      </c>
      <c r="I146" s="233">
        <v>158326.69119612392</v>
      </c>
      <c r="J146" s="233">
        <v>410446.27199999965</v>
      </c>
    </row>
    <row r="147">
      <c r="A147" s="184">
        <v>43942.98318570602</v>
      </c>
      <c r="B147" s="281">
        <v>0.21331499740042967</v>
      </c>
      <c r="C147" s="281">
        <v>0.04356123403519021</v>
      </c>
      <c r="D147" s="281">
        <v>0.23873309728117265</v>
      </c>
      <c r="E147" s="282">
        <v>-0.022451529978039148</v>
      </c>
      <c r="F147" s="233">
        <v>-20148.414000000106</v>
      </c>
      <c r="G147" s="233">
        <v>-5966.594297704636</v>
      </c>
      <c r="H147" s="233">
        <v>163198.3859999996</v>
      </c>
      <c r="I147" s="233">
        <v>158250.2582124513</v>
      </c>
      <c r="J147" s="233">
        <v>400254.9159999996</v>
      </c>
    </row>
    <row r="148">
      <c r="A148" s="184">
        <v>43941.98316886574</v>
      </c>
      <c r="B148" s="281">
        <v>0.2432828457758698</v>
      </c>
      <c r="C148" s="281">
        <v>0.043649857946521146</v>
      </c>
      <c r="D148" s="281">
        <v>0.2687526579526468</v>
      </c>
      <c r="E148" s="282">
        <v>0.0013710855631675397</v>
      </c>
      <c r="F148" s="233">
        <v>1414.0080000001471</v>
      </c>
      <c r="G148" s="233">
        <v>270.48638437484624</v>
      </c>
      <c r="H148" s="233">
        <v>183346.7999999997</v>
      </c>
      <c r="I148" s="233">
        <v>164216.85251015594</v>
      </c>
      <c r="J148" s="233">
        <v>420403.3299999997</v>
      </c>
    </row>
    <row r="149">
      <c r="A149" s="184">
        <v>43938.983139814816</v>
      </c>
      <c r="B149" s="281">
        <v>0.24202561879336343</v>
      </c>
      <c r="C149" s="281">
        <v>0.04379742307217386</v>
      </c>
      <c r="D149" s="281">
        <v>0.26758153562685705</v>
      </c>
      <c r="E149" s="282">
        <v>0.00573219838185808</v>
      </c>
      <c r="F149" s="233">
        <v>5903.541999999899</v>
      </c>
      <c r="G149" s="233">
        <v>301.9427921875031</v>
      </c>
      <c r="H149" s="233">
        <v>181932.79199999955</v>
      </c>
      <c r="I149" s="233">
        <v>163946.3661257811</v>
      </c>
      <c r="J149" s="233">
        <v>418989.3219999996</v>
      </c>
    </row>
    <row r="150">
      <c r="A150" s="184">
        <v>43937.983162986115</v>
      </c>
      <c r="B150" s="281">
        <v>0.2338453796114005</v>
      </c>
      <c r="C150" s="281">
        <v>0.043891744075391585</v>
      </c>
      <c r="D150" s="281">
        <v>0.2594563330097147</v>
      </c>
      <c r="E150" s="282">
        <v>0.013316921160073296</v>
      </c>
      <c r="F150" s="233">
        <v>13636.365999999805</v>
      </c>
      <c r="G150" s="233">
        <v>300.4166046876053</v>
      </c>
      <c r="H150" s="233">
        <v>176029.24999999965</v>
      </c>
      <c r="I150" s="233">
        <v>163644.4233335936</v>
      </c>
      <c r="J150" s="233">
        <v>413085.7799999997</v>
      </c>
    </row>
    <row r="151">
      <c r="A151" s="184">
        <v>43936.98324774306</v>
      </c>
      <c r="B151" s="281">
        <v>0.2142003861760218</v>
      </c>
      <c r="C151" s="281">
        <v>0.04398500666899715</v>
      </c>
      <c r="D151" s="281">
        <v>0.2398657585542365</v>
      </c>
      <c r="E151" s="282">
        <v>-0.001973540844582298</v>
      </c>
      <c r="F151" s="233">
        <v>-1993.969999999972</v>
      </c>
      <c r="G151" s="233">
        <v>188.14098749979166</v>
      </c>
      <c r="H151" s="233">
        <v>162392.88399999985</v>
      </c>
      <c r="I151" s="233">
        <v>163344.00672890598</v>
      </c>
      <c r="J151" s="233">
        <v>399449.4139999999</v>
      </c>
    </row>
    <row r="152">
      <c r="A152" s="184">
        <v>43935.98327053241</v>
      </c>
      <c r="B152" s="281">
        <v>0.21759097998947466</v>
      </c>
      <c r="C152" s="281">
        <v>0.04407521862790602</v>
      </c>
      <c r="D152" s="281">
        <v>0.24330899129385322</v>
      </c>
      <c r="E152" s="282">
        <v>0.0015488862342880611</v>
      </c>
      <c r="F152" s="233">
        <v>1568.0080000001471</v>
      </c>
      <c r="G152" s="233">
        <v>1173.7785576854076</v>
      </c>
      <c r="H152" s="233">
        <v>164386.85399999982</v>
      </c>
      <c r="I152" s="233">
        <v>163155.8657414062</v>
      </c>
      <c r="J152" s="233">
        <v>401443.38399999985</v>
      </c>
    </row>
    <row r="153">
      <c r="A153" s="184">
        <v>43930.98317361111</v>
      </c>
      <c r="B153" s="281">
        <v>0.2158344028407546</v>
      </c>
      <c r="C153" s="281">
        <v>0.04468572675606596</v>
      </c>
      <c r="D153" s="281">
        <v>0.24207977084233798</v>
      </c>
      <c r="E153" s="282">
        <v>0.013724760784636247</v>
      </c>
      <c r="F153" s="233">
        <v>13918.16800000018</v>
      </c>
      <c r="G153" s="233">
        <v>234.36766201537102</v>
      </c>
      <c r="H153" s="233">
        <v>162818.84599999967</v>
      </c>
      <c r="I153" s="233">
        <v>161982.08718372078</v>
      </c>
      <c r="J153" s="233">
        <v>399875.3759999997</v>
      </c>
    </row>
    <row r="154">
      <c r="A154" s="184">
        <v>43929.98318899305</v>
      </c>
      <c r="B154" s="281">
        <v>0.20033577222969184</v>
      </c>
      <c r="C154" s="281">
        <v>0.03998599859441791</v>
      </c>
      <c r="D154" s="281">
        <v>0.2218433333165361</v>
      </c>
      <c r="E154" s="282">
        <v>5.436749105201156E-4</v>
      </c>
      <c r="F154" s="233">
        <v>545.5179999999236</v>
      </c>
      <c r="G154" s="233">
        <v>145.0745302325522</v>
      </c>
      <c r="H154" s="233">
        <v>148900.6779999995</v>
      </c>
      <c r="I154" s="233">
        <v>161747.7195217054</v>
      </c>
      <c r="J154" s="233">
        <v>386257.2079999995</v>
      </c>
    </row>
    <row r="155">
      <c r="A155" s="184">
        <v>43928.98328827546</v>
      </c>
      <c r="B155" s="281">
        <v>0.1999201461342099</v>
      </c>
      <c r="C155" s="281">
        <v>0.0400655860611545</v>
      </c>
      <c r="D155" s="281">
        <v>0.22147051551302524</v>
      </c>
      <c r="E155" s="282">
        <v>0.013560440783772892</v>
      </c>
      <c r="F155" s="233">
        <v>13599.013999999966</v>
      </c>
      <c r="G155" s="233">
        <v>416.95610509166727</v>
      </c>
      <c r="H155" s="233">
        <v>148355.15999999957</v>
      </c>
      <c r="I155" s="233">
        <v>161602.64499147286</v>
      </c>
      <c r="J155" s="233">
        <v>385711.6899999996</v>
      </c>
    </row>
    <row r="156">
      <c r="A156" s="184">
        <v>43927.983243043986</v>
      </c>
      <c r="B156" s="281">
        <v>0.17997677420480107</v>
      </c>
      <c r="C156" s="281">
        <v>0.040145392013778036</v>
      </c>
      <c r="D156" s="281">
        <v>0.20157006939418712</v>
      </c>
      <c r="E156" s="282">
        <v>0.02061870416525139</v>
      </c>
      <c r="F156" s="233">
        <v>20462.984000000055</v>
      </c>
      <c r="G156" s="233">
        <v>368.08097087743226</v>
      </c>
      <c r="H156" s="233">
        <v>134756.1459999996</v>
      </c>
      <c r="I156" s="233">
        <v>161185.6888863812</v>
      </c>
      <c r="J156" s="233">
        <v>372112.6759999996</v>
      </c>
    </row>
    <row r="157">
      <c r="A157" s="184">
        <v>43924.983165983795</v>
      </c>
      <c r="B157" s="281">
        <v>0.14988604543811865</v>
      </c>
      <c r="C157" s="281">
        <v>0.040271935810511486</v>
      </c>
      <c r="D157" s="281">
        <v>0.17150015401920274</v>
      </c>
      <c r="E157" s="282">
        <v>0.006330250905753216</v>
      </c>
      <c r="F157" s="233">
        <v>6153.105999999738</v>
      </c>
      <c r="G157" s="233">
        <v>938.6196767440997</v>
      </c>
      <c r="H157" s="233">
        <v>114293.16199999955</v>
      </c>
      <c r="I157" s="233">
        <v>160817.60791550376</v>
      </c>
      <c r="J157" s="233">
        <v>351881.18199999956</v>
      </c>
    </row>
    <row r="158">
      <c r="A158" s="184">
        <v>43923.98313918982</v>
      </c>
      <c r="B158" s="281">
        <v>0.14089985124844162</v>
      </c>
      <c r="C158" s="281">
        <v>0.04034453873892178</v>
      </c>
      <c r="D158" s="281">
        <v>0.16255978085664857</v>
      </c>
      <c r="E158" s="282">
        <v>0.008708569649761782</v>
      </c>
      <c r="F158" s="233">
        <v>8462.728000000177</v>
      </c>
      <c r="G158" s="233">
        <v>2348.314938954165</v>
      </c>
      <c r="H158" s="233">
        <v>108140.05599999981</v>
      </c>
      <c r="I158" s="233">
        <v>159878.98823875966</v>
      </c>
      <c r="J158" s="233">
        <v>345723.5159999998</v>
      </c>
    </row>
    <row r="159">
      <c r="A159" s="184">
        <v>43922.9835022801</v>
      </c>
      <c r="B159" s="281">
        <v>0.12839453762950545</v>
      </c>
      <c r="C159" s="281">
        <v>0.04041596465595434</v>
      </c>
      <c r="D159" s="281">
        <v>0.15010359615656435</v>
      </c>
      <c r="E159" s="282">
        <v>-0.0206254619684986</v>
      </c>
      <c r="F159" s="233">
        <v>-20058.90399999966</v>
      </c>
      <c r="G159" s="233">
        <v>8314.311571400845</v>
      </c>
      <c r="H159" s="233">
        <v>99677.32799999963</v>
      </c>
      <c r="I159" s="233">
        <v>157530.6732998055</v>
      </c>
      <c r="J159" s="233">
        <v>337253.61799999967</v>
      </c>
    </row>
    <row r="160">
      <c r="A160" s="184">
        <v>43921.9831868287</v>
      </c>
      <c r="B160" s="281">
        <v>0.1576420311782398</v>
      </c>
      <c r="C160" s="281">
        <v>0.040485646577048194</v>
      </c>
      <c r="D160" s="281">
        <v>0.18062107685673265</v>
      </c>
      <c r="E160" s="282">
        <v>0.00343205993014727</v>
      </c>
      <c r="F160" s="233">
        <v>3549.978000000003</v>
      </c>
      <c r="G160" s="233">
        <v>-114.83813175157411</v>
      </c>
      <c r="H160" s="233">
        <v>119736.23199999929</v>
      </c>
      <c r="I160" s="233">
        <v>149216.36172840465</v>
      </c>
      <c r="J160" s="233">
        <v>357301.8019999993</v>
      </c>
    </row>
    <row r="161">
      <c r="A161" s="184">
        <v>43920.98325709491</v>
      </c>
      <c r="B161" s="281">
        <v>0.1525680947398839</v>
      </c>
      <c r="C161" s="281">
        <v>0.040560397226304785</v>
      </c>
      <c r="D161" s="281">
        <v>0.17558956776557239</v>
      </c>
      <c r="E161" s="282">
        <v>0.018549707684895233</v>
      </c>
      <c r="F161" s="233">
        <v>19121.18400000001</v>
      </c>
      <c r="G161" s="233">
        <v>459.2519589889562</v>
      </c>
      <c r="H161" s="233">
        <v>116186.25399999929</v>
      </c>
      <c r="I161" s="233">
        <v>149331.19986015622</v>
      </c>
      <c r="J161" s="233">
        <v>353751.8239999993</v>
      </c>
    </row>
    <row r="162">
      <c r="A162" s="184">
        <v>43917.98329224537</v>
      </c>
      <c r="B162" s="281">
        <v>0.12405036738710716</v>
      </c>
      <c r="C162" s="281">
        <v>0.040684918200874935</v>
      </c>
      <c r="D162" s="281">
        <v>0.14714251665004266</v>
      </c>
      <c r="E162" s="282">
        <v>-0.008662862161915407</v>
      </c>
      <c r="F162" s="233">
        <v>-8764.101999999955</v>
      </c>
      <c r="G162" s="233">
        <v>240.71361089494894</v>
      </c>
      <c r="H162" s="233">
        <v>97065.06999999928</v>
      </c>
      <c r="I162" s="233">
        <v>148871.94790116727</v>
      </c>
      <c r="J162" s="233">
        <v>334630.6399999993</v>
      </c>
    </row>
    <row r="163">
      <c r="A163" s="184">
        <v>43916.983238437504</v>
      </c>
      <c r="B163" s="281">
        <v>0.13757229438247087</v>
      </c>
      <c r="C163" s="281">
        <v>0.04075491535031934</v>
      </c>
      <c r="D163" s="281">
        <v>0.16070417297741507</v>
      </c>
      <c r="E163" s="282">
        <v>-0.007461903528447707</v>
      </c>
      <c r="F163" s="233">
        <v>-7607.03600000008</v>
      </c>
      <c r="G163" s="233">
        <v>66.80764202339924</v>
      </c>
      <c r="H163" s="233">
        <v>105829.17199999923</v>
      </c>
      <c r="I163" s="233">
        <v>148631.23429027232</v>
      </c>
      <c r="J163" s="233">
        <v>343394.74199999927</v>
      </c>
    </row>
    <row r="164">
      <c r="A164" s="184">
        <v>43915.98423446759</v>
      </c>
      <c r="B164" s="281">
        <v>0.14938863911735376</v>
      </c>
      <c r="C164" s="281">
        <v>0.040827304730215556</v>
      </c>
      <c r="D164" s="281">
        <v>0.17256160483842567</v>
      </c>
      <c r="E164" s="282">
        <v>0.01993306255493773</v>
      </c>
      <c r="F164" s="233">
        <v>20472.38799999992</v>
      </c>
      <c r="G164" s="233">
        <v>226.72072529178695</v>
      </c>
      <c r="H164" s="233">
        <v>113436.20799999931</v>
      </c>
      <c r="I164" s="233">
        <v>148564.42664824892</v>
      </c>
      <c r="J164" s="233">
        <v>351001.77799999935</v>
      </c>
    </row>
    <row r="165">
      <c r="A165" s="184">
        <v>43914.98395212963</v>
      </c>
      <c r="B165" s="281">
        <v>0.11846144525043567</v>
      </c>
      <c r="C165" s="281">
        <v>0.04090183038840697</v>
      </c>
      <c r="D165" s="281">
        <v>0.14167671061714968</v>
      </c>
      <c r="E165" s="282">
        <v>0.03646130273978803</v>
      </c>
      <c r="F165" s="233">
        <v>36701.380000000005</v>
      </c>
      <c r="G165" s="233">
        <v>-86.48795282424544</v>
      </c>
      <c r="H165" s="233">
        <v>92963.8199999994</v>
      </c>
      <c r="I165" s="233">
        <v>148337.70592295713</v>
      </c>
      <c r="J165" s="233">
        <v>330529.38999999943</v>
      </c>
    </row>
    <row r="166">
      <c r="A166" s="184">
        <v>43913.98316733797</v>
      </c>
      <c r="B166" s="281">
        <v>0.0626353342841489</v>
      </c>
      <c r="C166" s="281">
        <v>0.04097164732200359</v>
      </c>
      <c r="D166" s="281">
        <v>0.08589022669505983</v>
      </c>
      <c r="E166" s="282">
        <v>-0.015720227137486525</v>
      </c>
      <c r="F166" s="233">
        <v>-15246.782000000472</v>
      </c>
      <c r="G166" s="233">
        <v>6898.295474225044</v>
      </c>
      <c r="H166" s="233">
        <v>56262.43999999939</v>
      </c>
      <c r="I166" s="233">
        <v>148424.19387578138</v>
      </c>
      <c r="J166" s="233">
        <v>293828.0099999994</v>
      </c>
    </row>
    <row r="167">
      <c r="A167" s="184">
        <v>43910.98327734954</v>
      </c>
      <c r="B167" s="281">
        <v>0.08614614040379552</v>
      </c>
      <c r="C167" s="281">
        <v>0.04108375523352389</v>
      </c>
      <c r="D167" s="281">
        <v>0.10946466358357271</v>
      </c>
      <c r="E167" s="282">
        <v>0.013930638002420705</v>
      </c>
      <c r="F167" s="233">
        <v>13412.032000000123</v>
      </c>
      <c r="G167" s="233">
        <v>76.9489143967221</v>
      </c>
      <c r="H167" s="233">
        <v>71509.22199999986</v>
      </c>
      <c r="I167" s="233">
        <v>141525.89840155633</v>
      </c>
      <c r="J167" s="233">
        <v>309074.7919999999</v>
      </c>
    </row>
    <row r="168">
      <c r="A168" s="184">
        <v>43909.98352311343</v>
      </c>
      <c r="B168" s="281">
        <v>0.06571934747738066</v>
      </c>
      <c r="C168" s="281">
        <v>0.041148895071341625</v>
      </c>
      <c r="D168" s="281">
        <v>0.08907484305195103</v>
      </c>
      <c r="E168" s="282">
        <v>0.013575971961918162</v>
      </c>
      <c r="F168" s="233">
        <v>12888.487999999896</v>
      </c>
      <c r="G168" s="233">
        <v>2.894256809435319</v>
      </c>
      <c r="H168" s="233">
        <v>58097.18999999974</v>
      </c>
      <c r="I168" s="233">
        <v>141448.9494871596</v>
      </c>
      <c r="J168" s="233">
        <v>295662.7599999998</v>
      </c>
    </row>
    <row r="169">
      <c r="A169" s="184">
        <v>43908.983183460645</v>
      </c>
      <c r="B169" s="281">
        <v>0.04602796971058877</v>
      </c>
      <c r="C169" s="281">
        <v>0.04121094553517255</v>
      </c>
      <c r="D169" s="281">
        <v>0.06941868419762058</v>
      </c>
      <c r="E169" s="282">
        <v>-0.03928257090663429</v>
      </c>
      <c r="F169" s="233">
        <v>-36787.01800000004</v>
      </c>
      <c r="G169" s="233">
        <v>-230.16021789895603</v>
      </c>
      <c r="H169" s="233">
        <v>45208.701999999845</v>
      </c>
      <c r="I169" s="233">
        <v>141446.05523035018</v>
      </c>
      <c r="J169" s="233">
        <v>282774.2719999999</v>
      </c>
    </row>
    <row r="170">
      <c r="A170" s="184">
        <v>43907.9834725463</v>
      </c>
      <c r="B170" s="281">
        <v>0.10266193802528685</v>
      </c>
      <c r="C170" s="281">
        <v>0.04127000500866827</v>
      </c>
      <c r="D170" s="281">
        <v>0.1260861737835332</v>
      </c>
      <c r="E170" s="282">
        <v>0.015726366380443734</v>
      </c>
      <c r="F170" s="233">
        <v>15305.824000000022</v>
      </c>
      <c r="G170" s="233">
        <v>-186.88703690716648</v>
      </c>
      <c r="H170" s="233">
        <v>81995.71999999988</v>
      </c>
      <c r="I170" s="233">
        <v>141676.21544824913</v>
      </c>
      <c r="J170" s="233">
        <v>319561.2899999999</v>
      </c>
    </row>
    <row r="171">
      <c r="A171" s="184">
        <v>43906.98317771991</v>
      </c>
      <c r="B171" s="281">
        <v>0.07925706965954543</v>
      </c>
      <c r="C171" s="281">
        <v>0.04133840949230498</v>
      </c>
      <c r="D171" s="281">
        <v>0.10272013077657939</v>
      </c>
      <c r="E171" s="282">
        <v>-0.01144561332138713</v>
      </c>
      <c r="F171" s="233">
        <v>-10964.358999999647</v>
      </c>
      <c r="G171" s="233">
        <v>5129.5087760123715</v>
      </c>
      <c r="H171" s="233">
        <v>66689.89599999986</v>
      </c>
      <c r="I171" s="233">
        <v>141863.1024851563</v>
      </c>
      <c r="J171" s="233">
        <v>304255.4659999999</v>
      </c>
    </row>
    <row r="172">
      <c r="A172" s="184">
        <v>43903.983156828705</v>
      </c>
      <c r="B172" s="281">
        <v>0.09640220482824725</v>
      </c>
      <c r="C172" s="281">
        <v>0.04145496139542421</v>
      </c>
      <c r="D172" s="281">
        <v>0.11994538231329646</v>
      </c>
      <c r="E172" s="282">
        <v>0.006281563424537967</v>
      </c>
      <c r="F172" s="233">
        <v>6314.819999999949</v>
      </c>
      <c r="G172" s="233">
        <v>100.15038910502335</v>
      </c>
      <c r="H172" s="233">
        <v>77654.25499999951</v>
      </c>
      <c r="I172" s="233">
        <v>136733.59370914393</v>
      </c>
      <c r="J172" s="233">
        <v>315210.78499999957</v>
      </c>
    </row>
    <row r="173">
      <c r="A173" s="184">
        <v>43902.98317790509</v>
      </c>
      <c r="B173" s="281">
        <v>0.08679024525058565</v>
      </c>
      <c r="C173" s="281">
        <v>0.041522879897226035</v>
      </c>
      <c r="D173" s="281">
        <v>0.11037199513538182</v>
      </c>
      <c r="E173" s="282">
        <v>-0.0549817241243773</v>
      </c>
      <c r="F173" s="233">
        <v>-54925.61499999976</v>
      </c>
      <c r="G173" s="233">
        <v>1798.7786653696967</v>
      </c>
      <c r="H173" s="233">
        <v>71339.43499999956</v>
      </c>
      <c r="I173" s="233">
        <v>136633.4433200389</v>
      </c>
      <c r="J173" s="233">
        <v>308895.9649999996</v>
      </c>
    </row>
    <row r="174">
      <c r="A174" s="184">
        <v>43901.9831352662</v>
      </c>
      <c r="B174" s="281">
        <v>0.1720431787625625</v>
      </c>
      <c r="C174" s="281">
        <v>0.04158945303183508</v>
      </c>
      <c r="D174" s="281">
        <v>0.19566273698370923</v>
      </c>
      <c r="E174" s="282">
        <v>-0.005412471075391539</v>
      </c>
      <c r="F174" s="233">
        <v>-5670.376999999979</v>
      </c>
      <c r="G174" s="233">
        <v>645.0197354085685</v>
      </c>
      <c r="H174" s="233">
        <v>126265.04999999932</v>
      </c>
      <c r="I174" s="233">
        <v>134834.6646546692</v>
      </c>
      <c r="J174" s="233">
        <v>363821.5799999994</v>
      </c>
    </row>
    <row r="175">
      <c r="A175" s="184">
        <v>43900.98314306713</v>
      </c>
      <c r="B175" s="281">
        <v>0.1811809768118709</v>
      </c>
      <c r="C175" s="281">
        <v>0.04167015105393302</v>
      </c>
      <c r="D175" s="281">
        <v>0.20484636520130126</v>
      </c>
      <c r="E175" s="282">
        <v>-0.00228228400035518</v>
      </c>
      <c r="F175" s="233">
        <v>-2416.9660000002477</v>
      </c>
      <c r="G175" s="233">
        <v>-31.83060124714393</v>
      </c>
      <c r="H175" s="233">
        <v>131935.4269999993</v>
      </c>
      <c r="I175" s="233">
        <v>134189.64491926064</v>
      </c>
      <c r="J175" s="233">
        <v>369491.95699999935</v>
      </c>
    </row>
    <row r="176">
      <c r="A176" s="184">
        <v>43899.98321179398</v>
      </c>
      <c r="B176" s="281">
        <v>0.18529967742116113</v>
      </c>
      <c r="C176" s="281">
        <v>0.04175263270616035</v>
      </c>
      <c r="D176" s="281">
        <v>0.20901190894135996</v>
      </c>
      <c r="E176" s="282">
        <v>-0.02185166800569041</v>
      </c>
      <c r="F176" s="233">
        <v>-23193.992000000173</v>
      </c>
      <c r="G176" s="233">
        <v>10136.354609029164</v>
      </c>
      <c r="H176" s="233">
        <v>134352.39299999955</v>
      </c>
      <c r="I176" s="233">
        <v>134221.47552050778</v>
      </c>
      <c r="J176" s="233">
        <v>371908.9229999996</v>
      </c>
    </row>
    <row r="177">
      <c r="A177" s="184">
        <v>43896.983179097224</v>
      </c>
      <c r="B177" s="281">
        <v>0.22365653549471257</v>
      </c>
      <c r="C177" s="281">
        <v>0.042158307178609224</v>
      </c>
      <c r="D177" s="281">
        <v>0.24760836565341698</v>
      </c>
      <c r="E177" s="282">
        <v>-0.014770964903814446</v>
      </c>
      <c r="F177" s="233">
        <v>-14905.735999999917</v>
      </c>
      <c r="G177" s="233">
        <v>1219.86335408561</v>
      </c>
      <c r="H177" s="233">
        <v>157546.38499999972</v>
      </c>
      <c r="I177" s="233">
        <v>124085.12091147862</v>
      </c>
      <c r="J177" s="233">
        <v>395105.1949999997</v>
      </c>
    </row>
    <row r="178">
      <c r="A178" s="184">
        <v>43895.98312953704</v>
      </c>
      <c r="B178" s="281">
        <v>0.24761770888379553</v>
      </c>
      <c r="C178" s="281">
        <v>0.04224950867919087</v>
      </c>
      <c r="D178" s="281">
        <v>0.2716213542836314</v>
      </c>
      <c r="E178" s="282">
        <v>-0.003109868947087218</v>
      </c>
      <c r="F178" s="233">
        <v>-3160.8620000001974</v>
      </c>
      <c r="G178" s="233">
        <v>494.8774319066142</v>
      </c>
      <c r="H178" s="233">
        <v>172452.12099999964</v>
      </c>
      <c r="I178" s="233">
        <v>122865.25755739301</v>
      </c>
      <c r="J178" s="233">
        <v>410010.93099999963</v>
      </c>
    </row>
    <row r="179">
      <c r="A179" s="184">
        <v>43894.98317175926</v>
      </c>
      <c r="B179" s="281">
        <v>0.2531673591175454</v>
      </c>
      <c r="C179" s="281">
        <v>0.04234503526985102</v>
      </c>
      <c r="D179" s="281">
        <v>0.27722527701616634</v>
      </c>
      <c r="E179" s="282">
        <v>0.007362420536193176</v>
      </c>
      <c r="F179" s="233">
        <v>7506.414999999921</v>
      </c>
      <c r="G179" s="233">
        <v>554.6826186770777</v>
      </c>
      <c r="H179" s="233">
        <v>175612.98299999983</v>
      </c>
      <c r="I179" s="233">
        <v>122370.3801254864</v>
      </c>
      <c r="J179" s="233">
        <v>413871.79299999983</v>
      </c>
    </row>
    <row r="180">
      <c r="A180" s="184">
        <v>43893.983186666665</v>
      </c>
      <c r="B180" s="281">
        <v>0.24187046853868355</v>
      </c>
      <c r="C180" s="281">
        <v>0.04244204591180626</v>
      </c>
      <c r="D180" s="281">
        <v>0.2659835020853274</v>
      </c>
      <c r="E180" s="282">
        <v>0.008414569818908353</v>
      </c>
      <c r="F180" s="233">
        <v>8515.979000000167</v>
      </c>
      <c r="G180" s="233">
        <v>200.51437302021077</v>
      </c>
      <c r="H180" s="233">
        <v>168106.5679999999</v>
      </c>
      <c r="I180" s="233">
        <v>121815.69750680932</v>
      </c>
      <c r="J180" s="233">
        <v>406365.3779999999</v>
      </c>
    </row>
    <row r="181">
      <c r="A181" s="184">
        <v>43892.983147604165</v>
      </c>
      <c r="B181" s="281">
        <v>0.2289102132662498</v>
      </c>
      <c r="C181" s="281">
        <v>0.042537559692663166</v>
      </c>
      <c r="D181" s="281">
        <v>0.25307751203391426</v>
      </c>
      <c r="E181" s="282">
        <v>0.004287332539866032</v>
      </c>
      <c r="F181" s="233">
        <v>4302.490999999951</v>
      </c>
      <c r="G181" s="233">
        <v>741.5925686140399</v>
      </c>
      <c r="H181" s="233">
        <v>159590.58899999975</v>
      </c>
      <c r="I181" s="233">
        <v>121615.1831337891</v>
      </c>
      <c r="J181" s="233">
        <v>397849.39899999974</v>
      </c>
    </row>
    <row r="182">
      <c r="A182" s="184">
        <v>43889.97557229167</v>
      </c>
      <c r="B182" s="281">
        <v>0.22213479220159044</v>
      </c>
      <c r="C182" s="281">
        <v>0.04268500988507955</v>
      </c>
      <c r="D182" s="281">
        <v>0.24710826087685817</v>
      </c>
      <c r="E182" s="282">
        <v>-0.00744207751533863</v>
      </c>
      <c r="F182" s="233">
        <v>-7429.862000000023</v>
      </c>
      <c r="G182" s="233">
        <v>4807.087346303437</v>
      </c>
      <c r="H182" s="233">
        <v>155288.0979999998</v>
      </c>
      <c r="I182" s="233">
        <v>120873.59056517507</v>
      </c>
      <c r="J182" s="233">
        <v>393546.9079999998</v>
      </c>
    </row>
    <row r="183">
      <c r="A183" s="184">
        <v>43888.975518148145</v>
      </c>
      <c r="B183" s="281">
        <v>0.23446857484190942</v>
      </c>
      <c r="C183" s="281">
        <v>0.04277819018254226</v>
      </c>
      <c r="D183" s="281">
        <v>0.2594965599679429</v>
      </c>
      <c r="E183" s="282">
        <v>-0.017135880205715905</v>
      </c>
      <c r="F183" s="233">
        <v>-12366.68799999985</v>
      </c>
      <c r="G183" s="233">
        <v>609.1256536965957</v>
      </c>
      <c r="H183" s="233">
        <v>162717.95999999982</v>
      </c>
      <c r="I183" s="233">
        <v>116066.50321887163</v>
      </c>
      <c r="J183" s="233">
        <v>400976.76999999984</v>
      </c>
    </row>
    <row r="184">
      <c r="A184" s="184">
        <v>43887.975519224536</v>
      </c>
      <c r="B184" s="281">
        <v>0.25475865569812456</v>
      </c>
      <c r="C184" s="281">
        <v>0.042873804535165344</v>
      </c>
      <c r="D184" s="281">
        <v>0.27984258135331724</v>
      </c>
      <c r="E184" s="282">
        <v>-0.004577171968746254</v>
      </c>
      <c r="F184" s="233">
        <v>-3339.462000000174</v>
      </c>
      <c r="G184" s="233">
        <v>457.34151750960154</v>
      </c>
      <c r="H184" s="233">
        <v>175084.64799999967</v>
      </c>
      <c r="I184" s="233">
        <v>115457.37756517503</v>
      </c>
      <c r="J184" s="233">
        <v>413343.4579999997</v>
      </c>
    </row>
    <row r="185">
      <c r="A185" s="184">
        <v>43886.97634311343</v>
      </c>
      <c r="B185" s="281">
        <v>0.2606992797901145</v>
      </c>
      <c r="C185" s="281">
        <v>0.04297321364631102</v>
      </c>
      <c r="D185" s="281">
        <v>0.28584136615160477</v>
      </c>
      <c r="E185" s="282">
        <v>-0.00584547364903837</v>
      </c>
      <c r="F185" s="233">
        <v>-4278.439999999828</v>
      </c>
      <c r="G185" s="233">
        <v>452.94537743197</v>
      </c>
      <c r="H185" s="233">
        <v>178424.10999999984</v>
      </c>
      <c r="I185" s="233">
        <v>115000.03604766543</v>
      </c>
      <c r="J185" s="233">
        <v>416682.91999999987</v>
      </c>
    </row>
    <row r="186">
      <c r="A186" s="184">
        <v>43885.975562164356</v>
      </c>
      <c r="B186" s="281">
        <v>0.2681811568244691</v>
      </c>
      <c r="C186" s="281">
        <v>0.043074027713505415</v>
      </c>
      <c r="D186" s="281">
        <v>0.29338222588166174</v>
      </c>
      <c r="E186" s="282">
        <v>-0.0029553629999721073</v>
      </c>
      <c r="F186" s="233">
        <v>-2172.06700000001</v>
      </c>
      <c r="G186" s="233">
        <v>1218.1226249027968</v>
      </c>
      <c r="H186" s="233">
        <v>182702.54999999967</v>
      </c>
      <c r="I186" s="233">
        <v>114547.09067023346</v>
      </c>
      <c r="J186" s="233">
        <v>420961.3599999997</v>
      </c>
    </row>
    <row r="187">
      <c r="A187" s="184">
        <v>43882.975535474536</v>
      </c>
      <c r="B187" s="281">
        <v>0.2726564905331333</v>
      </c>
      <c r="C187" s="281">
        <v>0.0432311732754526</v>
      </c>
      <c r="D187" s="281">
        <v>0.29795317438563507</v>
      </c>
      <c r="E187" s="282">
        <v>-0.0027085861736125816</v>
      </c>
      <c r="F187" s="233">
        <v>-1977.439000000013</v>
      </c>
      <c r="G187" s="233">
        <v>488.7167665369343</v>
      </c>
      <c r="H187" s="233">
        <v>184874.61699999968</v>
      </c>
      <c r="I187" s="233">
        <v>113328.96804533066</v>
      </c>
      <c r="J187" s="233">
        <v>423131.1469999997</v>
      </c>
    </row>
    <row r="188">
      <c r="A188" s="184">
        <v>43881.97554706018</v>
      </c>
      <c r="B188" s="281">
        <v>0.276453422413606</v>
      </c>
      <c r="C188" s="281">
        <v>0.04332677346603896</v>
      </c>
      <c r="D188" s="281">
        <v>0.30180604663538935</v>
      </c>
      <c r="E188" s="282">
        <v>0.0025213217880738826</v>
      </c>
      <c r="F188" s="233">
        <v>1846.0730000000913</v>
      </c>
      <c r="G188" s="233">
        <v>486.6214435796428</v>
      </c>
      <c r="H188" s="233">
        <v>186852.0559999997</v>
      </c>
      <c r="I188" s="233">
        <v>112840.25127879373</v>
      </c>
      <c r="J188" s="233">
        <v>425108.5859999997</v>
      </c>
    </row>
    <row r="189">
      <c r="A189" s="184">
        <v>43880.975503587964</v>
      </c>
      <c r="B189" s="281">
        <v>0.27408137237547997</v>
      </c>
      <c r="C189" s="281">
        <v>0.043423378086962124</v>
      </c>
      <c r="D189" s="281">
        <v>0.29949052470809234</v>
      </c>
      <c r="E189" s="282">
        <v>0.0036661053456971374</v>
      </c>
      <c r="F189" s="233">
        <v>2677.497999999905</v>
      </c>
      <c r="G189" s="233">
        <v>477.6893696498446</v>
      </c>
      <c r="H189" s="233">
        <v>185005.9829999996</v>
      </c>
      <c r="I189" s="233">
        <v>112353.62983521409</v>
      </c>
      <c r="J189" s="233">
        <v>423262.5129999996</v>
      </c>
    </row>
    <row r="190">
      <c r="A190" s="184">
        <v>43879.97565519676</v>
      </c>
      <c r="B190" s="281">
        <v>0.27034685761994515</v>
      </c>
      <c r="C190" s="281">
        <v>0.04351994246833182</v>
      </c>
      <c r="D190" s="281">
        <v>0.2958125145172464</v>
      </c>
      <c r="E190" s="282">
        <v>0.004132589015158621</v>
      </c>
      <c r="F190" s="233">
        <v>3007.1239999999525</v>
      </c>
      <c r="G190" s="233">
        <v>467.512673151723</v>
      </c>
      <c r="H190" s="233">
        <v>182328.4849999997</v>
      </c>
      <c r="I190" s="233">
        <v>111875.94046556424</v>
      </c>
      <c r="J190" s="233">
        <v>420585.0149999997</v>
      </c>
    </row>
    <row r="191">
      <c r="A191" s="184">
        <v>43878.975490972225</v>
      </c>
      <c r="B191" s="281">
        <v>0.2660554132576888</v>
      </c>
      <c r="C191" s="281">
        <v>0.04361623221058636</v>
      </c>
      <c r="D191" s="281">
        <v>0.29157741401483706</v>
      </c>
      <c r="E191" s="282">
        <v>0.002082101506797954</v>
      </c>
      <c r="F191" s="233">
        <v>1508.8030000001309</v>
      </c>
      <c r="G191" s="233">
        <v>447.5712645914318</v>
      </c>
      <c r="H191" s="233">
        <v>179321.36099999974</v>
      </c>
      <c r="I191" s="233">
        <v>111408.42779241252</v>
      </c>
      <c r="J191" s="233">
        <v>417577.89099999977</v>
      </c>
    </row>
    <row r="192">
      <c r="A192" s="184">
        <v>43875.975535879625</v>
      </c>
      <c r="B192" s="281">
        <v>0.26458395124093864</v>
      </c>
      <c r="C192" s="281">
        <v>0.04376772648843443</v>
      </c>
      <c r="D192" s="281">
        <v>0.2901283210161904</v>
      </c>
      <c r="E192" s="282">
        <v>0.004592497986907084</v>
      </c>
      <c r="F192" s="233">
        <v>3321.228999999934</v>
      </c>
      <c r="G192" s="233">
        <v>463.2046614786814</v>
      </c>
      <c r="H192" s="233">
        <v>177812.5579999996</v>
      </c>
      <c r="I192" s="233">
        <v>110960.85652782109</v>
      </c>
      <c r="J192" s="233">
        <v>416075.4779999997</v>
      </c>
    </row>
    <row r="193">
      <c r="A193" s="184">
        <v>43874.97632726852</v>
      </c>
      <c r="B193" s="281">
        <v>0.25973398074748655</v>
      </c>
      <c r="C193" s="281">
        <v>0.04386383963547743</v>
      </c>
      <c r="D193" s="281">
        <v>0.2853344455033396</v>
      </c>
      <c r="E193" s="282">
        <v>0.006069543651714472</v>
      </c>
      <c r="F193" s="233">
        <v>4369.249000000069</v>
      </c>
      <c r="G193" s="233">
        <v>456.13983657574863</v>
      </c>
      <c r="H193" s="233">
        <v>174491.32899999968</v>
      </c>
      <c r="I193" s="233">
        <v>110497.6518663424</v>
      </c>
      <c r="J193" s="233">
        <v>412754.2489999998</v>
      </c>
    </row>
    <row r="194">
      <c r="A194" s="184">
        <v>43873.97553956018</v>
      </c>
      <c r="B194" s="281">
        <v>0.2531399590537857</v>
      </c>
      <c r="C194" s="281">
        <v>0.04395947767239594</v>
      </c>
      <c r="D194" s="281">
        <v>0.27879624149942156</v>
      </c>
      <c r="E194" s="282">
        <v>0.0014037353846863949</v>
      </c>
      <c r="F194" s="233">
        <v>1004.3660000000382</v>
      </c>
      <c r="G194" s="233">
        <v>433.9707937742205</v>
      </c>
      <c r="H194" s="233">
        <v>170122.0799999996</v>
      </c>
      <c r="I194" s="233">
        <v>110041.51202976666</v>
      </c>
      <c r="J194" s="233">
        <v>408384.9999999997</v>
      </c>
    </row>
    <row r="195">
      <c r="A195" s="184">
        <v>43872.9755089699</v>
      </c>
      <c r="B195" s="281">
        <v>0.2520366821172934</v>
      </c>
      <c r="C195" s="281">
        <v>0.04405433436817839</v>
      </c>
      <c r="D195" s="281">
        <v>0.2777483262348078</v>
      </c>
      <c r="E195" s="282">
        <v>-4.514977128805676E-4</v>
      </c>
      <c r="F195" s="233">
        <v>-322.5910000000149</v>
      </c>
      <c r="G195" s="233">
        <v>422.15190272372274</v>
      </c>
      <c r="H195" s="233">
        <v>169117.71399999957</v>
      </c>
      <c r="I195" s="233">
        <v>109607.54123599244</v>
      </c>
      <c r="J195" s="233">
        <v>407380.63399999967</v>
      </c>
    </row>
    <row r="196">
      <c r="A196" s="184">
        <v>43871.97556304398</v>
      </c>
      <c r="B196" s="281">
        <v>0.2531112309479183</v>
      </c>
      <c r="C196" s="281">
        <v>0.04414935253741937</v>
      </c>
      <c r="D196" s="281">
        <v>0.2788783309788464</v>
      </c>
      <c r="E196" s="282">
        <v>0.004968363250287211</v>
      </c>
      <c r="F196" s="233">
        <v>3551.453000000096</v>
      </c>
      <c r="G196" s="233">
        <v>448.58654863820993</v>
      </c>
      <c r="H196" s="233">
        <v>169440.3049999996</v>
      </c>
      <c r="I196" s="233">
        <v>109185.38933326871</v>
      </c>
      <c r="J196" s="233">
        <v>407703.2249999997</v>
      </c>
    </row>
    <row r="197">
      <c r="A197" s="184">
        <v>43868.975528634255</v>
      </c>
      <c r="B197" s="281">
        <v>0.24811763206343398</v>
      </c>
      <c r="C197" s="281">
        <v>0.044301417361008996</v>
      </c>
      <c r="D197" s="281">
        <v>0.27397348242240593</v>
      </c>
      <c r="E197" s="282">
        <v>0.007131360656284199</v>
      </c>
      <c r="F197" s="233">
        <v>5072.265999999945</v>
      </c>
      <c r="G197" s="233">
        <v>451.90905058367935</v>
      </c>
      <c r="H197" s="233">
        <v>165888.8519999995</v>
      </c>
      <c r="I197" s="233">
        <v>108736.8027846305</v>
      </c>
      <c r="J197" s="233">
        <v>404151.7719999996</v>
      </c>
    </row>
    <row r="198">
      <c r="A198" s="184">
        <v>43867.97553763889</v>
      </c>
      <c r="B198" s="281">
        <v>0.24025544061620016</v>
      </c>
      <c r="C198" s="281">
        <v>0.04439656555369936</v>
      </c>
      <c r="D198" s="281">
        <v>0.26616682277480014</v>
      </c>
      <c r="E198" s="282">
        <v>0.004083648871281568</v>
      </c>
      <c r="F198" s="233">
        <v>2883.8310000000056</v>
      </c>
      <c r="G198" s="233">
        <v>417.25628015566326</v>
      </c>
      <c r="H198" s="233">
        <v>160816.58599999954</v>
      </c>
      <c r="I198" s="233">
        <v>108284.89373404683</v>
      </c>
      <c r="J198" s="233">
        <v>399079.50599999964</v>
      </c>
    </row>
    <row r="199">
      <c r="A199" s="184">
        <v>43866.97552116898</v>
      </c>
      <c r="B199" s="281">
        <v>0.23598170111422367</v>
      </c>
      <c r="C199" s="281">
        <v>0.044490696403940856</v>
      </c>
      <c r="D199" s="281">
        <v>0.2619480213159606</v>
      </c>
      <c r="E199" s="282">
        <v>0.0025798175950246275</v>
      </c>
      <c r="F199" s="233">
        <v>1814.4010000000708</v>
      </c>
      <c r="G199" s="233">
        <v>407.7232256808493</v>
      </c>
      <c r="H199" s="233">
        <v>157932.75499999954</v>
      </c>
      <c r="I199" s="233">
        <v>107867.63745389116</v>
      </c>
      <c r="J199" s="233">
        <v>396195.67499999964</v>
      </c>
    </row>
    <row r="200">
      <c r="A200" s="184">
        <v>43865.975517638886</v>
      </c>
      <c r="B200" s="281">
        <v>0.23346314350466305</v>
      </c>
      <c r="C200" s="281">
        <v>0.0445844275796365</v>
      </c>
      <c r="D200" s="281">
        <v>0.2594841684855497</v>
      </c>
      <c r="E200" s="282">
        <v>0.00188303059239789</v>
      </c>
      <c r="F200" s="233">
        <v>1320.9299999998184</v>
      </c>
      <c r="G200" s="233">
        <v>415.51096498062543</v>
      </c>
      <c r="H200" s="233">
        <v>156118.35399999947</v>
      </c>
      <c r="I200" s="233">
        <v>107459.91422821031</v>
      </c>
      <c r="J200" s="233">
        <v>394381.27399999957</v>
      </c>
    </row>
    <row r="201">
      <c r="A201" s="184">
        <v>43864.97551770833</v>
      </c>
      <c r="B201" s="281">
        <v>0.23174499945666405</v>
      </c>
      <c r="C201" s="281">
        <v>0.04467806227796676</v>
      </c>
      <c r="D201" s="281">
        <v>0.25782900085783866</v>
      </c>
      <c r="E201" s="282">
        <v>-9.454049237389907E-4</v>
      </c>
      <c r="F201" s="233">
        <v>-661.9400000002352</v>
      </c>
      <c r="G201" s="233">
        <v>496.3710350192996</v>
      </c>
      <c r="H201" s="233">
        <v>154797.42399999965</v>
      </c>
      <c r="I201" s="233">
        <v>107044.40326322969</v>
      </c>
      <c r="J201" s="233">
        <v>393360.34399999975</v>
      </c>
    </row>
    <row r="202">
      <c r="A202" s="184">
        <v>43861.97552847222</v>
      </c>
      <c r="B202" s="281">
        <v>0.2330060556848576</v>
      </c>
      <c r="C202" s="281">
        <v>0.044829265109776896</v>
      </c>
      <c r="D202" s="281">
        <v>0.25980781670237324</v>
      </c>
      <c r="E202" s="282">
        <v>-0.00455685221890436</v>
      </c>
      <c r="F202" s="233">
        <v>-3183.043999999878</v>
      </c>
      <c r="G202" s="233">
        <v>469.593451362045</v>
      </c>
      <c r="H202" s="233">
        <v>155459.36399999988</v>
      </c>
      <c r="I202" s="233">
        <v>106548.03222821039</v>
      </c>
      <c r="J202" s="233">
        <v>394022.2839999999</v>
      </c>
    </row>
    <row r="203">
      <c r="A203" s="184">
        <v>43860.97550706018</v>
      </c>
      <c r="B203" s="281">
        <v>0.23882117727889993</v>
      </c>
      <c r="C203" s="281">
        <v>0.04492381432986639</v>
      </c>
      <c r="D203" s="281">
        <v>0.26568658347434043</v>
      </c>
      <c r="E203" s="282">
        <v>-0.0017376387874653613</v>
      </c>
      <c r="F203" s="233">
        <v>-1215.4049999999115</v>
      </c>
      <c r="G203" s="233">
        <v>496.9272607002931</v>
      </c>
      <c r="H203" s="233">
        <v>158642.40799999976</v>
      </c>
      <c r="I203" s="233">
        <v>106078.43877684834</v>
      </c>
      <c r="J203" s="233">
        <v>397201.0779999998</v>
      </c>
    </row>
    <row r="204">
      <c r="A204" s="184">
        <v>43859.97553355324</v>
      </c>
      <c r="B204" s="281">
        <v>0.24136738137244168</v>
      </c>
      <c r="C204" s="281">
        <v>0.045019738902976565</v>
      </c>
      <c r="D204" s="281">
        <v>0.2682937441442116</v>
      </c>
      <c r="E204" s="282">
        <v>0.0023037659135186593</v>
      </c>
      <c r="F204" s="233">
        <v>1607.6490000000922</v>
      </c>
      <c r="G204" s="233">
        <v>449.78868093393976</v>
      </c>
      <c r="H204" s="233">
        <v>159857.81299999967</v>
      </c>
      <c r="I204" s="233">
        <v>105581.51151614805</v>
      </c>
      <c r="J204" s="233">
        <v>398414.3429999997</v>
      </c>
    </row>
    <row r="205">
      <c r="A205" s="184">
        <v>43858.97552258102</v>
      </c>
      <c r="B205" s="281">
        <v>0.23918204064401413</v>
      </c>
      <c r="C205" s="281">
        <v>0.045116471316245466</v>
      </c>
      <c r="D205" s="281">
        <v>0.26616625919449216</v>
      </c>
      <c r="E205" s="282">
        <v>0.0015474767737365567</v>
      </c>
      <c r="F205" s="233">
        <v>1077.3959999999497</v>
      </c>
      <c r="G205" s="233">
        <v>447.2882217898732</v>
      </c>
      <c r="H205" s="233">
        <v>158250.16399999958</v>
      </c>
      <c r="I205" s="233">
        <v>105131.72283521411</v>
      </c>
      <c r="J205" s="233">
        <v>396806.6939999996</v>
      </c>
    </row>
    <row r="206">
      <c r="A206" s="184">
        <v>43857.976126435184</v>
      </c>
      <c r="B206" s="281">
        <v>0.23787873489749528</v>
      </c>
      <c r="C206" s="281">
        <v>0.04521317852508001</v>
      </c>
      <c r="D206" s="281">
        <v>0.26492079415187736</v>
      </c>
      <c r="E206" s="282">
        <v>-6.891604363513256E-4</v>
      </c>
      <c r="F206" s="233">
        <v>-479.0700000001816</v>
      </c>
      <c r="G206" s="233">
        <v>813.7999260700599</v>
      </c>
      <c r="H206" s="233">
        <v>157172.76799999963</v>
      </c>
      <c r="I206" s="233">
        <v>104684.43461342424</v>
      </c>
      <c r="J206" s="233">
        <v>395729.29799999966</v>
      </c>
    </row>
    <row r="207">
      <c r="A207" s="184">
        <v>43854.97551575232</v>
      </c>
      <c r="B207" s="281">
        <v>0.23950568806471784</v>
      </c>
      <c r="C207" s="281">
        <v>0.0453684052728826</v>
      </c>
      <c r="D207" s="281">
        <v>0.26664058863326706</v>
      </c>
      <c r="E207" s="282">
        <v>0.0027515427487206957</v>
      </c>
      <c r="F207" s="233">
        <v>1880.2590000000782</v>
      </c>
      <c r="G207" s="233">
        <v>426.97342412456055</v>
      </c>
      <c r="H207" s="233">
        <v>157651.8379999998</v>
      </c>
      <c r="I207" s="233">
        <v>103870.63468735418</v>
      </c>
      <c r="J207" s="233">
        <v>396208.36799999984</v>
      </c>
    </row>
    <row r="208">
      <c r="A208" s="184">
        <v>43853.97554241898</v>
      </c>
      <c r="B208" s="281">
        <v>0.23683395137903487</v>
      </c>
      <c r="C208" s="281">
        <v>0.04546600369552951</v>
      </c>
      <c r="D208" s="281">
        <v>0.2640272256875964</v>
      </c>
      <c r="E208" s="282">
        <v>0.0065525116626753655</v>
      </c>
      <c r="F208" s="233">
        <v>4465.320000000065</v>
      </c>
      <c r="G208" s="233">
        <v>446.08577042794786</v>
      </c>
      <c r="H208" s="233">
        <v>155771.57899999974</v>
      </c>
      <c r="I208" s="233">
        <v>103443.66126322962</v>
      </c>
      <c r="J208" s="233">
        <v>394328.10899999976</v>
      </c>
    </row>
    <row r="209">
      <c r="A209" s="184">
        <v>43852.975547951384</v>
      </c>
      <c r="B209" s="281">
        <v>0.22975698467792094</v>
      </c>
      <c r="C209" s="281">
        <v>0.04556349176000755</v>
      </c>
      <c r="D209" s="281">
        <v>0.25700856672113437</v>
      </c>
      <c r="E209" s="282">
        <v>0.001759413839147805</v>
      </c>
      <c r="F209" s="233">
        <v>1191.125999999931</v>
      </c>
      <c r="G209" s="233">
        <v>408.07128793775337</v>
      </c>
      <c r="H209" s="233">
        <v>151306.25899999967</v>
      </c>
      <c r="I209" s="233">
        <v>102997.57549280167</v>
      </c>
      <c r="J209" s="233">
        <v>389862.7889999997</v>
      </c>
    </row>
    <row r="210">
      <c r="A210" s="184">
        <v>43851.97553408565</v>
      </c>
      <c r="B210" s="281">
        <v>0.22821649824335927</v>
      </c>
      <c r="C210" s="281">
        <v>0.04566007890640154</v>
      </c>
      <c r="D210" s="281">
        <v>0.25552584918097926</v>
      </c>
      <c r="E210" s="282">
        <v>0.0022161789994016154</v>
      </c>
      <c r="F210" s="233">
        <v>1497.7170000000624</v>
      </c>
      <c r="G210" s="233">
        <v>405.2156381322711</v>
      </c>
      <c r="H210" s="233">
        <v>150115.13299999974</v>
      </c>
      <c r="I210" s="233">
        <v>102589.50420486392</v>
      </c>
      <c r="J210" s="233">
        <v>388671.66299999977</v>
      </c>
    </row>
    <row r="211">
      <c r="A211" s="184">
        <v>43850.97556121528</v>
      </c>
      <c r="B211" s="281">
        <v>0.22614486613158208</v>
      </c>
      <c r="C211" s="281">
        <v>0.045756750043600726</v>
      </c>
      <c r="D211" s="281">
        <v>0.25351203619861534</v>
      </c>
      <c r="E211" s="282">
        <v>0.0016906902219318265</v>
      </c>
      <c r="F211" s="233">
        <v>1140.0540000000037</v>
      </c>
      <c r="G211" s="233">
        <v>395.1518754864228</v>
      </c>
      <c r="H211" s="233">
        <v>148617.41599999968</v>
      </c>
      <c r="I211" s="233">
        <v>102184.28856673164</v>
      </c>
      <c r="J211" s="233">
        <v>387173.9459999997</v>
      </c>
    </row>
    <row r="212">
      <c r="A212" s="184">
        <v>43847.975520798616</v>
      </c>
      <c r="B212" s="281">
        <v>0.22496461236040358</v>
      </c>
      <c r="C212" s="281">
        <v>0.045912766527649015</v>
      </c>
      <c r="D212" s="281">
        <v>0.2524250960838513</v>
      </c>
      <c r="E212" s="282">
        <v>0.002468736433273517</v>
      </c>
      <c r="F212" s="233">
        <v>1661.8859999999404</v>
      </c>
      <c r="G212" s="233">
        <v>526.6177120623033</v>
      </c>
      <c r="H212" s="233">
        <v>147477.36199999967</v>
      </c>
      <c r="I212" s="233">
        <v>101789.13669124522</v>
      </c>
      <c r="J212" s="233">
        <v>386033.8919999997</v>
      </c>
    </row>
    <row r="213">
      <c r="A213" s="184">
        <v>43846.9755346875</v>
      </c>
      <c r="B213" s="281">
        <v>0.2225889754607139</v>
      </c>
      <c r="C213" s="281">
        <v>0.04600968500750873</v>
      </c>
      <c r="D213" s="281">
        <v>0.25010742624953297</v>
      </c>
      <c r="E213" s="282">
        <v>6.429312013699427E-4</v>
      </c>
      <c r="F213" s="233">
        <v>432.39300000004005</v>
      </c>
      <c r="G213" s="233">
        <v>396.6186303501163</v>
      </c>
      <c r="H213" s="233">
        <v>145815.47599999973</v>
      </c>
      <c r="I213" s="233">
        <v>101262.51897918292</v>
      </c>
      <c r="J213" s="233">
        <v>384372.00599999976</v>
      </c>
    </row>
    <row r="214">
      <c r="A214" s="184">
        <v>43845.975559976854</v>
      </c>
      <c r="B214" s="281">
        <v>0.22231431189569323</v>
      </c>
      <c r="C214" s="281">
        <v>0.04610653587139387</v>
      </c>
      <c r="D214" s="281">
        <v>0.2498906893086838</v>
      </c>
      <c r="E214" s="282">
        <v>8.389536863721491E-4</v>
      </c>
      <c r="F214" s="233">
        <v>563.8619999999646</v>
      </c>
      <c r="G214" s="233">
        <v>401.0419027238386</v>
      </c>
      <c r="H214" s="233">
        <v>145383.0829999997</v>
      </c>
      <c r="I214" s="233">
        <v>100865.9003488328</v>
      </c>
      <c r="J214" s="233">
        <v>383939.6129999997</v>
      </c>
    </row>
    <row r="215">
      <c r="A215" s="184">
        <v>43844.97557841435</v>
      </c>
      <c r="B215" s="281">
        <v>0.22181157192800563</v>
      </c>
      <c r="C215" s="281">
        <v>0.046203698192634764</v>
      </c>
      <c r="D215" s="281">
        <v>0.24944606224820604</v>
      </c>
      <c r="E215" s="282">
        <v>0.004109707328212549</v>
      </c>
      <c r="F215" s="233">
        <v>2759.822999999975</v>
      </c>
      <c r="G215" s="233">
        <v>422.7921712061943</v>
      </c>
      <c r="H215" s="233">
        <v>144819.22099999973</v>
      </c>
      <c r="I215" s="233">
        <v>100464.85844610896</v>
      </c>
      <c r="J215" s="233">
        <v>383375.75099999976</v>
      </c>
    </row>
    <row r="216">
      <c r="A216" s="184">
        <v>43843.97552636574</v>
      </c>
      <c r="B216" s="281">
        <v>0.21751560296283887</v>
      </c>
      <c r="C216" s="281">
        <v>0.0463011322000575</v>
      </c>
      <c r="D216" s="281">
        <v>0.24520836868609808</v>
      </c>
      <c r="E216" s="282">
        <v>-0.005143547099138234</v>
      </c>
      <c r="F216" s="233">
        <v>-3439.890000000014</v>
      </c>
      <c r="G216" s="233">
        <v>384.70228015563043</v>
      </c>
      <c r="H216" s="233">
        <v>142059.39799999975</v>
      </c>
      <c r="I216" s="233">
        <v>100042.06627490277</v>
      </c>
      <c r="J216" s="233">
        <v>381915.9279999998</v>
      </c>
    </row>
    <row r="217">
      <c r="A217" s="184">
        <v>43840.97553277778</v>
      </c>
      <c r="B217" s="281">
        <v>0.22421455740870525</v>
      </c>
      <c r="C217" s="281">
        <v>0.04645889341408529</v>
      </c>
      <c r="D217" s="281">
        <v>0.2520016803135861</v>
      </c>
      <c r="E217" s="282">
        <v>0.0064388786639271965</v>
      </c>
      <c r="F217" s="233">
        <v>4328.328000000096</v>
      </c>
      <c r="G217" s="233">
        <v>438.18228793768503</v>
      </c>
      <c r="H217" s="233">
        <v>145499.28799999977</v>
      </c>
      <c r="I217" s="233">
        <v>99657.36399474714</v>
      </c>
      <c r="J217" s="233">
        <v>385355.8179999998</v>
      </c>
    </row>
    <row r="218">
      <c r="A218" s="184">
        <v>43839.975477245374</v>
      </c>
      <c r="B218" s="281">
        <v>0.21718038731241163</v>
      </c>
      <c r="C218" s="281">
        <v>0.04655802082928438</v>
      </c>
      <c r="D218" s="281">
        <v>0.24502679844968386</v>
      </c>
      <c r="E218" s="282">
        <v>-0.0032044410231192757</v>
      </c>
      <c r="F218" s="233">
        <v>-2140.2120000000577</v>
      </c>
      <c r="G218" s="233">
        <v>823.9181789883733</v>
      </c>
      <c r="H218" s="233">
        <v>141170.95999999967</v>
      </c>
      <c r="I218" s="233">
        <v>99219.18170680945</v>
      </c>
      <c r="J218" s="233">
        <v>381027.4899999997</v>
      </c>
    </row>
    <row r="219">
      <c r="A219" s="184">
        <v>43838.97552744213</v>
      </c>
      <c r="B219" s="281">
        <v>0.22136108466503412</v>
      </c>
      <c r="C219" s="281">
        <v>0.04665623672581874</v>
      </c>
      <c r="D219" s="281">
        <v>0.24926623885423155</v>
      </c>
      <c r="E219" s="282">
        <v>0.0012506484356518772</v>
      </c>
      <c r="F219" s="233">
        <v>842.7960000000894</v>
      </c>
      <c r="G219" s="233">
        <v>410.76898832684674</v>
      </c>
      <c r="H219" s="233">
        <v>143311.17199999973</v>
      </c>
      <c r="I219" s="233">
        <v>98395.26352782108</v>
      </c>
      <c r="J219" s="233">
        <v>383167.70199999976</v>
      </c>
    </row>
    <row r="220">
      <c r="A220" s="184">
        <v>43837.97553430556</v>
      </c>
      <c r="B220" s="281">
        <v>0.22036343387092475</v>
      </c>
      <c r="C220" s="281">
        <v>0.046755588550695205</v>
      </c>
      <c r="D220" s="281">
        <v>0.2483280105122254</v>
      </c>
      <c r="E220" s="282">
        <v>0.004222401806206985</v>
      </c>
      <c r="F220" s="233">
        <v>2841.863999999943</v>
      </c>
      <c r="G220" s="233">
        <v>416.0291556420125</v>
      </c>
      <c r="H220" s="233">
        <v>142468.37599999964</v>
      </c>
      <c r="I220" s="233">
        <v>97984.49453949423</v>
      </c>
      <c r="J220" s="233">
        <v>382324.90599999967</v>
      </c>
    </row>
    <row r="221">
      <c r="A221" s="184">
        <v>43836.97554234954</v>
      </c>
      <c r="B221" s="281">
        <v>0.21578034728276346</v>
      </c>
      <c r="C221" s="281">
        <v>0.04683598419409615</v>
      </c>
      <c r="D221" s="281">
        <v>0.24379300866005404</v>
      </c>
      <c r="E221" s="282">
        <v>-8.86706547683905E-4</v>
      </c>
      <c r="F221" s="233">
        <v>-594.2729999999283</v>
      </c>
      <c r="G221" s="233">
        <v>467.65983268487616</v>
      </c>
      <c r="H221" s="233">
        <v>139626.5119999997</v>
      </c>
      <c r="I221" s="233">
        <v>97568.46538385222</v>
      </c>
      <c r="J221" s="233">
        <v>379483.0419999997</v>
      </c>
    </row>
    <row r="222">
      <c r="A222" s="184">
        <v>43833.97552361111</v>
      </c>
      <c r="B222" s="281">
        <v>0.217560140970315</v>
      </c>
      <c r="C222" s="281">
        <v>0.046996304487998984</v>
      </c>
      <c r="D222" s="281">
        <v>0.24566869011813683</v>
      </c>
      <c r="E222" s="282">
        <v>0.0077729230763409225</v>
      </c>
      <c r="F222" s="233">
        <v>5219.2619999998715</v>
      </c>
      <c r="G222" s="233">
        <v>421.5080544746306</v>
      </c>
      <c r="H222" s="233">
        <v>140220.78499999963</v>
      </c>
      <c r="I222" s="233">
        <v>97100.80555116734</v>
      </c>
      <c r="J222" s="233">
        <v>380077.31499999965</v>
      </c>
    </row>
    <row r="223">
      <c r="A223" s="184">
        <v>43832.97551805555</v>
      </c>
      <c r="B223" s="281">
        <v>0.20885863378039612</v>
      </c>
      <c r="C223" s="281">
        <v>0.04709613234932768</v>
      </c>
      <c r="D223" s="281">
        <v>0.2370268900983252</v>
      </c>
      <c r="E223" s="282">
        <v>0.005846870887261459</v>
      </c>
      <c r="F223" s="233">
        <v>3895.4650000000256</v>
      </c>
      <c r="G223" s="233">
        <v>391.770389105106</v>
      </c>
      <c r="H223" s="233">
        <v>135001.52299999975</v>
      </c>
      <c r="I223" s="233">
        <v>96679.29749669271</v>
      </c>
      <c r="J223" s="233">
        <v>374858.053</v>
      </c>
    </row>
    <row r="224">
      <c r="A224" s="184">
        <v>43830.975504375005</v>
      </c>
      <c r="B224" s="281">
        <v>0.2020434479816019</v>
      </c>
      <c r="C224" s="281">
        <v>0.047245062465907775</v>
      </c>
      <c r="D224" s="281">
        <v>0.23091539830939461</v>
      </c>
      <c r="E224" s="282">
        <v>5.634110053342113E-5</v>
      </c>
      <c r="F224" s="233">
        <v>37.2980000001844</v>
      </c>
      <c r="G224" s="233">
        <v>118.07819879846647</v>
      </c>
      <c r="H224" s="233">
        <v>131106.05799999973</v>
      </c>
      <c r="I224" s="233">
        <v>96287.52710758761</v>
      </c>
      <c r="J224" s="233">
        <v>370562.588</v>
      </c>
    </row>
    <row r="225">
      <c r="A225" s="184">
        <v>43829.975571724535</v>
      </c>
      <c r="B225" s="281">
        <v>0.2023959331159585</v>
      </c>
      <c r="C225" s="281">
        <v>0.04734287931519133</v>
      </c>
      <c r="D225" s="281">
        <v>0.23132766034034807</v>
      </c>
      <c r="E225" s="282">
        <v>-0.009498776447918092</v>
      </c>
      <c r="F225" s="233">
        <v>-6287.868000000191</v>
      </c>
      <c r="G225" s="233">
        <v>632.4200035361573</v>
      </c>
      <c r="H225" s="233">
        <v>131068.75999999954</v>
      </c>
      <c r="I225" s="233">
        <v>96169.44890878914</v>
      </c>
      <c r="J225" s="233">
        <v>341025.28999999963</v>
      </c>
    </row>
    <row r="226">
      <c r="A226" s="184">
        <v>43826.975597199074</v>
      </c>
      <c r="B226" s="281">
        <v>0.2139090877066315</v>
      </c>
      <c r="C226" s="279">
        <v>0.0474242282043736</v>
      </c>
      <c r="D226" s="279">
        <v>0.2428418874341774</v>
      </c>
      <c r="E226" s="282">
        <v>0.004566832594240918</v>
      </c>
      <c r="F226" s="233">
        <v>3051.7990000000573</v>
      </c>
      <c r="G226" s="233">
        <v>562.4866995887423</v>
      </c>
      <c r="H226" s="235">
        <v>137356.62799999974</v>
      </c>
      <c r="I226" s="235">
        <v>95537.02890525298</v>
      </c>
      <c r="J226" s="233">
        <v>343651.27799999976</v>
      </c>
    </row>
    <row r="227">
      <c r="A227" s="184">
        <v>43823.975529143514</v>
      </c>
      <c r="B227" s="281">
        <v>0.21603472117527964</v>
      </c>
      <c r="C227" s="281">
        <v>0.04115889494866326</v>
      </c>
      <c r="D227" s="281">
        <v>0.23865681449930765</v>
      </c>
      <c r="E227" s="282">
        <v>0.0011920494175043002</v>
      </c>
      <c r="F227" s="233">
        <v>797.3190000000177</v>
      </c>
      <c r="G227" s="233">
        <v>434.0209453125135</v>
      </c>
      <c r="H227" s="233">
        <v>134304.82899999968</v>
      </c>
      <c r="I227" s="233">
        <v>94974.54220566424</v>
      </c>
      <c r="J227" s="233">
        <v>344261.35899999976</v>
      </c>
    </row>
    <row r="228">
      <c r="A228" s="184">
        <v>43822.97559078704</v>
      </c>
      <c r="B228" s="281">
        <v>0.2150713092993525</v>
      </c>
      <c r="C228" s="281">
        <v>0.04124584822515931</v>
      </c>
      <c r="D228" s="281">
        <v>0.23774119460463208</v>
      </c>
      <c r="E228" s="282">
        <v>-4.435425185746161E-4</v>
      </c>
      <c r="F228" s="233">
        <v>-296.31600000010803</v>
      </c>
      <c r="G228" s="233">
        <v>407.79076562494447</v>
      </c>
      <c r="H228" s="233">
        <v>133507.50999999966</v>
      </c>
      <c r="I228" s="233">
        <v>94540.52126035173</v>
      </c>
      <c r="J228" s="233">
        <v>343464.03999999975</v>
      </c>
    </row>
    <row r="229">
      <c r="A229" s="184">
        <v>43819.975599247686</v>
      </c>
      <c r="B229" s="281">
        <v>0.2163392332138586</v>
      </c>
      <c r="C229" s="281">
        <v>0.04138746684961032</v>
      </c>
      <c r="D229" s="281">
        <v>0.23908695612247388</v>
      </c>
      <c r="E229" s="282">
        <v>0.006150925046804717</v>
      </c>
      <c r="F229" s="233">
        <v>4111.051000000094</v>
      </c>
      <c r="G229" s="233">
        <v>1003.4039648437902</v>
      </c>
      <c r="H229" s="233">
        <v>133803.82599999977</v>
      </c>
      <c r="I229" s="233">
        <v>94132.73049472678</v>
      </c>
      <c r="J229" s="233">
        <v>343760.35599999985</v>
      </c>
    </row>
    <row r="230">
      <c r="A230" s="184">
        <v>43818.97548230324</v>
      </c>
      <c r="B230" s="281">
        <v>0.20943660236815057</v>
      </c>
      <c r="C230" s="281">
        <v>0.04147523243670381</v>
      </c>
      <c r="D230" s="281">
        <v>0.23223256372690756</v>
      </c>
      <c r="E230" s="282">
        <v>0.0014632600709655987</v>
      </c>
      <c r="F230" s="233">
        <v>981.5039999999572</v>
      </c>
      <c r="G230" s="233">
        <v>383.06102734376327</v>
      </c>
      <c r="H230" s="233">
        <v>129692.77499999967</v>
      </c>
      <c r="I230" s="233">
        <v>93129.326529883</v>
      </c>
      <c r="J230" s="233">
        <v>339649.30499999976</v>
      </c>
    </row>
    <row r="231">
      <c r="A231" s="184">
        <v>43817.97549996528</v>
      </c>
      <c r="B231" s="281">
        <v>0.2081146028156298</v>
      </c>
      <c r="C231" s="281">
        <v>0.04156220877322641</v>
      </c>
      <c r="D231" s="281">
        <v>0.23095836883008153</v>
      </c>
      <c r="E231" s="282">
        <v>-8.694537719450301E-4</v>
      </c>
      <c r="F231" s="233">
        <v>-582.3459999999031</v>
      </c>
      <c r="G231" s="233">
        <v>500.37110546865733</v>
      </c>
      <c r="H231" s="233">
        <v>128711.27099999972</v>
      </c>
      <c r="I231" s="233">
        <v>92746.26550253923</v>
      </c>
      <c r="J231" s="233">
        <v>338667.8009999998</v>
      </c>
    </row>
    <row r="232">
      <c r="A232" s="184">
        <v>43816.97597165509</v>
      </c>
      <c r="B232" s="281">
        <v>0.20959782831018975</v>
      </c>
      <c r="C232" s="281">
        <v>0.04164929743673085</v>
      </c>
      <c r="D232" s="281">
        <v>0.2324894607184239</v>
      </c>
      <c r="E232" s="282">
        <v>-8.596613028473832E-4</v>
      </c>
      <c r="F232" s="233">
        <v>-577.4110000001965</v>
      </c>
      <c r="G232" s="233">
        <v>464.9000585938338</v>
      </c>
      <c r="H232" s="233">
        <v>129293.61699999962</v>
      </c>
      <c r="I232" s="233">
        <v>92245.89439707057</v>
      </c>
      <c r="J232" s="233">
        <v>339250.1469999997</v>
      </c>
    </row>
    <row r="233">
      <c r="A233" s="184">
        <v>43815.9755720949</v>
      </c>
      <c r="B233" s="281">
        <v>0.21107942564836454</v>
      </c>
      <c r="C233" s="281">
        <v>0.04173695657615913</v>
      </c>
      <c r="D233" s="281">
        <v>0.23401923800009147</v>
      </c>
      <c r="E233" s="282">
        <v>-0.0021445043907476103</v>
      </c>
      <c r="F233" s="233">
        <v>-1443.854999999865</v>
      </c>
      <c r="G233" s="233">
        <v>347.1834687500668</v>
      </c>
      <c r="H233" s="233">
        <v>129871.02799999982</v>
      </c>
      <c r="I233" s="233">
        <v>91780.99433847674</v>
      </c>
      <c r="J233" s="233">
        <v>339827.5579999999</v>
      </c>
    </row>
    <row r="234">
      <c r="A234" s="184">
        <v>43812.97556849537</v>
      </c>
      <c r="B234" s="281">
        <v>0.21441650821819405</v>
      </c>
      <c r="C234" s="281">
        <v>0.041880587481956465</v>
      </c>
      <c r="D234" s="281">
        <v>0.23743526418002553</v>
      </c>
      <c r="E234" s="282">
        <v>0.0073607585954243914</v>
      </c>
      <c r="F234" s="233">
        <v>4966.489999999991</v>
      </c>
      <c r="G234" s="233">
        <v>382.8357109374192</v>
      </c>
      <c r="H234" s="233">
        <v>131314.88299999968</v>
      </c>
      <c r="I234" s="233">
        <v>91433.81086972667</v>
      </c>
      <c r="J234" s="233">
        <v>341271.41299999977</v>
      </c>
    </row>
    <row r="235">
      <c r="A235" s="184">
        <v>43811.97554490741</v>
      </c>
      <c r="B235" s="281">
        <v>0.20587408542741567</v>
      </c>
      <c r="C235" s="281">
        <v>0.04196981161784379</v>
      </c>
      <c r="D235" s="281">
        <v>0.228941881499078</v>
      </c>
      <c r="E235" s="282">
        <v>-0.01242632864655314</v>
      </c>
      <c r="F235" s="233">
        <v>-8322.64300000004</v>
      </c>
      <c r="G235" s="233">
        <v>291.48374609375605</v>
      </c>
      <c r="H235" s="233">
        <v>126348.39299999969</v>
      </c>
      <c r="I235" s="233">
        <v>91050.97515878925</v>
      </c>
      <c r="J235" s="233">
        <v>336304.9229999998</v>
      </c>
    </row>
    <row r="236">
      <c r="A236" s="184">
        <v>43810.975510000004</v>
      </c>
      <c r="B236" s="281">
        <v>0.22141874883493146</v>
      </c>
      <c r="C236" s="281">
        <v>0.04205797144148664</v>
      </c>
      <c r="D236" s="281">
        <v>0.24453500004029852</v>
      </c>
      <c r="E236" s="282">
        <v>0.0030314853947501184</v>
      </c>
      <c r="F236" s="233">
        <v>2055.594000000041</v>
      </c>
      <c r="G236" s="233">
        <v>176.4753277934651</v>
      </c>
      <c r="H236" s="233">
        <v>134671.03599999973</v>
      </c>
      <c r="I236" s="233">
        <v>90759.4914126955</v>
      </c>
      <c r="J236" s="233">
        <v>344727.5659999998</v>
      </c>
    </row>
    <row r="237">
      <c r="A237" s="184">
        <v>43809.97550876158</v>
      </c>
      <c r="B237" s="281">
        <v>0.2181576638431393</v>
      </c>
      <c r="C237" s="281">
        <v>0.04214905820295639</v>
      </c>
      <c r="D237" s="281">
        <v>0.24132397891006346</v>
      </c>
      <c r="E237" s="282">
        <v>-0.0030491762909682987</v>
      </c>
      <c r="F237" s="233">
        <v>-2061.3220000000438</v>
      </c>
      <c r="G237" s="233">
        <v>534.473722987881</v>
      </c>
      <c r="H237" s="233">
        <v>132615.4419999997</v>
      </c>
      <c r="I237" s="233">
        <v>90583.01608490203</v>
      </c>
      <c r="J237" s="233">
        <v>342671.9719999998</v>
      </c>
    </row>
    <row r="238">
      <c r="A238" s="184">
        <v>43808.975557638885</v>
      </c>
      <c r="B238" s="281">
        <v>0.22238728282444162</v>
      </c>
      <c r="C238" s="281">
        <v>0.04223995802844319</v>
      </c>
      <c r="D238" s="281">
        <v>0.245603559007617</v>
      </c>
      <c r="E238" s="282">
        <v>-6.988024816998613E-4</v>
      </c>
      <c r="F238" s="233">
        <v>-473.84900000004563</v>
      </c>
      <c r="G238" s="233">
        <v>451.47872812498827</v>
      </c>
      <c r="H238" s="233">
        <v>134676.76399999973</v>
      </c>
      <c r="I238" s="233">
        <v>90048.54236191415</v>
      </c>
      <c r="J238" s="233">
        <v>344733.2939999998</v>
      </c>
    </row>
    <row r="239">
      <c r="A239" s="184">
        <v>43805.975519803236</v>
      </c>
      <c r="B239" s="281">
        <v>0.22489112127600042</v>
      </c>
      <c r="C239" s="281">
        <v>0.04238823936207761</v>
      </c>
      <c r="D239" s="281">
        <v>0.2473329076604907</v>
      </c>
      <c r="E239" s="282">
        <v>0.005956321997635396</v>
      </c>
      <c r="F239" s="233">
        <v>4049.9930000000168</v>
      </c>
      <c r="G239" s="233">
        <v>388.52253124988056</v>
      </c>
      <c r="H239" s="233">
        <v>135150.61299999978</v>
      </c>
      <c r="I239" s="233">
        <v>89597.06363378916</v>
      </c>
      <c r="J239" s="233">
        <v>345774.88299999986</v>
      </c>
    </row>
    <row r="240">
      <c r="A240" s="184">
        <v>43804.97555787037</v>
      </c>
      <c r="B240" s="281">
        <v>0.21795588047593997</v>
      </c>
      <c r="C240" s="281">
        <v>0.042481105625386685</v>
      </c>
      <c r="D240" s="281">
        <v>0.24044683344236134</v>
      </c>
      <c r="E240" s="282">
        <v>-0.002121576986750759</v>
      </c>
      <c r="F240" s="233">
        <v>-1433.971000000136</v>
      </c>
      <c r="G240" s="233">
        <v>334.8030429688224</v>
      </c>
      <c r="H240" s="233">
        <v>131100.61999999976</v>
      </c>
      <c r="I240" s="233">
        <v>89208.54110253928</v>
      </c>
      <c r="J240" s="233">
        <v>341724.88999999984</v>
      </c>
    </row>
    <row r="241">
      <c r="A241" s="184">
        <v>43803.97555159722</v>
      </c>
      <c r="B241" s="281">
        <v>0.2210639744667804</v>
      </c>
      <c r="C241" s="281">
        <v>0.04257317967603836</v>
      </c>
      <c r="D241" s="281">
        <v>0.24360367459060617</v>
      </c>
      <c r="E241" s="282">
        <v>-0.0021439496289067635</v>
      </c>
      <c r="F241" s="233">
        <v>-1452.1669999998994</v>
      </c>
      <c r="G241" s="233">
        <v>329.67222656245576</v>
      </c>
      <c r="H241" s="233">
        <v>132534.5909999999</v>
      </c>
      <c r="I241" s="233">
        <v>88873.73805957046</v>
      </c>
      <c r="J241" s="233">
        <v>343158.861</v>
      </c>
    </row>
    <row r="242">
      <c r="A242" s="184">
        <v>43802.97553322917</v>
      </c>
      <c r="B242" s="281">
        <v>0.2242215917044538</v>
      </c>
      <c r="C242" s="281">
        <v>0.04266613006943523</v>
      </c>
      <c r="D242" s="281">
        <v>0.24681050295156187</v>
      </c>
      <c r="E242" s="282">
        <v>0.006188634654385493</v>
      </c>
      <c r="F242" s="233">
        <v>4200.751000000164</v>
      </c>
      <c r="G242" s="233">
        <v>370.2599999999802</v>
      </c>
      <c r="H242" s="233">
        <v>133986.7579999998</v>
      </c>
      <c r="I242" s="233">
        <v>88544.065833008</v>
      </c>
      <c r="J242" s="233">
        <v>344611.0279999999</v>
      </c>
    </row>
    <row r="243">
      <c r="A243" s="184">
        <v>43801.97558643519</v>
      </c>
      <c r="B243" s="281">
        <v>0.21695973540805566</v>
      </c>
      <c r="C243" s="281">
        <v>0.042759971768312664</v>
      </c>
      <c r="D243" s="281">
        <v>0.23959832966610867</v>
      </c>
      <c r="E243" s="282">
        <v>-0.01190332216389714</v>
      </c>
      <c r="F243" s="233">
        <v>-8029.791000000085</v>
      </c>
      <c r="G243" s="233">
        <v>316.4172265625093</v>
      </c>
      <c r="H243" s="233">
        <v>129786.00699999963</v>
      </c>
      <c r="I243" s="233">
        <v>88173.80583300802</v>
      </c>
      <c r="J243" s="233">
        <v>340410.2769999997</v>
      </c>
    </row>
    <row r="244">
      <c r="A244" s="184">
        <v>43798.97552765046</v>
      </c>
      <c r="B244" s="281">
        <v>0.23414695542095798</v>
      </c>
      <c r="C244" s="281">
        <v>0.0406535568754653</v>
      </c>
      <c r="D244" s="281">
        <v>0.25531632937103194</v>
      </c>
      <c r="E244" s="282">
        <v>-0.003326492899490551</v>
      </c>
      <c r="F244" s="233">
        <v>-2273.491000000038</v>
      </c>
      <c r="G244" s="233">
        <v>390.2665820312395</v>
      </c>
      <c r="H244" s="233">
        <v>137815.79799999972</v>
      </c>
      <c r="I244" s="233">
        <v>87857.38860644551</v>
      </c>
      <c r="J244" s="233">
        <v>348440.0679999998</v>
      </c>
    </row>
    <row r="245">
      <c r="A245" s="184">
        <v>43797.975504525464</v>
      </c>
      <c r="B245" s="281">
        <v>0.23889261903694226</v>
      </c>
      <c r="C245" s="281">
        <v>0.04074460217714222</v>
      </c>
      <c r="D245" s="281">
        <v>0.260109402664932</v>
      </c>
      <c r="E245" s="282">
        <v>-0.0011073052045353219</v>
      </c>
      <c r="F245" s="233">
        <v>-759.3049999999348</v>
      </c>
      <c r="G245" s="233">
        <v>400.71557421883335</v>
      </c>
      <c r="H245" s="233">
        <v>140089.28899999976</v>
      </c>
      <c r="I245" s="233">
        <v>87467.12202441428</v>
      </c>
      <c r="J245" s="233">
        <v>350713.55899999983</v>
      </c>
    </row>
    <row r="246">
      <c r="A246" s="184">
        <v>43796.97553082176</v>
      </c>
      <c r="B246" s="281">
        <v>0.2408460189167272</v>
      </c>
      <c r="C246" s="281">
        <v>0.040836767091548834</v>
      </c>
      <c r="D246" s="281">
        <v>0.2621107952343634</v>
      </c>
      <c r="E246" s="282">
        <v>1.3955196628552476E-4</v>
      </c>
      <c r="F246" s="233">
        <v>95.80000000004657</v>
      </c>
      <c r="G246" s="233">
        <v>415.0710625000356</v>
      </c>
      <c r="H246" s="233">
        <v>140848.5939999997</v>
      </c>
      <c r="I246" s="233">
        <v>87066.40645019544</v>
      </c>
      <c r="J246" s="233">
        <v>351472.86399999977</v>
      </c>
    </row>
    <row r="247">
      <c r="A247" s="184">
        <v>43795.975543831024</v>
      </c>
      <c r="B247" s="281">
        <v>0.2412149223236665</v>
      </c>
      <c r="C247" s="281">
        <v>0.04092961344507023</v>
      </c>
      <c r="D247" s="281">
        <v>0.26252804617417946</v>
      </c>
      <c r="E247" s="282">
        <v>0.002785857672582564</v>
      </c>
      <c r="F247" s="233">
        <v>1912.1759999999776</v>
      </c>
      <c r="G247" s="233">
        <v>560.309328125004</v>
      </c>
      <c r="H247" s="233">
        <v>140752.79399999965</v>
      </c>
      <c r="I247" s="233">
        <v>86651.3353876954</v>
      </c>
      <c r="J247" s="233">
        <v>351377.0639999997</v>
      </c>
    </row>
    <row r="248">
      <c r="A248" s="184">
        <v>43794.97557513889</v>
      </c>
      <c r="B248" s="281">
        <v>0.2381899867704554</v>
      </c>
      <c r="C248" s="281">
        <v>0.04102289189998186</v>
      </c>
      <c r="D248" s="281">
        <v>0.25955168316037885</v>
      </c>
      <c r="E248" s="282">
        <v>0.004462081081831123</v>
      </c>
      <c r="F248" s="233">
        <v>3059.5000000001164</v>
      </c>
      <c r="G248" s="233">
        <v>428.0516210937931</v>
      </c>
      <c r="H248" s="233">
        <v>138840.61799999967</v>
      </c>
      <c r="I248" s="233">
        <v>86091.0260595704</v>
      </c>
      <c r="J248" s="233">
        <v>349464.88799999974</v>
      </c>
    </row>
    <row r="249">
      <c r="A249" s="184">
        <v>43791.975754733794</v>
      </c>
      <c r="B249" s="281">
        <v>0.23331141375705167</v>
      </c>
      <c r="C249" s="281">
        <v>0.04117128534643645</v>
      </c>
      <c r="D249" s="281">
        <v>0.2547503825088834</v>
      </c>
      <c r="E249" s="282">
        <v>0.0049754199160783824</v>
      </c>
      <c r="F249" s="233">
        <v>3396.256999999867</v>
      </c>
      <c r="G249" s="233">
        <v>433.8119843749446</v>
      </c>
      <c r="H249" s="233">
        <v>135781.11799999955</v>
      </c>
      <c r="I249" s="233">
        <v>85662.97443847661</v>
      </c>
      <c r="J249" s="233">
        <v>346405.3879999996</v>
      </c>
    </row>
    <row r="250">
      <c r="A250" s="184">
        <v>43790.975520567124</v>
      </c>
      <c r="B250" s="281">
        <v>0.22745129277476905</v>
      </c>
      <c r="C250" s="281">
        <v>0.041264150946264636</v>
      </c>
      <c r="D250" s="281">
        <v>0.24893861908153456</v>
      </c>
      <c r="E250" s="282">
        <v>-0.00252461661570241</v>
      </c>
      <c r="F250" s="233">
        <v>-1714.746999999974</v>
      </c>
      <c r="G250" s="233">
        <v>388.62203515629517</v>
      </c>
      <c r="H250" s="233">
        <v>132384.86099999968</v>
      </c>
      <c r="I250" s="233">
        <v>85229.16245410166</v>
      </c>
      <c r="J250" s="233">
        <v>343009.13099999976</v>
      </c>
    </row>
    <row r="251">
      <c r="A251" s="184">
        <v>43789.97557613426</v>
      </c>
      <c r="B251" s="281">
        <v>0.23119165063194774</v>
      </c>
      <c r="C251" s="281">
        <v>0.041356440685499325</v>
      </c>
      <c r="D251" s="281">
        <v>0.2527270346279235</v>
      </c>
      <c r="E251" s="282">
        <v>0.0045482017552231375</v>
      </c>
      <c r="F251" s="233">
        <v>3096.9869999999646</v>
      </c>
      <c r="G251" s="233">
        <v>416.1104609374597</v>
      </c>
      <c r="H251" s="233">
        <v>134099.60799999966</v>
      </c>
      <c r="I251" s="233">
        <v>84840.54041894537</v>
      </c>
      <c r="J251" s="233">
        <v>344723.87799999974</v>
      </c>
    </row>
    <row r="252">
      <c r="A252" s="184">
        <v>43788.975492638885</v>
      </c>
      <c r="B252" s="281">
        <v>0.22586321044222302</v>
      </c>
      <c r="C252" s="281">
        <v>0.04144970556404027</v>
      </c>
      <c r="D252" s="281">
        <v>0.24744715990803678</v>
      </c>
      <c r="E252" s="282">
        <v>0.00198193905981351</v>
      </c>
      <c r="F252" s="233">
        <v>1343.4150000000373</v>
      </c>
      <c r="G252" s="233">
        <v>189.25269036072132</v>
      </c>
      <c r="H252" s="233">
        <v>131002.6209999997</v>
      </c>
      <c r="I252" s="233">
        <v>84424.42995800791</v>
      </c>
      <c r="J252" s="233">
        <v>341626.89099999977</v>
      </c>
    </row>
    <row r="253">
      <c r="A253" s="184">
        <v>43787.97557761574</v>
      </c>
      <c r="B253" s="281">
        <v>0.223825520719652</v>
      </c>
      <c r="C253" s="281">
        <v>0.04154247857396417</v>
      </c>
      <c r="D253" s="281">
        <v>0.24545777952640657</v>
      </c>
      <c r="E253" s="282">
        <v>-0.0019154447246766042</v>
      </c>
      <c r="F253" s="233">
        <v>-1295.7700000000186</v>
      </c>
      <c r="G253" s="233">
        <v>380.1507843136933</v>
      </c>
      <c r="H253" s="233">
        <v>129659.20599999966</v>
      </c>
      <c r="I253" s="233">
        <v>84235.17726764719</v>
      </c>
      <c r="J253" s="233">
        <v>340283.47599999973</v>
      </c>
    </row>
    <row r="254">
      <c r="A254" s="184">
        <v>43784.975760625</v>
      </c>
      <c r="B254" s="279">
        <v>0.22709384831314572</v>
      </c>
      <c r="C254" s="279">
        <v>0.04169216061337267</v>
      </c>
      <c r="D254" s="279">
        <v>0.2488040504859766</v>
      </c>
      <c r="E254" s="282">
        <v>-0.0023817797798707584</v>
      </c>
      <c r="F254" s="233">
        <v>-1614.3250000000698</v>
      </c>
      <c r="G254" s="233">
        <v>376.01590980391484</v>
      </c>
      <c r="H254" s="233">
        <v>130954.97599999967</v>
      </c>
      <c r="I254" s="233">
        <v>83855.0264833335</v>
      </c>
      <c r="J254" s="233">
        <v>341579.24599999975</v>
      </c>
    </row>
    <row r="255">
      <c r="A255" s="184">
        <v>43783.97552518519</v>
      </c>
      <c r="B255" s="279">
        <v>0.2306789810902999</v>
      </c>
      <c r="C255" s="279">
        <v>0.04178600083782827</v>
      </c>
      <c r="D255" s="279">
        <v>0.2524380483306855</v>
      </c>
      <c r="E255" s="282">
        <v>0.001954552846613695</v>
      </c>
      <c r="F255" s="233">
        <v>1327.9139999999898</v>
      </c>
      <c r="G255" s="233">
        <v>385.3144156863127</v>
      </c>
      <c r="H255" s="233">
        <v>132569.30099999974</v>
      </c>
      <c r="I255" s="233">
        <v>83479.01057352958</v>
      </c>
      <c r="J255" s="233">
        <v>343193.5709999998</v>
      </c>
    </row>
    <row r="256">
      <c r="A256" s="184">
        <v>43782.0</v>
      </c>
      <c r="B256" s="279">
        <v>0.22881879492221538</v>
      </c>
      <c r="C256" s="279">
        <v>0.04190842336770422</v>
      </c>
      <c r="D256" s="279">
        <v>0.2506416107866832</v>
      </c>
      <c r="E256" s="282">
        <v>0.005596194609433431</v>
      </c>
      <c r="F256" s="233">
        <v>3794.597000000067</v>
      </c>
      <c r="G256" s="233">
        <v>419.27903137261455</v>
      </c>
      <c r="H256" s="233">
        <v>131241.38699999976</v>
      </c>
      <c r="I256" s="233">
        <v>83093.69615784327</v>
      </c>
      <c r="J256" s="233">
        <v>341865.65699999983</v>
      </c>
    </row>
    <row r="257">
      <c r="A257" s="184">
        <v>43781.0</v>
      </c>
      <c r="B257" s="279">
        <v>0.22207388437045883</v>
      </c>
      <c r="C257" s="279">
        <v>0.042003356626558026</v>
      </c>
      <c r="D257" s="279">
        <v>0.24394613447417737</v>
      </c>
      <c r="E257" s="282">
        <v>0.003969230468042444</v>
      </c>
      <c r="F257" s="233">
        <v>2679.3040000000037</v>
      </c>
      <c r="G257" s="233">
        <v>568.6763725489291</v>
      </c>
      <c r="H257" s="235">
        <v>127446.7908333338</v>
      </c>
      <c r="I257" s="235">
        <v>82674.41712647065</v>
      </c>
      <c r="J257" s="233">
        <v>338071.05999999976</v>
      </c>
    </row>
    <row r="258">
      <c r="A258" s="184">
        <v>43780.0</v>
      </c>
      <c r="B258" s="279">
        <v>0.21743199711140537</v>
      </c>
      <c r="C258" s="279">
        <v>0.042097563344616</v>
      </c>
      <c r="D258" s="279">
        <v>0.23935330312551542</v>
      </c>
      <c r="E258" s="282">
        <v>-0.005627712669354343</v>
      </c>
      <c r="F258" s="233">
        <v>-3795.7570000000997</v>
      </c>
      <c r="G258" s="233">
        <v>308.9961529411812</v>
      </c>
      <c r="H258" s="235">
        <v>124767.4868333338</v>
      </c>
      <c r="I258" s="235">
        <v>82105.74075392172</v>
      </c>
      <c r="J258" s="233">
        <v>335391.75599999976</v>
      </c>
    </row>
    <row r="259">
      <c r="A259" s="184">
        <v>43777.0</v>
      </c>
      <c r="B259" s="279">
        <v>0.22552014394685016</v>
      </c>
      <c r="C259" s="279">
        <v>0.042248630613177816</v>
      </c>
      <c r="D259" s="279">
        <v>0.24752011465220966</v>
      </c>
      <c r="E259" s="282">
        <v>9.118513556575518E-4</v>
      </c>
      <c r="F259" s="233">
        <v>618.4830000001239</v>
      </c>
      <c r="G259" s="233">
        <v>357.8567725489702</v>
      </c>
      <c r="H259" s="235">
        <v>128563.2438333339</v>
      </c>
      <c r="I259" s="235">
        <v>81796.74460098054</v>
      </c>
      <c r="J259" s="233">
        <v>339187.51299999986</v>
      </c>
    </row>
    <row r="260">
      <c r="A260" s="184">
        <v>43776.0</v>
      </c>
      <c r="B260" s="279">
        <v>0.22483728646340298</v>
      </c>
      <c r="C260" s="279">
        <v>0.04234428398214514</v>
      </c>
      <c r="D260" s="279">
        <v>0.24688706638824745</v>
      </c>
      <c r="E260" s="282">
        <v>-0.0036974927766062816</v>
      </c>
      <c r="F260" s="233">
        <v>-2505.6180000000168</v>
      </c>
      <c r="G260" s="233">
        <v>354.24736862753343</v>
      </c>
      <c r="H260" s="235">
        <v>127944.76083333377</v>
      </c>
      <c r="I260" s="235">
        <v>81438.88782843157</v>
      </c>
      <c r="J260" s="233">
        <v>338569.02999999974</v>
      </c>
    </row>
    <row r="261">
      <c r="A261" s="184">
        <v>43775.0</v>
      </c>
      <c r="B261" s="279">
        <v>0.23019253000669246</v>
      </c>
      <c r="C261" s="279">
        <v>0.04244021229076165</v>
      </c>
      <c r="D261" s="279">
        <v>0.2522922623193125</v>
      </c>
      <c r="E261" s="282">
        <v>0.0015549029035143774</v>
      </c>
      <c r="F261" s="233">
        <v>1057.5810000000056</v>
      </c>
      <c r="G261" s="233">
        <v>386.6849490196619</v>
      </c>
      <c r="H261" s="235">
        <v>130450.37883333379</v>
      </c>
      <c r="I261" s="235">
        <v>81084.64045980404</v>
      </c>
      <c r="J261" s="233">
        <v>341074.64799999975</v>
      </c>
    </row>
    <row r="262">
      <c r="A262" s="184">
        <v>43774.0</v>
      </c>
      <c r="B262" s="279">
        <v>0.22866972912693187</v>
      </c>
      <c r="C262" s="279">
        <v>0.042537421536922526</v>
      </c>
      <c r="D262" s="279">
        <v>0.250820080845123</v>
      </c>
      <c r="E262" s="282">
        <v>-7.118378490197473E-5</v>
      </c>
      <c r="F262" s="233">
        <v>-48.34099999978207</v>
      </c>
      <c r="G262" s="233">
        <v>1039.04764652648</v>
      </c>
      <c r="H262" s="235">
        <v>129392.79783333378</v>
      </c>
      <c r="I262" s="235">
        <v>80697.95551078438</v>
      </c>
      <c r="J262" s="233">
        <v>340017.06699999975</v>
      </c>
    </row>
    <row r="263">
      <c r="A263" s="184">
        <v>43773.0</v>
      </c>
      <c r="B263" s="279">
        <v>0.2292869955108192</v>
      </c>
      <c r="C263" s="279">
        <v>0.042634774965709735</v>
      </c>
      <c r="D263" s="279">
        <v>0.2514880417142587</v>
      </c>
      <c r="E263" s="282">
        <v>0.001312365820243272</v>
      </c>
      <c r="F263" s="233">
        <v>899.6034999996773</v>
      </c>
      <c r="G263" s="233">
        <v>902.1403730468301</v>
      </c>
      <c r="H263" s="235">
        <v>129441.13883333356</v>
      </c>
      <c r="I263" s="235">
        <v>79658.9078642579</v>
      </c>
      <c r="J263" s="233">
        <v>340065.40799999953</v>
      </c>
    </row>
    <row r="264">
      <c r="A264" s="184">
        <v>43770.0</v>
      </c>
      <c r="B264" s="279">
        <v>0.2283723497723648</v>
      </c>
      <c r="C264" s="279">
        <v>0.04279088918918703</v>
      </c>
      <c r="D264" s="279">
        <v>0.2506546887489272</v>
      </c>
      <c r="E264" s="282">
        <v>-2.6204116700928775E-5</v>
      </c>
      <c r="F264" s="233">
        <v>-18.178499999805354</v>
      </c>
      <c r="G264" s="233">
        <v>375.16026953121764</v>
      </c>
      <c r="H264" s="235">
        <v>128541.53533333389</v>
      </c>
      <c r="I264" s="235">
        <v>78756.76749121107</v>
      </c>
      <c r="J264" s="233">
        <v>352865.80449999985</v>
      </c>
    </row>
    <row r="265">
      <c r="A265" s="184">
        <v>43769.0</v>
      </c>
      <c r="B265" s="279">
        <v>0.22895601748647848</v>
      </c>
      <c r="C265" s="279">
        <v>0.04289359502483225</v>
      </c>
      <c r="D265" s="279">
        <v>0.2512918380870053</v>
      </c>
      <c r="E265" s="282">
        <v>0.004275463995902609</v>
      </c>
      <c r="F265" s="233">
        <v>2966.0819999999367</v>
      </c>
      <c r="G265" s="233">
        <v>374.2793632812536</v>
      </c>
      <c r="H265" s="235">
        <v>128559.71383333369</v>
      </c>
      <c r="I265" s="235">
        <v>78381.60722167985</v>
      </c>
      <c r="J265" s="233">
        <v>352883.98299999966</v>
      </c>
    </row>
    <row r="266">
      <c r="A266" s="184">
        <v>43768.0</v>
      </c>
      <c r="B266" s="279">
        <v>0.2229711071647154</v>
      </c>
      <c r="C266" s="279">
        <v>0.042996843961601264</v>
      </c>
      <c r="D266" s="279">
        <v>0.2460850536319753</v>
      </c>
      <c r="E266" s="282">
        <v>0.0010121474585980143</v>
      </c>
      <c r="F266" s="233">
        <v>698.7960000000894</v>
      </c>
      <c r="G266" s="233">
        <v>373.1829023437749</v>
      </c>
      <c r="H266" s="235">
        <v>125593.63183333375</v>
      </c>
      <c r="I266" s="235">
        <v>78007.3278583986</v>
      </c>
      <c r="J266" s="233">
        <v>349917.9009999997</v>
      </c>
    </row>
    <row r="267">
      <c r="A267" s="184">
        <v>43767.0</v>
      </c>
      <c r="B267" s="279">
        <v>0.22213177974551385</v>
      </c>
      <c r="C267" s="279">
        <v>0.04309965446328476</v>
      </c>
      <c r="D267" s="279">
        <v>0.245300994372323</v>
      </c>
      <c r="E267" s="282">
        <v>0.0011889118939657128</v>
      </c>
      <c r="F267" s="233">
        <v>820.0050000001211</v>
      </c>
      <c r="G267" s="233">
        <v>364.02444140626176</v>
      </c>
      <c r="H267" s="235">
        <v>124894.83583333367</v>
      </c>
      <c r="I267" s="235">
        <v>77634.14495605482</v>
      </c>
      <c r="J267" s="233">
        <v>349219.10499999963</v>
      </c>
    </row>
    <row r="268">
      <c r="A268" s="184">
        <v>43766.0</v>
      </c>
      <c r="B268" s="279">
        <v>0.22104882928067843</v>
      </c>
      <c r="C268" s="279">
        <v>0.04320276877822077</v>
      </c>
      <c r="D268" s="279">
        <v>0.24427347538886718</v>
      </c>
      <c r="E268" s="282">
        <v>-0.006709821268554398</v>
      </c>
      <c r="F268" s="233">
        <v>-4622.3320000001695</v>
      </c>
      <c r="G268" s="233">
        <v>524.7042539062095</v>
      </c>
      <c r="H268" s="235">
        <v>124074.83083333354</v>
      </c>
      <c r="I268" s="235">
        <v>77270.12051464856</v>
      </c>
      <c r="J268" s="233">
        <v>348399.0999999995</v>
      </c>
    </row>
    <row r="269">
      <c r="A269" s="184">
        <v>43763.0</v>
      </c>
      <c r="B269" s="279">
        <v>0.23101583133699635</v>
      </c>
      <c r="C269" s="279">
        <v>0.043365470694652845</v>
      </c>
      <c r="D269" s="279">
        <v>0.25432794161790184</v>
      </c>
      <c r="E269" s="282">
        <v>5.957944411274104E-4</v>
      </c>
      <c r="F269" s="233">
        <v>414.64300000004005</v>
      </c>
      <c r="G269" s="233">
        <v>370.0838750000403</v>
      </c>
      <c r="H269" s="235">
        <v>128697.16283333371</v>
      </c>
      <c r="I269" s="235">
        <v>76745.41626074235</v>
      </c>
      <c r="J269" s="233">
        <v>353021.4319999997</v>
      </c>
    </row>
    <row r="270">
      <c r="A270" s="184">
        <v>43762.0</v>
      </c>
      <c r="B270" s="279">
        <v>0.23075726438326244</v>
      </c>
      <c r="C270" s="279">
        <v>0.043471124263967216</v>
      </c>
      <c r="D270" s="279">
        <v>0.2541261711803817</v>
      </c>
      <c r="E270" s="282">
        <v>0.003928628364093013</v>
      </c>
      <c r="F270" s="233">
        <v>2732.499000000069</v>
      </c>
      <c r="G270" s="233">
        <v>378.59573437506333</v>
      </c>
      <c r="H270" s="235">
        <v>128282.51983333367</v>
      </c>
      <c r="I270" s="235">
        <v>76375.33238574231</v>
      </c>
      <c r="J270" s="233">
        <v>352606.78899999964</v>
      </c>
    </row>
    <row r="271">
      <c r="A271" s="184">
        <v>43761.0</v>
      </c>
      <c r="B271" s="279">
        <v>0.22589407978488849</v>
      </c>
      <c r="C271" s="279">
        <v>0.04357719845052599</v>
      </c>
      <c r="D271" s="279">
        <v>0.2493200092107353</v>
      </c>
      <c r="E271" s="282">
        <v>0.004808294454765472</v>
      </c>
      <c r="F271" s="233">
        <v>3331.198999999906</v>
      </c>
      <c r="G271" s="233">
        <v>385.18052734370576</v>
      </c>
      <c r="H271" s="235">
        <v>125550.0208333336</v>
      </c>
      <c r="I271" s="235">
        <v>75996.73665136725</v>
      </c>
      <c r="J271" s="233">
        <v>349874.2899999996</v>
      </c>
    </row>
    <row r="272">
      <c r="A272" s="184">
        <v>43760.0</v>
      </c>
      <c r="B272" s="279">
        <v>0.21981084250785918</v>
      </c>
      <c r="C272" s="279">
        <v>0.04368290893637917</v>
      </c>
      <c r="D272" s="279">
        <v>0.24329359904671968</v>
      </c>
      <c r="E272" s="282">
        <v>0.0029821801671381493</v>
      </c>
      <c r="F272" s="233">
        <v>2056.1279999999097</v>
      </c>
      <c r="G272" s="233">
        <v>359.2440195312374</v>
      </c>
      <c r="H272" s="235">
        <v>122218.8218333337</v>
      </c>
      <c r="I272" s="235">
        <v>75611.55612402354</v>
      </c>
      <c r="J272" s="233">
        <v>346543.09099999967</v>
      </c>
    </row>
    <row r="273">
      <c r="A273" s="184">
        <v>43759.0</v>
      </c>
      <c r="B273" s="279">
        <v>0.216237006806599</v>
      </c>
      <c r="C273" s="279">
        <v>0.04378804171628322</v>
      </c>
      <c r="D273" s="279">
        <v>0.23977627989929837</v>
      </c>
      <c r="E273" s="282">
        <v>-0.004243894522235175</v>
      </c>
      <c r="F273" s="233">
        <v>-2917.31799999997</v>
      </c>
      <c r="G273" s="233">
        <v>327.61699999999837</v>
      </c>
      <c r="H273" s="235">
        <v>120162.69383333379</v>
      </c>
      <c r="I273" s="235">
        <v>75252.3121044923</v>
      </c>
      <c r="J273" s="233">
        <v>344486.96299999976</v>
      </c>
    </row>
    <row r="274">
      <c r="A274" s="184">
        <v>43756.0</v>
      </c>
      <c r="B274" s="279">
        <v>0.2228970713971108</v>
      </c>
      <c r="C274" s="279">
        <v>0.04395343814638607</v>
      </c>
      <c r="D274" s="279">
        <v>0.24652525716057938</v>
      </c>
      <c r="E274" s="282">
        <v>-0.0013528087533339688</v>
      </c>
      <c r="F274" s="233">
        <v>-933.8880000000354</v>
      </c>
      <c r="G274" s="233">
        <v>347.5272460937849</v>
      </c>
      <c r="H274" s="235">
        <v>123080.01183333376</v>
      </c>
      <c r="I274" s="235">
        <v>74924.6951044923</v>
      </c>
      <c r="J274" s="233">
        <v>347404.2809999997</v>
      </c>
    </row>
    <row r="275">
      <c r="A275" s="184">
        <v>43755.0</v>
      </c>
      <c r="B275" s="279">
        <v>0.22531336960762982</v>
      </c>
      <c r="C275" s="279">
        <v>0.04406016006044262</v>
      </c>
      <c r="D275" s="279">
        <v>0.24899892620070135</v>
      </c>
      <c r="E275" s="282">
        <v>-0.004572339323201704</v>
      </c>
      <c r="F275" s="233">
        <v>-3160.704999999958</v>
      </c>
      <c r="G275" s="233">
        <v>340.22657812500256</v>
      </c>
      <c r="H275" s="235">
        <v>124013.8998333338</v>
      </c>
      <c r="I275" s="235">
        <v>74577.16785839852</v>
      </c>
      <c r="J275" s="233">
        <v>348338.16899999976</v>
      </c>
    </row>
    <row r="276">
      <c r="A276" s="184">
        <v>43754.0</v>
      </c>
      <c r="B276" s="279">
        <v>0.23222532492807418</v>
      </c>
      <c r="C276" s="279">
        <v>0.04416777055520436</v>
      </c>
      <c r="D276" s="279">
        <v>0.2559687300278282</v>
      </c>
      <c r="E276" s="282">
        <v>-0.004259932472993851</v>
      </c>
      <c r="F276" s="233">
        <v>-2958.2129999998724</v>
      </c>
      <c r="G276" s="233">
        <v>364.1171562500822</v>
      </c>
      <c r="H276" s="235">
        <v>127174.60483333375</v>
      </c>
      <c r="I276" s="235">
        <v>74236.94128027352</v>
      </c>
      <c r="J276" s="233">
        <v>351498.8739999997</v>
      </c>
    </row>
    <row r="277">
      <c r="A277" s="184">
        <v>43753.0</v>
      </c>
      <c r="B277" s="279">
        <v>0.23876875520865715</v>
      </c>
      <c r="C277" s="279">
        <v>0.04427705583685754</v>
      </c>
      <c r="D277" s="279">
        <v>0.2625709091354657</v>
      </c>
      <c r="E277" s="282">
        <v>-0.001801736841449548</v>
      </c>
      <c r="F277" s="233">
        <v>-1256.5050000000047</v>
      </c>
      <c r="G277" s="233">
        <v>388.9077617186704</v>
      </c>
      <c r="H277" s="235">
        <v>130132.81783333363</v>
      </c>
      <c r="I277" s="235">
        <v>73872.82412402343</v>
      </c>
      <c r="J277" s="233">
        <v>354657.0869999996</v>
      </c>
    </row>
    <row r="278">
      <c r="A278" s="184">
        <v>43752.0</v>
      </c>
      <c r="B278" s="279">
        <v>0.24190885708280777</v>
      </c>
      <c r="C278" s="279">
        <v>0.04438803712797718</v>
      </c>
      <c r="D278" s="279">
        <v>0.26577067156572826</v>
      </c>
      <c r="E278" s="282">
        <v>0.0032015141475177766</v>
      </c>
      <c r="F278" s="233">
        <v>2236.7119999999413</v>
      </c>
      <c r="G278" s="233">
        <v>406.0349453125964</v>
      </c>
      <c r="H278" s="235">
        <v>131389.32283333363</v>
      </c>
      <c r="I278" s="235">
        <v>73483.91636230476</v>
      </c>
      <c r="J278" s="233">
        <v>355913.5919999996</v>
      </c>
    </row>
    <row r="279">
      <c r="A279" s="184">
        <v>43749.0</v>
      </c>
      <c r="B279" s="279">
        <v>0.23831278688178276</v>
      </c>
      <c r="C279" s="279">
        <v>0.04456161591237542</v>
      </c>
      <c r="D279" s="279">
        <v>0.2622679126489923</v>
      </c>
      <c r="E279" s="282">
        <v>-0.004070193553848115</v>
      </c>
      <c r="F279" s="233">
        <v>-2834.5040000000736</v>
      </c>
      <c r="G279" s="233">
        <v>381.10113671876024</v>
      </c>
      <c r="H279" s="235">
        <v>129152.61083333369</v>
      </c>
      <c r="I279" s="235">
        <v>73077.88141699217</v>
      </c>
      <c r="J279" s="233">
        <v>353676.87999999966</v>
      </c>
    </row>
    <row r="280">
      <c r="A280" s="184">
        <v>43748.0</v>
      </c>
      <c r="B280" s="279">
        <v>0.2446824719362506</v>
      </c>
      <c r="C280" s="279">
        <v>0.044673665588948766</v>
      </c>
      <c r="D280" s="279">
        <v>0.26869783259484664</v>
      </c>
      <c r="E280" s="282">
        <v>-0.007194688592879807</v>
      </c>
      <c r="F280" s="233">
        <v>-5030.811999999918</v>
      </c>
      <c r="G280" s="233">
        <v>366.2256718749413</v>
      </c>
      <c r="H280" s="235">
        <v>131987.11483333376</v>
      </c>
      <c r="I280" s="235">
        <v>72696.78028027341</v>
      </c>
      <c r="J280" s="233">
        <v>356511.3839999997</v>
      </c>
    </row>
    <row r="281">
      <c r="A281" s="184">
        <v>43747.0</v>
      </c>
      <c r="B281" s="279">
        <v>0.2555728050911905</v>
      </c>
      <c r="C281" s="279">
        <v>0.04478733950935568</v>
      </c>
      <c r="D281" s="279">
        <v>0.2796492737909571</v>
      </c>
      <c r="E281" s="282">
        <v>-0.003277039024162242</v>
      </c>
      <c r="F281" s="233">
        <v>-2307.922000000137</v>
      </c>
      <c r="G281" s="233">
        <v>367.0771171875822</v>
      </c>
      <c r="H281" s="235">
        <v>137017.92683333368</v>
      </c>
      <c r="I281" s="235">
        <v>72330.55460839847</v>
      </c>
      <c r="J281" s="233">
        <v>361542.19599999965</v>
      </c>
    </row>
    <row r="282">
      <c r="A282" s="184">
        <v>43746.0</v>
      </c>
      <c r="B282" s="279">
        <v>0.2626392529429806</v>
      </c>
      <c r="C282" s="279">
        <v>0.04322215834481098</v>
      </c>
      <c r="D282" s="279">
        <v>0.28509684923008954</v>
      </c>
      <c r="E282" s="282">
        <v>-6.472843405420186E-4</v>
      </c>
      <c r="F282" s="233">
        <v>-457.88899999985006</v>
      </c>
      <c r="G282" s="233">
        <v>398.30607031252293</v>
      </c>
      <c r="H282" s="235">
        <v>139325.84883333382</v>
      </c>
      <c r="I282" s="235">
        <v>71963.47749121088</v>
      </c>
      <c r="J282" s="233">
        <v>363850.1179999998</v>
      </c>
    </row>
    <row r="283">
      <c r="A283" s="184">
        <v>43745.0</v>
      </c>
      <c r="B283" s="279">
        <v>0.26426647197728687</v>
      </c>
      <c r="C283" s="279">
        <v>0.04333534950186961</v>
      </c>
      <c r="D283" s="279">
        <v>0.286782880720919</v>
      </c>
      <c r="E283" s="282">
        <v>-8.568823393875638E-4</v>
      </c>
      <c r="F283" s="233">
        <v>-606.5509999999776</v>
      </c>
      <c r="G283" s="233">
        <v>400.0424492187449</v>
      </c>
      <c r="H283" s="235">
        <v>139783.73783333367</v>
      </c>
      <c r="I283" s="235">
        <v>71565.17142089836</v>
      </c>
      <c r="J283" s="233">
        <v>364308.00699999963</v>
      </c>
    </row>
    <row r="284">
      <c r="A284" s="184">
        <v>43742.0</v>
      </c>
      <c r="B284" s="279">
        <v>0.26657931017263187</v>
      </c>
      <c r="C284" s="279">
        <v>0.04350973278336989</v>
      </c>
      <c r="D284" s="279">
        <v>0.2891863258985417</v>
      </c>
      <c r="E284" s="282">
        <v>0.008389780656750948</v>
      </c>
      <c r="F284" s="233">
        <v>5943.862000000081</v>
      </c>
      <c r="G284" s="233">
        <v>416.0781132812408</v>
      </c>
      <c r="H284" s="235">
        <v>140390.28883333365</v>
      </c>
      <c r="I284" s="235">
        <v>71165.12897167962</v>
      </c>
      <c r="J284" s="233">
        <v>364914.5579999996</v>
      </c>
    </row>
    <row r="285">
      <c r="A285" s="184">
        <v>43741.0</v>
      </c>
      <c r="B285" s="279">
        <v>0.255008291309748</v>
      </c>
      <c r="C285" s="279">
        <v>0.043624793932178926</v>
      </c>
      <c r="D285" s="279">
        <v>0.27767509111232686</v>
      </c>
      <c r="E285" s="282">
        <v>-4.1155515225381944E-4</v>
      </c>
      <c r="F285" s="233">
        <v>-289.1260000000475</v>
      </c>
      <c r="G285" s="233">
        <v>341.9794960937579</v>
      </c>
      <c r="H285" s="235">
        <v>134446.42683333356</v>
      </c>
      <c r="I285" s="235">
        <v>70749.05085839838</v>
      </c>
      <c r="J285" s="233">
        <v>358970.69599999953</v>
      </c>
    </row>
    <row r="286">
      <c r="A286" s="184">
        <v>43740.0</v>
      </c>
      <c r="B286" s="279">
        <v>0.25627115299074843</v>
      </c>
      <c r="C286" s="279">
        <v>0.04373841457252651</v>
      </c>
      <c r="D286" s="279">
        <v>0.2789969884030359</v>
      </c>
      <c r="E286" s="282">
        <v>-0.007364453444984002</v>
      </c>
      <c r="F286" s="233">
        <v>-5175.8099999999395</v>
      </c>
      <c r="G286" s="233">
        <v>328.68926953124173</v>
      </c>
      <c r="H286" s="235">
        <v>134735.5528333336</v>
      </c>
      <c r="I286" s="235">
        <v>70407.07136230462</v>
      </c>
      <c r="J286" s="233">
        <v>359259.8219999996</v>
      </c>
    </row>
    <row r="287">
      <c r="A287" s="184">
        <v>43739.0</v>
      </c>
      <c r="B287" s="279">
        <v>0.26768682371984365</v>
      </c>
      <c r="C287" s="279">
        <v>0.04385278109968562</v>
      </c>
      <c r="D287" s="279">
        <v>0.29047208229363103</v>
      </c>
      <c r="E287" s="282">
        <v>8.361243472055087E-4</v>
      </c>
      <c r="F287" s="233">
        <v>591.9639999999199</v>
      </c>
      <c r="G287" s="233">
        <v>380.17816015623976</v>
      </c>
      <c r="H287" s="235">
        <v>139911.36283333355</v>
      </c>
      <c r="I287" s="235">
        <v>70078.38209277338</v>
      </c>
      <c r="J287" s="233">
        <v>364835.6319999995</v>
      </c>
    </row>
    <row r="288">
      <c r="A288" s="184">
        <v>43738.0</v>
      </c>
      <c r="B288" s="279">
        <v>0.2671688098045196</v>
      </c>
      <c r="C288" s="279">
        <v>0.04396979051116148</v>
      </c>
      <c r="D288" s="279">
        <v>0.290014864743536</v>
      </c>
      <c r="E288" s="282">
        <v>0.001553707779748546</v>
      </c>
      <c r="F288" s="233">
        <v>1099.0829999999842</v>
      </c>
      <c r="G288" s="233">
        <v>392.2856640624814</v>
      </c>
      <c r="H288" s="235">
        <v>139319.39883333363</v>
      </c>
      <c r="I288" s="235">
        <v>69698.20393261714</v>
      </c>
      <c r="J288" s="233">
        <v>364243.6679999996</v>
      </c>
    </row>
    <row r="289">
      <c r="A289" s="184">
        <v>43735.0</v>
      </c>
      <c r="B289" s="279">
        <v>0.2651876317661717</v>
      </c>
      <c r="C289" s="279">
        <v>0.04414883941224757</v>
      </c>
      <c r="D289" s="279">
        <v>0.2888986033501678</v>
      </c>
      <c r="E289" s="282">
        <v>-2.8699497337137254E-4</v>
      </c>
      <c r="F289" s="233">
        <v>-202.59700000006706</v>
      </c>
      <c r="G289" s="233">
        <v>400.1107500000071</v>
      </c>
      <c r="H289" s="235">
        <v>138220.31583333365</v>
      </c>
      <c r="I289" s="235">
        <v>69305.91826855465</v>
      </c>
      <c r="J289" s="233">
        <v>363144.5849999996</v>
      </c>
    </row>
    <row r="290">
      <c r="A290" s="184">
        <v>43734.0</v>
      </c>
      <c r="B290" s="279">
        <v>0.2663208025264301</v>
      </c>
      <c r="C290" s="279">
        <v>0.0442668057119735</v>
      </c>
      <c r="D290" s="279">
        <v>0.2900951301491785</v>
      </c>
      <c r="E290" s="282">
        <v>-6.604427202930816E-4</v>
      </c>
      <c r="F290" s="233">
        <v>-466.35699999995995</v>
      </c>
      <c r="G290" s="233">
        <v>414.4111093749816</v>
      </c>
      <c r="H290" s="235">
        <v>138422.9128333337</v>
      </c>
      <c r="I290" s="235">
        <v>68905.80751855465</v>
      </c>
      <c r="J290" s="233">
        <v>363347.1819999997</v>
      </c>
    </row>
    <row r="291">
      <c r="A291" s="184">
        <v>43733.0</v>
      </c>
      <c r="B291" s="279">
        <v>0.2680150529146242</v>
      </c>
      <c r="C291" s="279">
        <v>0.04438553008880928</v>
      </c>
      <c r="D291" s="279">
        <v>0.2918531437158153</v>
      </c>
      <c r="E291" s="282">
        <v>-9.308680864441088E-4</v>
      </c>
      <c r="F291" s="233">
        <v>-657.7460000000428</v>
      </c>
      <c r="G291" s="233">
        <v>419.6250546875526</v>
      </c>
      <c r="H291" s="235">
        <v>138889.26983333367</v>
      </c>
      <c r="I291" s="235">
        <v>68491.39640917967</v>
      </c>
      <c r="J291" s="233">
        <v>363813.53899999964</v>
      </c>
    </row>
    <row r="292">
      <c r="A292" s="184">
        <v>43732.0</v>
      </c>
      <c r="B292" s="279">
        <v>0.27012302627961166</v>
      </c>
      <c r="C292" s="279">
        <v>0.044505116468931155</v>
      </c>
      <c r="D292" s="279">
        <v>0.29402534321446</v>
      </c>
      <c r="E292" s="282">
        <v>7.809635525845739E-4</v>
      </c>
      <c r="F292" s="233">
        <v>552.3379999999888</v>
      </c>
      <c r="G292" s="233">
        <v>586.6423789062537</v>
      </c>
      <c r="H292" s="235">
        <v>139547.01583333372</v>
      </c>
      <c r="I292" s="235">
        <v>68071.77135449211</v>
      </c>
      <c r="J292" s="233">
        <v>364471.2849999997</v>
      </c>
    </row>
    <row r="293">
      <c r="A293" s="184">
        <v>43731.0</v>
      </c>
      <c r="B293" s="279">
        <v>0.2696876416397494</v>
      </c>
      <c r="C293" s="279">
        <v>0.04462564443360919</v>
      </c>
      <c r="D293" s="279">
        <v>0.2936546904041</v>
      </c>
      <c r="E293" s="282">
        <v>0.005983587848744338</v>
      </c>
      <c r="F293" s="233">
        <v>4234.915999999968</v>
      </c>
      <c r="G293" s="233">
        <v>432.78105859368225</v>
      </c>
      <c r="H293" s="235">
        <v>138994.67783333373</v>
      </c>
      <c r="I293" s="235">
        <v>67485.12897558586</v>
      </c>
      <c r="J293" s="233">
        <v>363918.9469999997</v>
      </c>
    </row>
    <row r="294">
      <c r="A294" s="184">
        <v>43728.0</v>
      </c>
      <c r="B294" s="279">
        <v>0.2618146291280469</v>
      </c>
      <c r="C294" s="279">
        <v>0.04480947862954198</v>
      </c>
      <c r="D294" s="279">
        <v>0.28588040953413396</v>
      </c>
      <c r="E294" s="282">
        <v>0.004758123696824419</v>
      </c>
      <c r="F294" s="233">
        <v>3347.437000000151</v>
      </c>
      <c r="G294" s="233">
        <v>584.4435742187488</v>
      </c>
      <c r="H294" s="235">
        <v>134759.76183333376</v>
      </c>
      <c r="I294" s="235">
        <v>67052.34791699218</v>
      </c>
      <c r="J294" s="233">
        <v>359684.0309999997</v>
      </c>
    </row>
    <row r="295">
      <c r="A295" s="184">
        <v>43727.0</v>
      </c>
      <c r="B295" s="279">
        <v>0.2553976328993045</v>
      </c>
      <c r="C295" s="279">
        <v>0.044929858468677183</v>
      </c>
      <c r="D295" s="279">
        <v>0.2795280655812616</v>
      </c>
      <c r="E295" s="282">
        <v>0.0024524354496136555</v>
      </c>
      <c r="F295" s="233">
        <v>1721.7229999999981</v>
      </c>
      <c r="G295" s="233">
        <v>393.47895312508626</v>
      </c>
      <c r="H295" s="235">
        <v>131412.3248333336</v>
      </c>
      <c r="I295" s="235">
        <v>66467.90434277343</v>
      </c>
      <c r="J295" s="233">
        <v>356336.5939999996</v>
      </c>
    </row>
    <row r="296">
      <c r="A296" s="184">
        <v>43726.0</v>
      </c>
      <c r="B296" s="279">
        <v>0.252406713365383</v>
      </c>
      <c r="C296" s="279">
        <v>0.045049684832725895</v>
      </c>
      <c r="D296" s="279">
        <v>0.276601501068917</v>
      </c>
      <c r="E296" s="282">
        <v>0.0011413894854958215</v>
      </c>
      <c r="F296" s="233">
        <v>799.3429999998771</v>
      </c>
      <c r="G296" s="233">
        <v>381.59346875002666</v>
      </c>
      <c r="H296" s="235">
        <v>129690.60183333361</v>
      </c>
      <c r="I296" s="235">
        <v>66074.42538964834</v>
      </c>
      <c r="J296" s="233">
        <v>354614.8709999996</v>
      </c>
    </row>
    <row r="297">
      <c r="A297" s="184">
        <v>43725.0</v>
      </c>
      <c r="B297" s="279">
        <v>0.2513689741983401</v>
      </c>
      <c r="C297" s="279">
        <v>0.045169555887314534</v>
      </c>
      <c r="D297" s="279">
        <v>0.27562814092535315</v>
      </c>
      <c r="E297" s="282">
        <v>-0.0015659094136728476</v>
      </c>
      <c r="F297" s="233">
        <v>-1095.3929999999236</v>
      </c>
      <c r="G297" s="233">
        <v>364.6477539061598</v>
      </c>
      <c r="H297" s="235">
        <v>128891.25883333373</v>
      </c>
      <c r="I297" s="235">
        <v>65692.83192089832</v>
      </c>
      <c r="J297" s="233">
        <v>353815.5279999997</v>
      </c>
    </row>
    <row r="298">
      <c r="A298" s="184">
        <v>43724.0</v>
      </c>
      <c r="B298" s="279">
        <v>0.25438691164068394</v>
      </c>
      <c r="C298" s="279">
        <v>0.04528981667462253</v>
      </c>
      <c r="D298" s="279">
        <v>0.27871066670452516</v>
      </c>
      <c r="E298" s="282">
        <v>0.010668845202752589</v>
      </c>
      <c r="F298" s="233">
        <v>7474.8120000000345</v>
      </c>
      <c r="G298" s="233">
        <v>728.3184179687523</v>
      </c>
      <c r="H298" s="235">
        <v>129986.65183333366</v>
      </c>
      <c r="I298" s="235">
        <v>65328.184166992156</v>
      </c>
      <c r="J298" s="233">
        <v>354910.9209999996</v>
      </c>
    </row>
    <row r="299">
      <c r="A299" s="184">
        <v>43721.0</v>
      </c>
      <c r="B299" s="279">
        <v>0.2392985303173215</v>
      </c>
      <c r="C299" s="279">
        <v>0.04549756645743234</v>
      </c>
      <c r="D299" s="279">
        <v>0.26375903033798986</v>
      </c>
      <c r="E299" s="282">
        <v>-0.009778628614318153</v>
      </c>
      <c r="F299" s="233">
        <v>-6919.137000000221</v>
      </c>
      <c r="G299" s="233">
        <v>743.5549335936812</v>
      </c>
      <c r="H299" s="235">
        <v>122511.83983333362</v>
      </c>
      <c r="I299" s="235">
        <v>64599.8657490234</v>
      </c>
      <c r="J299" s="233">
        <v>347436.1089999996</v>
      </c>
    </row>
    <row r="300">
      <c r="A300" s="184">
        <v>43720.0</v>
      </c>
      <c r="B300" s="279">
        <v>0.2548624920732134</v>
      </c>
      <c r="C300" s="279">
        <v>0.0456170520166057</v>
      </c>
      <c r="D300" s="279">
        <v>0.2793872301784695</v>
      </c>
      <c r="E300" s="282">
        <v>-0.005320247360021537</v>
      </c>
      <c r="F300" s="233">
        <v>-3828.0149999998976</v>
      </c>
      <c r="G300" s="233">
        <v>342.23477734369953</v>
      </c>
      <c r="H300" s="235">
        <v>129430.97683333384</v>
      </c>
      <c r="I300" s="235">
        <v>63856.31081542972</v>
      </c>
      <c r="J300" s="233">
        <v>354355.2459999998</v>
      </c>
    </row>
    <row r="301">
      <c r="A301" s="184">
        <v>43719.0</v>
      </c>
      <c r="B301" s="279">
        <v>0.26383414099526803</v>
      </c>
      <c r="C301" s="279">
        <v>0.045739893852120656</v>
      </c>
      <c r="D301" s="279">
        <v>0.2884249215936532</v>
      </c>
      <c r="E301" s="282">
        <v>0.003026748938631964</v>
      </c>
      <c r="F301" s="233">
        <v>2189.3874999999534</v>
      </c>
      <c r="G301" s="233">
        <v>377.35740039073426</v>
      </c>
      <c r="H301" s="235">
        <v>133258.99183333374</v>
      </c>
      <c r="I301" s="235">
        <v>63514.07603808602</v>
      </c>
      <c r="J301" s="233">
        <v>358183.2609999997</v>
      </c>
    </row>
    <row r="302">
      <c r="A302" s="184">
        <v>43718.0</v>
      </c>
      <c r="B302" s="279">
        <v>0.2598037853059237</v>
      </c>
      <c r="C302" s="279">
        <v>0.04586494210796947</v>
      </c>
      <c r="D302" s="279">
        <v>0.2844617946179069</v>
      </c>
      <c r="E302" s="282">
        <v>-0.004637014033127551</v>
      </c>
      <c r="F302" s="233">
        <v>-3344.014499999932</v>
      </c>
      <c r="G302" s="233">
        <v>347.9440859374299</v>
      </c>
      <c r="H302" s="235">
        <v>131069.60433333379</v>
      </c>
      <c r="I302" s="235">
        <v>63136.71863769529</v>
      </c>
      <c r="J302" s="233">
        <v>356393.87349999975</v>
      </c>
    </row>
    <row r="303">
      <c r="A303" s="184">
        <v>43717.0</v>
      </c>
      <c r="B303" s="279">
        <v>0.26778971124144596</v>
      </c>
      <c r="C303" s="279">
        <v>0.04599003271420753</v>
      </c>
      <c r="D303" s="279">
        <v>0.292514972035535</v>
      </c>
      <c r="E303" s="282">
        <v>-0.005139503772577939</v>
      </c>
      <c r="F303" s="233">
        <v>-3723.5749999999534</v>
      </c>
      <c r="G303" s="233">
        <v>356.91529687504226</v>
      </c>
      <c r="H303" s="235">
        <v>134413.61883333372</v>
      </c>
      <c r="I303" s="235">
        <v>62788.77455175786</v>
      </c>
      <c r="J303" s="233">
        <v>359737.8879999997</v>
      </c>
    </row>
    <row r="304">
      <c r="A304" s="184">
        <v>43714.0</v>
      </c>
      <c r="B304" s="279">
        <v>0.27704795625700696</v>
      </c>
      <c r="C304" s="279">
        <v>0.0461825470569042</v>
      </c>
      <c r="D304" s="279">
        <v>0.3018767170281314</v>
      </c>
      <c r="E304" s="282">
        <v>0.002476807789831265</v>
      </c>
      <c r="F304" s="233">
        <v>1803.6720000000205</v>
      </c>
      <c r="G304" s="233">
        <v>666.5376562499878</v>
      </c>
      <c r="H304" s="235">
        <v>138137.19383333367</v>
      </c>
      <c r="I304" s="235">
        <v>62431.85925488282</v>
      </c>
      <c r="J304" s="233">
        <v>363461.5629999996</v>
      </c>
    </row>
    <row r="305">
      <c r="A305" s="184">
        <v>43713.0</v>
      </c>
      <c r="B305" s="279">
        <v>0.2738727958996158</v>
      </c>
      <c r="C305" s="279">
        <v>0.046312158897287424</v>
      </c>
      <c r="D305" s="279">
        <v>0.2987712388685197</v>
      </c>
      <c r="E305" s="282">
        <v>-0.005738150217313283</v>
      </c>
      <c r="F305" s="233">
        <v>-4187.198000000091</v>
      </c>
      <c r="G305" s="233">
        <v>365.36322656248376</v>
      </c>
      <c r="H305" s="235">
        <v>136333.52183333365</v>
      </c>
      <c r="I305" s="235">
        <v>61765.32159863283</v>
      </c>
      <c r="J305" s="233">
        <v>361657.7909999996</v>
      </c>
    </row>
    <row r="306">
      <c r="A306" s="184">
        <v>43712.0</v>
      </c>
      <c r="B306" s="279">
        <v>0.28384151059026747</v>
      </c>
      <c r="C306" s="279">
        <v>0.046441840488790895</v>
      </c>
      <c r="D306" s="279">
        <v>0.30880967325669895</v>
      </c>
      <c r="E306" s="282">
        <v>-0.0042666653922561635</v>
      </c>
      <c r="F306" s="233">
        <v>-3131.30299999984</v>
      </c>
      <c r="G306" s="233">
        <v>369.4322382811806</v>
      </c>
      <c r="H306" s="235">
        <v>140520.71983333374</v>
      </c>
      <c r="I306" s="235">
        <v>61399.958372070345</v>
      </c>
      <c r="J306" s="233">
        <v>365944.9889999997</v>
      </c>
    </row>
    <row r="307">
      <c r="A307" s="184">
        <v>43711.0</v>
      </c>
      <c r="B307" s="279">
        <v>0.2915503775704636</v>
      </c>
      <c r="C307" s="279">
        <v>0.046574028074238404</v>
      </c>
      <c r="D307" s="279">
        <v>0.3165896072123034</v>
      </c>
      <c r="E307" s="282">
        <v>0.004203595801685816</v>
      </c>
      <c r="F307" s="233">
        <v>3098.1789999999164</v>
      </c>
      <c r="G307" s="233">
        <v>430.3804648438818</v>
      </c>
      <c r="H307" s="235">
        <v>143652.02283333358</v>
      </c>
      <c r="I307" s="235">
        <v>61030.526133789164</v>
      </c>
      <c r="J307" s="233">
        <v>369076.29199999955</v>
      </c>
    </row>
    <row r="308">
      <c r="A308" s="184">
        <v>43710.0</v>
      </c>
      <c r="B308" s="279">
        <v>0.28554322152473083</v>
      </c>
      <c r="C308" s="279">
        <v>0.04670829384127754</v>
      </c>
      <c r="D308" s="279">
        <v>0.3106546354184583</v>
      </c>
      <c r="E308" s="282">
        <v>0.0010123226666248482</v>
      </c>
      <c r="F308" s="233">
        <v>741.3590000000258</v>
      </c>
      <c r="G308" s="233">
        <v>395.3216757811606</v>
      </c>
      <c r="H308" s="235">
        <v>140553.84383333367</v>
      </c>
      <c r="I308" s="235">
        <v>60600.14566894528</v>
      </c>
      <c r="J308" s="233">
        <v>365978.11299999966</v>
      </c>
    </row>
    <row r="309">
      <c r="A309" s="184">
        <v>43707.0</v>
      </c>
      <c r="B309" s="279">
        <v>0.2840998190424395</v>
      </c>
      <c r="C309" s="279">
        <v>0.04690886746724364</v>
      </c>
      <c r="D309" s="279">
        <v>0.31034303975049593</v>
      </c>
      <c r="E309" s="282">
        <v>0.005839853696739906</v>
      </c>
      <c r="F309" s="233">
        <v>4260.748000000021</v>
      </c>
      <c r="G309" s="233">
        <v>399.2649570312642</v>
      </c>
      <c r="H309" s="235">
        <v>139812.48483333364</v>
      </c>
      <c r="I309" s="235">
        <v>60204.82399316412</v>
      </c>
      <c r="J309" s="233">
        <v>365236.7539999996</v>
      </c>
    </row>
    <row r="310">
      <c r="A310" s="184">
        <v>43706.0</v>
      </c>
      <c r="B310" s="279">
        <v>0.2754303391583667</v>
      </c>
      <c r="C310" s="279">
        <v>0.04704348190437181</v>
      </c>
      <c r="D310" s="279">
        <v>0.3017488700705441</v>
      </c>
      <c r="E310" s="282">
        <v>0.0023340563676931703</v>
      </c>
      <c r="F310" s="233">
        <v>1692.9790000000503</v>
      </c>
      <c r="G310" s="233">
        <v>385.00080859372974</v>
      </c>
      <c r="H310" s="235">
        <v>135551.73683333362</v>
      </c>
      <c r="I310" s="235">
        <v>59805.55903613286</v>
      </c>
      <c r="J310" s="233">
        <v>360976.0059999996</v>
      </c>
    </row>
    <row r="311">
      <c r="A311" s="184">
        <v>43705.0</v>
      </c>
      <c r="B311" s="279">
        <v>0.27243370435872616</v>
      </c>
      <c r="C311" s="279">
        <v>0.04717718082658843</v>
      </c>
      <c r="D311" s="279">
        <v>0.2988270332891378</v>
      </c>
      <c r="E311" s="282">
        <v>0.0046004400446406</v>
      </c>
      <c r="F311" s="233">
        <v>3329.0839999999152</v>
      </c>
      <c r="G311" s="233">
        <v>388.8933476562961</v>
      </c>
      <c r="H311" s="235">
        <v>133858.75783333357</v>
      </c>
      <c r="I311" s="235">
        <v>59420.55822753913</v>
      </c>
      <c r="J311" s="233">
        <v>359283.02699999954</v>
      </c>
    </row>
    <row r="312">
      <c r="A312" s="184">
        <v>43704.0</v>
      </c>
      <c r="B312" s="279">
        <v>0.2657535388405501</v>
      </c>
      <c r="C312" s="279">
        <v>0.0473110028786815</v>
      </c>
      <c r="D312" s="279">
        <v>0.29222173467434914</v>
      </c>
      <c r="E312" s="282">
        <v>0.006609219590225033</v>
      </c>
      <c r="F312" s="233">
        <v>4760.724000000046</v>
      </c>
      <c r="G312" s="233">
        <v>367.90328515624424</v>
      </c>
      <c r="H312" s="235">
        <v>130529.67383333365</v>
      </c>
      <c r="I312" s="235">
        <v>59031.66487988283</v>
      </c>
      <c r="J312" s="233">
        <v>355953.9429999996</v>
      </c>
    </row>
    <row r="313">
      <c r="A313" s="184">
        <v>43703.0</v>
      </c>
      <c r="B313" s="279">
        <v>0.2558140449303893</v>
      </c>
      <c r="C313" s="279">
        <v>0.047444262300758606</v>
      </c>
      <c r="D313" s="279">
        <v>0.282356792903556</v>
      </c>
      <c r="E313" s="282">
        <v>0.005405845322305642</v>
      </c>
      <c r="F313" s="233">
        <v>3868.1790000000037</v>
      </c>
      <c r="G313" s="233">
        <v>512.7585976562914</v>
      </c>
      <c r="H313" s="235">
        <v>125768.94983333361</v>
      </c>
      <c r="I313" s="235">
        <v>58663.76159472659</v>
      </c>
      <c r="J313" s="233">
        <v>351193.2189999996</v>
      </c>
    </row>
    <row r="314">
      <c r="A314" s="184">
        <v>43700.0</v>
      </c>
      <c r="B314" s="279">
        <v>0.24817258605142029</v>
      </c>
      <c r="C314" s="279">
        <v>0.04764445488253073</v>
      </c>
      <c r="D314" s="279">
        <v>0.27482733199834386</v>
      </c>
      <c r="E314" s="282">
        <v>-0.005495285993900272</v>
      </c>
      <c r="F314" s="233">
        <v>-3916.703000000096</v>
      </c>
      <c r="G314" s="233">
        <v>292.1078867186661</v>
      </c>
      <c r="H314" s="235">
        <v>121900.7708333336</v>
      </c>
      <c r="I314" s="235">
        <v>58151.002997070296</v>
      </c>
      <c r="J314" s="233">
        <v>347325.0399999996</v>
      </c>
    </row>
    <row r="315">
      <c r="A315" s="184">
        <v>43699.0</v>
      </c>
      <c r="B315" s="279">
        <v>0.2577121202774639</v>
      </c>
      <c r="C315" s="279">
        <v>0.047775941295045775</v>
      </c>
      <c r="D315" s="279">
        <v>0.28444042645148426</v>
      </c>
      <c r="E315" s="282">
        <v>-0.003041818966744238</v>
      </c>
      <c r="F315" s="233">
        <v>-2179.935999999987</v>
      </c>
      <c r="G315" s="233">
        <v>316.89430078132864</v>
      </c>
      <c r="H315" s="235">
        <v>125817.4738333337</v>
      </c>
      <c r="I315" s="235">
        <v>57858.89511035163</v>
      </c>
      <c r="J315" s="233">
        <v>351241.74299999967</v>
      </c>
    </row>
    <row r="316">
      <c r="A316" s="184">
        <v>43698.0</v>
      </c>
      <c r="B316" s="279">
        <v>0.26337667347601124</v>
      </c>
      <c r="C316" s="279">
        <v>0.047909876653056634</v>
      </c>
      <c r="D316" s="279">
        <v>0.2901799099425471</v>
      </c>
      <c r="E316" s="282">
        <v>9.595493735184957E-4</v>
      </c>
      <c r="F316" s="233">
        <v>689.7580000000307</v>
      </c>
      <c r="G316" s="233">
        <v>324.8943554687503</v>
      </c>
      <c r="H316" s="235">
        <v>127997.40983333369</v>
      </c>
      <c r="I316" s="235">
        <v>57542.0008095703</v>
      </c>
      <c r="J316" s="233">
        <v>353421.67899999965</v>
      </c>
    </row>
    <row r="317">
      <c r="A317" s="184">
        <v>43697.0</v>
      </c>
      <c r="B317" s="279">
        <v>0.2625543897320122</v>
      </c>
      <c r="C317" s="279">
        <v>0.04804555671199594</v>
      </c>
      <c r="D317" s="279">
        <v>0.2894335325660364</v>
      </c>
      <c r="E317" s="282">
        <v>9.43090115893988E-4</v>
      </c>
      <c r="F317" s="233">
        <v>677.2759999999544</v>
      </c>
      <c r="G317" s="233">
        <v>403.5480937499451</v>
      </c>
      <c r="H317" s="235">
        <v>127307.65183333366</v>
      </c>
      <c r="I317" s="235">
        <v>57217.10645410155</v>
      </c>
      <c r="J317" s="233">
        <v>352731.9209999996</v>
      </c>
    </row>
    <row r="318">
      <c r="A318" s="184">
        <v>43696.0</v>
      </c>
      <c r="B318" s="279">
        <v>0.26175462524158444</v>
      </c>
      <c r="C318" s="279">
        <v>0.048181773943971995</v>
      </c>
      <c r="D318" s="279">
        <v>0.2887099749651798</v>
      </c>
      <c r="E318" s="282">
        <v>3.4246278831201975E-4</v>
      </c>
      <c r="F318" s="233">
        <v>246.25600000005215</v>
      </c>
      <c r="G318" s="233">
        <v>305.4306640624927</v>
      </c>
      <c r="H318" s="235">
        <v>126630.3758333337</v>
      </c>
      <c r="I318" s="235">
        <v>56813.558360351606</v>
      </c>
      <c r="J318" s="233">
        <v>352054.64499999967</v>
      </c>
    </row>
    <row r="319">
      <c r="A319" s="184">
        <v>43693.0</v>
      </c>
      <c r="B319" s="279">
        <v>0.26231144784468585</v>
      </c>
      <c r="C319" s="279">
        <v>0.04838805932812517</v>
      </c>
      <c r="D319" s="279">
        <v>0.28938220416744836</v>
      </c>
      <c r="E319" s="282">
        <v>0.002930666995621458</v>
      </c>
      <c r="F319" s="233">
        <v>2106.643999999971</v>
      </c>
      <c r="G319" s="233">
        <v>533.3460351562098</v>
      </c>
      <c r="H319" s="235">
        <v>126384.11983333365</v>
      </c>
      <c r="I319" s="235">
        <v>56508.12769628911</v>
      </c>
      <c r="J319" s="233">
        <v>351808.3889999996</v>
      </c>
    </row>
    <row r="320">
      <c r="A320" s="184">
        <v>43692.0</v>
      </c>
      <c r="B320" s="279">
        <v>0.25822084236701853</v>
      </c>
      <c r="C320" s="279">
        <v>0.048525804618860434</v>
      </c>
      <c r="D320" s="279">
        <v>0.28536866045361037</v>
      </c>
      <c r="E320" s="282">
        <v>0.00453363333706794</v>
      </c>
      <c r="F320" s="233">
        <v>3259.625</v>
      </c>
      <c r="G320" s="233">
        <v>2497.0486542968356</v>
      </c>
      <c r="H320" s="235">
        <v>124277.47583333368</v>
      </c>
      <c r="I320" s="235">
        <v>55974.7816611329</v>
      </c>
      <c r="J320" s="233">
        <v>349701.74499999965</v>
      </c>
    </row>
    <row r="321">
      <c r="A321" s="184">
        <v>43691.0</v>
      </c>
      <c r="B321" s="279">
        <v>0.251405385956295</v>
      </c>
      <c r="C321" s="279">
        <v>0.04866347807321513</v>
      </c>
      <c r="D321" s="279">
        <v>0.27867222753232296</v>
      </c>
      <c r="E321" s="282">
        <v>0.006538044782980005</v>
      </c>
      <c r="F321" s="233">
        <v>4768.623000000021</v>
      </c>
      <c r="G321" s="233">
        <v>1372.595343749963</v>
      </c>
      <c r="H321" s="235">
        <v>121017.85083333368</v>
      </c>
      <c r="I321" s="235">
        <v>53477.73300683607</v>
      </c>
      <c r="J321" s="233">
        <v>346442.11999999965</v>
      </c>
    </row>
    <row r="322">
      <c r="A322" s="184">
        <v>43690.0</v>
      </c>
      <c r="B322" s="279">
        <v>0.24107573330208473</v>
      </c>
      <c r="C322" s="279">
        <v>0.048800563496449297</v>
      </c>
      <c r="D322" s="279">
        <v>0.26844543383767194</v>
      </c>
      <c r="E322" s="282">
        <v>0.006939630517009055</v>
      </c>
      <c r="F322" s="233">
        <v>5073.175999999861</v>
      </c>
      <c r="G322" s="233">
        <v>303.90673828135186</v>
      </c>
      <c r="H322" s="235">
        <v>116249.22783333366</v>
      </c>
      <c r="I322" s="235">
        <v>52105.137663086105</v>
      </c>
      <c r="J322" s="233">
        <v>341673.4969999996</v>
      </c>
    </row>
    <row r="323">
      <c r="A323" s="184">
        <v>43689.0</v>
      </c>
      <c r="B323" s="279">
        <v>0.2299989447492889</v>
      </c>
      <c r="C323" s="279">
        <v>0.04893637490772435</v>
      </c>
      <c r="D323" s="279">
        <v>0.2574448148491104</v>
      </c>
      <c r="E323" s="282">
        <v>-2.273947795443127E-5</v>
      </c>
      <c r="F323" s="233">
        <v>-16.508199999982025</v>
      </c>
      <c r="G323" s="233">
        <v>252.73865156244574</v>
      </c>
      <c r="H323" s="235">
        <v>111176.0518333338</v>
      </c>
      <c r="I323" s="235">
        <v>51801.23092480475</v>
      </c>
      <c r="J323" s="233">
        <v>336600.32099999976</v>
      </c>
    </row>
    <row r="324">
      <c r="A324" s="184">
        <v>43686.0</v>
      </c>
      <c r="B324" s="279">
        <v>0.23100239822853894</v>
      </c>
      <c r="C324" s="279">
        <v>0.049141709872011864</v>
      </c>
      <c r="D324" s="279">
        <v>0.2585634300412461</v>
      </c>
      <c r="E324" s="282">
        <v>0.005627239225808386</v>
      </c>
      <c r="F324" s="233">
        <v>4085.3049999997893</v>
      </c>
      <c r="G324" s="235">
        <v>309.5959187500048</v>
      </c>
      <c r="H324" s="235">
        <v>111192.56003333378</v>
      </c>
      <c r="I324" s="235">
        <v>51548.49227324231</v>
      </c>
      <c r="J324" s="233">
        <v>336616.82919999975</v>
      </c>
    </row>
    <row r="325">
      <c r="A325" s="184">
        <v>43685.0</v>
      </c>
      <c r="B325" s="279">
        <v>0.2221130004384178</v>
      </c>
      <c r="C325" s="279">
        <v>0.04927713813184793</v>
      </c>
      <c r="D325" s="279">
        <v>0.24974998692562458</v>
      </c>
      <c r="E325" s="282">
        <v>-5.339031169126599E-4</v>
      </c>
      <c r="F325" s="233">
        <v>-385.425800000201</v>
      </c>
      <c r="G325" s="233">
        <v>572.1963544923055</v>
      </c>
      <c r="H325" s="235">
        <v>107107.25503333399</v>
      </c>
      <c r="I325" s="235">
        <v>51238.8963544923</v>
      </c>
      <c r="J325" s="233">
        <v>332531.5242</v>
      </c>
    </row>
    <row r="326">
      <c r="A326" s="184">
        <v>43684.0</v>
      </c>
      <c r="B326" s="283">
        <v>0.22361995441938803</v>
      </c>
      <c r="C326" s="283">
        <v>0.04941153343216494</v>
      </c>
      <c r="D326" s="283">
        <v>0.2513323162477696</v>
      </c>
      <c r="E326" s="282">
        <v>0.00723904201529853</v>
      </c>
      <c r="F326" s="284">
        <v>5228.67</v>
      </c>
      <c r="G326" s="284">
        <v>1984.53</v>
      </c>
      <c r="H326" s="235">
        <v>107492.68083333419</v>
      </c>
      <c r="I326" s="285">
        <v>50666.7</v>
      </c>
      <c r="J326" s="233">
        <v>332916.9500000002</v>
      </c>
    </row>
    <row r="327">
      <c r="A327" s="184">
        <v>43683.0</v>
      </c>
      <c r="B327" s="279">
        <v>0.2119214947634111</v>
      </c>
      <c r="C327" s="279">
        <v>0.04954690026839012</v>
      </c>
      <c r="D327" s="279">
        <v>0.23976203660761855</v>
      </c>
      <c r="E327" s="282">
        <v>0.0022129536946411976</v>
      </c>
      <c r="F327" s="233">
        <v>1616.7930000000633</v>
      </c>
      <c r="G327" s="233">
        <v>273.6976757812663</v>
      </c>
      <c r="H327" s="235">
        <v>102264.01083333419</v>
      </c>
      <c r="I327" s="235">
        <v>48682.170926367304</v>
      </c>
      <c r="J327" s="233">
        <v>327688.2800000002</v>
      </c>
    </row>
    <row r="328">
      <c r="A328" s="184">
        <v>43682.0</v>
      </c>
      <c r="B328" s="279">
        <v>0.2086928514826409</v>
      </c>
      <c r="C328" s="279">
        <v>0.04968068614208998</v>
      </c>
      <c r="D328" s="279">
        <v>0.23660856798348137</v>
      </c>
      <c r="E328" s="282">
        <v>-0.005194330632642836</v>
      </c>
      <c r="F328" s="233">
        <v>-3786.600999999908</v>
      </c>
      <c r="G328" s="233">
        <v>1738.5018923828102</v>
      </c>
      <c r="H328" s="235">
        <v>100647.21783333413</v>
      </c>
      <c r="I328" s="235">
        <v>48408.47325058604</v>
      </c>
      <c r="J328" s="233">
        <v>326071.48700000014</v>
      </c>
    </row>
    <row r="329">
      <c r="A329" s="184">
        <v>43679.0</v>
      </c>
      <c r="B329" s="279">
        <v>0.21847536949212223</v>
      </c>
      <c r="C329" s="279">
        <v>0.04988692023282802</v>
      </c>
      <c r="D329" s="279">
        <v>0.2465295371219056</v>
      </c>
      <c r="E329" s="282">
        <v>-0.0064348804850279774</v>
      </c>
      <c r="F329" s="233">
        <v>-4786.959000000032</v>
      </c>
      <c r="G329" s="233">
        <v>2485.055761914089</v>
      </c>
      <c r="H329" s="235">
        <v>104433.81883333404</v>
      </c>
      <c r="I329" s="235">
        <v>46669.97135820323</v>
      </c>
      <c r="J329" s="233">
        <v>330258.08800000005</v>
      </c>
    </row>
    <row r="330">
      <c r="A330" s="184">
        <v>43678.0</v>
      </c>
      <c r="B330" s="279">
        <v>0.23039164937876724</v>
      </c>
      <c r="C330" s="279">
        <v>0.050023718031139856</v>
      </c>
      <c r="D330" s="279">
        <v>0.25853678287619314</v>
      </c>
      <c r="E330" s="282">
        <v>0.009279007234070453</v>
      </c>
      <c r="F330" s="233">
        <v>6984.116000000067</v>
      </c>
      <c r="G330" s="235">
        <v>404.13890624997293</v>
      </c>
      <c r="H330" s="235">
        <v>109220.77783333407</v>
      </c>
      <c r="I330" s="235">
        <v>44184.91559628914</v>
      </c>
      <c r="J330" s="233">
        <v>335045.0470000001</v>
      </c>
    </row>
    <row r="331">
      <c r="A331" s="184">
        <v>43677.0</v>
      </c>
      <c r="B331" s="279">
        <v>0.21423734704732167</v>
      </c>
      <c r="C331" s="279">
        <v>0.05016355753329435</v>
      </c>
      <c r="D331" s="279">
        <v>0.24268117933176242</v>
      </c>
      <c r="E331" s="282">
        <v>0.004628360058306877</v>
      </c>
      <c r="F331" s="233">
        <v>3439.055000000051</v>
      </c>
      <c r="G331" s="235">
        <v>337.1064453125364</v>
      </c>
      <c r="H331" s="235">
        <v>102236.661833334</v>
      </c>
      <c r="I331" s="235">
        <v>43780.776690039165</v>
      </c>
      <c r="J331" s="233">
        <v>328060.931</v>
      </c>
    </row>
    <row r="332">
      <c r="A332" s="184">
        <v>43676.0</v>
      </c>
      <c r="B332" s="279">
        <v>0.20556704335344403</v>
      </c>
      <c r="C332" s="279">
        <v>0.05030097820242132</v>
      </c>
      <c r="D332" s="279">
        <v>0.23516027707402642</v>
      </c>
      <c r="E332" s="282">
        <v>-9.974383741597145E-4</v>
      </c>
      <c r="F332" s="233">
        <v>-737.2570000000997</v>
      </c>
      <c r="G332" s="235">
        <v>316.99673828123923</v>
      </c>
      <c r="H332" s="235">
        <v>98797.60683333395</v>
      </c>
      <c r="I332" s="235">
        <v>43443.67024472663</v>
      </c>
      <c r="J332" s="233">
        <v>324621.87599999993</v>
      </c>
    </row>
    <row r="333">
      <c r="A333" s="184">
        <v>43675.0</v>
      </c>
      <c r="B333" s="279">
        <v>0.20788497870673264</v>
      </c>
      <c r="C333" s="279">
        <v>0.05043759893519599</v>
      </c>
      <c r="D333" s="279">
        <v>0.23755858957743342</v>
      </c>
      <c r="E333" s="282">
        <v>-0.0017365514091854974</v>
      </c>
      <c r="F333" s="233">
        <v>-1284.85299999977</v>
      </c>
      <c r="G333" s="235">
        <v>295.61139062503935</v>
      </c>
      <c r="H333" s="235">
        <v>99534.86383333405</v>
      </c>
      <c r="I333" s="235">
        <v>43126.67350644539</v>
      </c>
      <c r="J333" s="233">
        <v>325359.13300000003</v>
      </c>
    </row>
    <row r="334">
      <c r="A334" s="184">
        <v>43672.0</v>
      </c>
      <c r="B334" s="279">
        <v>0.21183678682478002</v>
      </c>
      <c r="C334" s="279">
        <v>0.05064926218365119</v>
      </c>
      <c r="D334" s="279">
        <v>0.24163492410044227</v>
      </c>
      <c r="E334" s="282">
        <v>0.004761212571470798</v>
      </c>
      <c r="F334" s="233">
        <v>3528.879999999772</v>
      </c>
      <c r="G334" s="235">
        <v>320.1767265625531</v>
      </c>
      <c r="H334" s="235">
        <v>100819.71683333382</v>
      </c>
      <c r="I334" s="235">
        <v>42831.06211582035</v>
      </c>
      <c r="J334" s="233">
        <v>326643.9859999998</v>
      </c>
    </row>
    <row r="335">
      <c r="A335" s="184">
        <v>43671.0</v>
      </c>
      <c r="B335" s="279">
        <v>0.20393911938895273</v>
      </c>
      <c r="C335" s="279">
        <v>0.050788726344115596</v>
      </c>
      <c r="D335" s="279">
        <v>0.23381930666928208</v>
      </c>
      <c r="E335" s="282">
        <v>-0.0032377462720316976</v>
      </c>
      <c r="F335" s="233">
        <v>-2388.3029999999562</v>
      </c>
      <c r="G335" s="235">
        <v>284.7817812499925</v>
      </c>
      <c r="H335" s="235">
        <v>97290.83683333405</v>
      </c>
      <c r="I335" s="235">
        <v>42510.8853892578</v>
      </c>
      <c r="J335" s="233">
        <v>323115.106</v>
      </c>
    </row>
    <row r="336">
      <c r="A336" s="184">
        <v>43670.0</v>
      </c>
      <c r="B336" s="279">
        <v>0.2102511653281029</v>
      </c>
      <c r="C336" s="279">
        <v>0.05092733305930183</v>
      </c>
      <c r="D336" s="279">
        <v>0.24021289815812794</v>
      </c>
      <c r="E336" s="282">
        <v>0.003599732369126286</v>
      </c>
      <c r="F336" s="233">
        <v>2663.917000000016</v>
      </c>
      <c r="G336" s="235">
        <v>328.4107343749565</v>
      </c>
      <c r="H336" s="235">
        <v>99679.139833334</v>
      </c>
      <c r="I336" s="235">
        <v>42226.103608007805</v>
      </c>
      <c r="J336" s="233">
        <v>325503.409</v>
      </c>
    </row>
    <row r="337">
      <c r="A337" s="184">
        <v>43669.0</v>
      </c>
      <c r="B337" s="279">
        <v>0.20439415617425769</v>
      </c>
      <c r="C337" s="279">
        <v>0.05106791406448696</v>
      </c>
      <c r="D337" s="279">
        <v>0.23443859607463782</v>
      </c>
      <c r="E337" s="282">
        <v>0.0038078175848404454</v>
      </c>
      <c r="F337" s="233">
        <v>2807.763000000152</v>
      </c>
      <c r="G337" s="235">
        <v>335.8918515625046</v>
      </c>
      <c r="H337" s="235">
        <v>97015.22283333399</v>
      </c>
      <c r="I337" s="235">
        <v>41897.69287363285</v>
      </c>
      <c r="J337" s="233">
        <v>322839.49199999997</v>
      </c>
    </row>
    <row r="338">
      <c r="A338" s="184">
        <v>43668.0</v>
      </c>
      <c r="B338" s="279">
        <v>0.19814607496531272</v>
      </c>
      <c r="C338" s="279">
        <v>0.051208046328510025</v>
      </c>
      <c r="D338" s="279">
        <v>0.22827828884911652</v>
      </c>
      <c r="E338" s="282">
        <v>1.5952658392858436E-4</v>
      </c>
      <c r="F338" s="233">
        <v>117.02099999994971</v>
      </c>
      <c r="G338" s="235">
        <v>293.70890859374776</v>
      </c>
      <c r="H338" s="235">
        <v>94207.45983333384</v>
      </c>
      <c r="I338" s="235">
        <v>41561.80102207034</v>
      </c>
      <c r="J338" s="233">
        <v>320031.7289999998</v>
      </c>
    </row>
    <row r="339">
      <c r="A339" s="184">
        <v>43665.0</v>
      </c>
      <c r="B339" s="279">
        <v>0.1986932492880574</v>
      </c>
      <c r="C339" s="279">
        <v>0.05142304521117401</v>
      </c>
      <c r="D339" s="279">
        <v>0.2289519743899547</v>
      </c>
      <c r="E339" s="282">
        <v>0.00452325749692081</v>
      </c>
      <c r="F339" s="233">
        <v>3317.5139999997336</v>
      </c>
      <c r="G339" s="235">
        <v>425.8114257812704</v>
      </c>
      <c r="H339" s="235">
        <v>94090.43883333389</v>
      </c>
      <c r="I339" s="235">
        <v>41268.092113476596</v>
      </c>
      <c r="J339" s="233">
        <v>319914.70799999987</v>
      </c>
    </row>
    <row r="340">
      <c r="A340" s="184">
        <v>43664.0</v>
      </c>
      <c r="B340" s="279">
        <v>0.1911419874363531</v>
      </c>
      <c r="C340" s="279">
        <v>0.05156367582231245</v>
      </c>
      <c r="D340" s="279">
        <v>0.22148346343302677</v>
      </c>
      <c r="E340" s="282">
        <v>-0.0023903800611564715</v>
      </c>
      <c r="F340" s="233">
        <v>-1748.169999999809</v>
      </c>
      <c r="G340" s="235">
        <v>261.5560781249296</v>
      </c>
      <c r="H340" s="235">
        <v>90772.92483333415</v>
      </c>
      <c r="I340" s="235">
        <v>40842.280687695325</v>
      </c>
      <c r="J340" s="233">
        <v>316597.19400000013</v>
      </c>
    </row>
    <row r="341">
      <c r="A341" s="184">
        <v>43663.0</v>
      </c>
      <c r="B341" s="279">
        <v>0.19593188835587694</v>
      </c>
      <c r="C341" s="279">
        <v>0.051703503063504734</v>
      </c>
      <c r="D341" s="279">
        <v>0.22636112288258223</v>
      </c>
      <c r="E341" s="282">
        <v>0.0017196657798106058</v>
      </c>
      <c r="F341" s="233">
        <v>1258.6138999999966</v>
      </c>
      <c r="G341" s="235">
        <v>301.8291753905796</v>
      </c>
      <c r="H341" s="235">
        <v>92521.09483333396</v>
      </c>
      <c r="I341" s="235">
        <v>40580.724609570396</v>
      </c>
      <c r="J341" s="233">
        <v>318345.36399999994</v>
      </c>
    </row>
    <row r="342">
      <c r="A342" s="184">
        <v>43662.0</v>
      </c>
      <c r="B342" s="279">
        <v>0.19337394585757242</v>
      </c>
      <c r="C342" s="279">
        <v>0.05184502427463293</v>
      </c>
      <c r="D342" s="279">
        <v>0.22389297154113438</v>
      </c>
      <c r="E342" s="282">
        <v>8.00159497954028E-4</v>
      </c>
      <c r="F342" s="233">
        <v>581.998099999968</v>
      </c>
      <c r="G342" s="235">
        <v>278.6370750000133</v>
      </c>
      <c r="H342" s="235">
        <v>91262.48093333397</v>
      </c>
      <c r="I342" s="235">
        <v>40278.895434179816</v>
      </c>
      <c r="J342" s="233">
        <v>317086.75009999995</v>
      </c>
    </row>
    <row r="343">
      <c r="A343" s="184">
        <v>43661.0</v>
      </c>
      <c r="B343" s="279">
        <v>0.192470882288447</v>
      </c>
      <c r="C343" s="279">
        <v>0.051986758715109764</v>
      </c>
      <c r="D343" s="279">
        <v>0.22307334118647223</v>
      </c>
      <c r="E343" s="282">
        <v>0.0028328223013497837</v>
      </c>
      <c r="F343" s="233">
        <v>2058.811999999918</v>
      </c>
      <c r="G343" s="235">
        <v>275.5113906250699</v>
      </c>
      <c r="H343" s="235">
        <v>90680.482833334</v>
      </c>
      <c r="I343" s="235">
        <v>40000.2583591798</v>
      </c>
      <c r="J343" s="233">
        <v>316504.752</v>
      </c>
    </row>
    <row r="344">
      <c r="A344" s="184">
        <v>43658.0</v>
      </c>
      <c r="B344" s="279">
        <v>0.18819651054795575</v>
      </c>
      <c r="C344" s="279">
        <v>0.05220598661919539</v>
      </c>
      <c r="D344" s="279">
        <v>0.21892801986362379</v>
      </c>
      <c r="E344" s="282">
        <v>-0.002680728478070335</v>
      </c>
      <c r="F344" s="233">
        <v>-1949.4349999999395</v>
      </c>
      <c r="G344" s="235">
        <v>883.3359765624555</v>
      </c>
      <c r="H344" s="235">
        <v>88621.67083333408</v>
      </c>
      <c r="I344" s="235">
        <v>39724.74696855473</v>
      </c>
      <c r="J344" s="233">
        <v>314445.94000000006</v>
      </c>
    </row>
    <row r="345">
      <c r="A345" s="184">
        <v>43657.0</v>
      </c>
      <c r="B345" s="279">
        <v>0.19353864298564805</v>
      </c>
      <c r="C345" s="279">
        <v>0.0523483438541148</v>
      </c>
      <c r="D345" s="279">
        <v>0.22435395212915937</v>
      </c>
      <c r="E345" s="282">
        <v>-9.83811914625709E-4</v>
      </c>
      <c r="F345" s="233">
        <v>-721.1900000000605</v>
      </c>
      <c r="G345" s="235">
        <v>623.0845507812264</v>
      </c>
      <c r="H345" s="235">
        <v>90571.10583333402</v>
      </c>
      <c r="I345" s="235">
        <v>38841.41099199228</v>
      </c>
      <c r="J345" s="233">
        <v>316395.375</v>
      </c>
    </row>
    <row r="346">
      <c r="A346" s="184">
        <v>43656.0</v>
      </c>
      <c r="B346" s="279">
        <v>0.19559553972822613</v>
      </c>
      <c r="C346" s="279">
        <v>0.05276013213995488</v>
      </c>
      <c r="D346" s="279">
        <v>0.22676332383548872</v>
      </c>
      <c r="E346" s="282">
        <v>-7.317033817969184E-4</v>
      </c>
      <c r="F346" s="233">
        <v>-536.829000000027</v>
      </c>
      <c r="G346" s="235">
        <v>276.48509374995047</v>
      </c>
      <c r="H346" s="235">
        <v>91292.29583333408</v>
      </c>
      <c r="I346" s="235">
        <v>38218.32644121105</v>
      </c>
      <c r="J346" s="233">
        <v>317116.56500000006</v>
      </c>
    </row>
    <row r="347">
      <c r="A347" s="184">
        <v>43655.0</v>
      </c>
      <c r="B347" s="279">
        <v>0.19990566960145578</v>
      </c>
      <c r="C347" s="279">
        <v>0.05047519865075884</v>
      </c>
      <c r="D347" s="279">
        <v>0.22872869956351793</v>
      </c>
      <c r="E347" s="282">
        <v>-0.0014793906345909149</v>
      </c>
      <c r="F347" s="233">
        <v>-1087.622999999905</v>
      </c>
      <c r="G347" s="235">
        <v>289.0807617188111</v>
      </c>
      <c r="H347" s="235">
        <v>91829.1248333341</v>
      </c>
      <c r="I347" s="235">
        <v>37941.8413474611</v>
      </c>
      <c r="J347" s="233">
        <v>317653.3940000001</v>
      </c>
    </row>
    <row r="348">
      <c r="A348" s="184">
        <v>43654.0</v>
      </c>
      <c r="B348" s="279">
        <v>0.20317895122064572</v>
      </c>
      <c r="C348" s="279">
        <v>0.05061575707101108</v>
      </c>
      <c r="D348" s="279">
        <v>0.23208224475108694</v>
      </c>
      <c r="E348" s="282">
        <v>0.002168486318474699</v>
      </c>
      <c r="F348" s="233">
        <v>1596.5929999999935</v>
      </c>
      <c r="G348" s="235">
        <v>307.22545312500733</v>
      </c>
      <c r="H348" s="235">
        <v>92916.74783333401</v>
      </c>
      <c r="I348" s="235">
        <v>37652.76058574229</v>
      </c>
      <c r="J348" s="233">
        <v>318741.017</v>
      </c>
    </row>
    <row r="349">
      <c r="A349" s="184">
        <v>43651.0</v>
      </c>
      <c r="B349" s="279">
        <v>0.2000460600542281</v>
      </c>
      <c r="C349" s="279">
        <v>0.050833015468041025</v>
      </c>
      <c r="D349" s="279">
        <v>0.2290734154101696</v>
      </c>
      <c r="E349" s="282">
        <v>-0.004444069615627133</v>
      </c>
      <c r="F349" s="233">
        <v>-3264.94299999997</v>
      </c>
      <c r="G349" s="235">
        <v>421.6874765625471</v>
      </c>
      <c r="H349" s="235">
        <v>91320.15483333402</v>
      </c>
      <c r="I349" s="235">
        <v>37345.53513261728</v>
      </c>
      <c r="J349" s="233">
        <v>317144.424</v>
      </c>
    </row>
    <row r="350">
      <c r="A350" s="184">
        <v>43650.0</v>
      </c>
      <c r="B350" s="279">
        <v>0.2088189167076476</v>
      </c>
      <c r="C350" s="279">
        <v>0.05097529917204966</v>
      </c>
      <c r="D350" s="279">
        <v>0.23792752082681098</v>
      </c>
      <c r="E350" s="282">
        <v>0.0018705550185983378</v>
      </c>
      <c r="F350" s="233">
        <v>1383.9359999998705</v>
      </c>
      <c r="G350" s="235">
        <v>109.07911328123737</v>
      </c>
      <c r="H350" s="235">
        <v>94585.09783333399</v>
      </c>
      <c r="I350" s="235">
        <v>36923.847656054735</v>
      </c>
      <c r="J350" s="233">
        <v>320409.36699999997</v>
      </c>
    </row>
    <row r="351">
      <c r="A351" s="184">
        <v>43649.0</v>
      </c>
      <c r="B351" s="279">
        <v>0.20592090331795732</v>
      </c>
      <c r="C351" s="279">
        <v>0.0511200937952237</v>
      </c>
      <c r="D351" s="279">
        <v>0.23511219001933237</v>
      </c>
      <c r="E351" s="282">
        <v>0.009487237900520185</v>
      </c>
      <c r="F351" s="233">
        <v>7006.033000000098</v>
      </c>
      <c r="G351" s="235">
        <v>126.8485427734995</v>
      </c>
      <c r="H351" s="235">
        <v>93201.16183333412</v>
      </c>
      <c r="I351" s="235">
        <v>36814.7685427735</v>
      </c>
      <c r="J351" s="233">
        <v>319025.4310000001</v>
      </c>
    </row>
    <row r="352">
      <c r="A352" s="184">
        <v>43648.0</v>
      </c>
      <c r="B352" s="279">
        <v>0.1887811689461466</v>
      </c>
      <c r="C352" s="279">
        <v>0.05126508020508347</v>
      </c>
      <c r="D352" s="279">
        <v>0.21805524774635804</v>
      </c>
      <c r="E352" s="282">
        <v>0.0016862987127122292</v>
      </c>
      <c r="F352" s="235">
        <v>1233.4654000000592</v>
      </c>
      <c r="G352" s="235">
        <v>46.05999999999767</v>
      </c>
      <c r="H352" s="235">
        <v>86195.12883333402</v>
      </c>
      <c r="I352" s="235">
        <v>36687.92</v>
      </c>
      <c r="J352" s="233">
        <v>312519.398</v>
      </c>
    </row>
    <row r="353">
      <c r="A353" s="184">
        <v>43647.0</v>
      </c>
      <c r="B353" s="279">
        <v>0.18617706460852151</v>
      </c>
      <c r="C353" s="279">
        <v>0.05140764199427437</v>
      </c>
      <c r="D353" s="279">
        <v>0.21553255096791316</v>
      </c>
      <c r="E353" s="282">
        <v>0.0054990458223214515</v>
      </c>
      <c r="F353" s="233">
        <v>4015.5666000001074</v>
      </c>
      <c r="G353" s="235">
        <v>139.66560410161037</v>
      </c>
      <c r="H353" s="235">
        <v>84961.66343333396</v>
      </c>
      <c r="I353" s="235">
        <v>36641.86</v>
      </c>
      <c r="J353" s="233">
        <v>311285.93259999994</v>
      </c>
    </row>
    <row r="354">
      <c r="A354" s="184">
        <v>43644.0</v>
      </c>
      <c r="B354" s="279">
        <v>0.1754791237689862</v>
      </c>
      <c r="C354" s="279">
        <v>0.05162731685433145</v>
      </c>
      <c r="D354" s="279">
        <v>0.2062232588636593</v>
      </c>
      <c r="E354" s="282">
        <v>0.002469025492574756</v>
      </c>
      <c r="F354" s="233">
        <v>1791.8169999996899</v>
      </c>
      <c r="G354" s="235">
        <v>228.98830468747474</v>
      </c>
      <c r="H354" s="235">
        <v>80946.09683333385</v>
      </c>
      <c r="I354" s="235">
        <v>36502.19439589839</v>
      </c>
      <c r="J354" s="233">
        <v>307270.3659999998</v>
      </c>
    </row>
    <row r="355">
      <c r="A355" s="184">
        <v>43643.0</v>
      </c>
      <c r="B355" s="279">
        <v>0.17138378303065901</v>
      </c>
      <c r="C355" s="279">
        <v>0.051769167690244</v>
      </c>
      <c r="D355" s="279">
        <v>0.20221239048470135</v>
      </c>
      <c r="E355" s="282">
        <v>0.005020455876448123</v>
      </c>
      <c r="F355" s="233">
        <v>3634.4410000002244</v>
      </c>
      <c r="G355" s="235">
        <v>211.74766015623754</v>
      </c>
      <c r="H355" s="235">
        <v>79154.27983333416</v>
      </c>
      <c r="I355" s="235">
        <v>36273.206091210915</v>
      </c>
      <c r="J355" s="233">
        <v>305478.5490000001</v>
      </c>
    </row>
    <row r="356">
      <c r="A356" s="184">
        <v>43642.0</v>
      </c>
      <c r="B356" s="279">
        <v>0.1625429177824489</v>
      </c>
      <c r="C356" s="279">
        <v>0.05191093533842792</v>
      </c>
      <c r="D356" s="279">
        <v>0.1934559480574586</v>
      </c>
      <c r="E356" s="282">
        <v>-0.004133523346290391</v>
      </c>
      <c r="F356" s="233">
        <v>-2977.3439999999246</v>
      </c>
      <c r="G356" s="235">
        <v>230.16992187495634</v>
      </c>
      <c r="H356" s="235">
        <v>75519.83883333394</v>
      </c>
      <c r="I356" s="235">
        <v>36061.45843105468</v>
      </c>
      <c r="J356" s="233">
        <v>299844.1079999999</v>
      </c>
    </row>
    <row r="357">
      <c r="A357" s="184">
        <v>43641.0</v>
      </c>
      <c r="B357" s="279">
        <v>0.17980890146398676</v>
      </c>
      <c r="C357" s="279">
        <v>0.04286939958966371</v>
      </c>
      <c r="D357" s="279">
        <v>0.20162390069964023</v>
      </c>
      <c r="E357" s="282">
        <v>0.002863795247421918</v>
      </c>
      <c r="F357" s="233">
        <v>2081.53199999989</v>
      </c>
      <c r="G357" s="235">
        <v>395.2349140625083</v>
      </c>
      <c r="H357" s="235">
        <v>78497.18283333386</v>
      </c>
      <c r="I357" s="235">
        <v>35831.28850917972</v>
      </c>
      <c r="J357" s="233">
        <v>302821.4519999998</v>
      </c>
    </row>
    <row r="358">
      <c r="A358" s="184">
        <v>43640.0</v>
      </c>
      <c r="B358" s="279">
        <v>0.17493850859851848</v>
      </c>
      <c r="C358" s="279">
        <v>0.04298639443065921</v>
      </c>
      <c r="D358" s="279">
        <v>0.19681304312954165</v>
      </c>
      <c r="E358" s="282">
        <v>-0.003138166151337567</v>
      </c>
      <c r="F358" s="233">
        <v>-2277.8087499999674</v>
      </c>
      <c r="G358" s="235">
        <v>747.3893017578084</v>
      </c>
      <c r="H358" s="235">
        <v>76415.65083333397</v>
      </c>
      <c r="I358" s="235">
        <v>35436.05359511721</v>
      </c>
      <c r="J358" s="233">
        <v>300739.9199999999</v>
      </c>
    </row>
    <row r="359">
      <c r="A359" s="184">
        <v>43637.0</v>
      </c>
      <c r="B359" s="279">
        <v>0.18156815244237023</v>
      </c>
      <c r="C359" s="279">
        <v>0.043167800475439444</v>
      </c>
      <c r="D359" s="279">
        <v>0.20353499926995233</v>
      </c>
      <c r="E359" s="282">
        <v>-0.006874718632306387</v>
      </c>
      <c r="F359" s="233">
        <v>-4976.366000000038</v>
      </c>
      <c r="G359" s="235">
        <v>218.57705371092743</v>
      </c>
      <c r="H359" s="235">
        <v>78693.45958333394</v>
      </c>
      <c r="I359" s="235">
        <v>34688.664293359405</v>
      </c>
      <c r="J359" s="233">
        <v>303017.7287499999</v>
      </c>
    </row>
    <row r="360">
      <c r="A360" s="184">
        <v>43636.0</v>
      </c>
      <c r="B360" s="279">
        <v>0.19497381649576712</v>
      </c>
      <c r="C360" s="279">
        <v>0.04328649904144971</v>
      </c>
      <c r="D360" s="279">
        <v>0.2170010655951695</v>
      </c>
      <c r="E360" s="282">
        <v>0.005912131357189428</v>
      </c>
      <c r="F360" s="233">
        <v>4309.003999999957</v>
      </c>
      <c r="G360" s="235">
        <v>262.82312011717295</v>
      </c>
      <c r="H360" s="235">
        <v>83669.82558333398</v>
      </c>
      <c r="I360" s="235">
        <v>34470.08723964848</v>
      </c>
      <c r="J360" s="233">
        <v>307994.09474999993</v>
      </c>
    </row>
    <row r="361">
      <c r="A361" s="184">
        <v>43635.0</v>
      </c>
      <c r="B361" s="279">
        <v>0.18431458546821705</v>
      </c>
      <c r="C361" s="279">
        <v>0.0434081038397644</v>
      </c>
      <c r="D361" s="279">
        <v>0.20640371573711744</v>
      </c>
      <c r="E361" s="282">
        <v>-0.0053010992331086184</v>
      </c>
      <c r="F361" s="233">
        <v>-3840.8162500000326</v>
      </c>
      <c r="G361" s="235">
        <v>210.17479492190614</v>
      </c>
      <c r="H361" s="235">
        <v>79360.82158333402</v>
      </c>
      <c r="I361" s="235">
        <v>34207.264119531304</v>
      </c>
      <c r="J361" s="233">
        <v>303685.09075</v>
      </c>
    </row>
    <row r="362">
      <c r="A362" s="184">
        <v>43634.0</v>
      </c>
      <c r="B362" s="279">
        <v>0.1948429739532524</v>
      </c>
      <c r="C362" s="279">
        <v>0.043528538789798815</v>
      </c>
      <c r="D362" s="279">
        <v>0.21699339008965024</v>
      </c>
      <c r="E362" s="282">
        <v>0.009717672993822028</v>
      </c>
      <c r="F362" s="233">
        <v>7078.089249999961</v>
      </c>
      <c r="G362" s="235">
        <v>272.2773876952924</v>
      </c>
      <c r="H362" s="235">
        <v>83201.63783333405</v>
      </c>
      <c r="I362" s="235">
        <v>33997.0893246094</v>
      </c>
      <c r="J362" s="233">
        <v>307525.907</v>
      </c>
    </row>
    <row r="363">
      <c r="A363" s="184">
        <v>43633.0</v>
      </c>
      <c r="B363" s="279">
        <v>0.17688093084454753</v>
      </c>
      <c r="C363" s="279">
        <v>0.04365141583968449</v>
      </c>
      <c r="D363" s="279">
        <v>0.19909387556252087</v>
      </c>
      <c r="E363" s="282">
        <v>-4.84295762585271E-4</v>
      </c>
      <c r="F363" s="233">
        <v>-349.31999999983236</v>
      </c>
      <c r="G363" s="235">
        <v>214.3337691405759</v>
      </c>
      <c r="H363" s="235">
        <v>76123.5485833341</v>
      </c>
      <c r="I363" s="235">
        <v>33724.811936914106</v>
      </c>
      <c r="J363" s="233">
        <v>300447.81775000005</v>
      </c>
    </row>
    <row r="364">
      <c r="A364" s="184">
        <v>43630.0</v>
      </c>
      <c r="B364" s="279">
        <v>0.17855385576550684</v>
      </c>
      <c r="C364" s="279">
        <v>0.04383783908138204</v>
      </c>
      <c r="D364" s="279">
        <v>0.20086166588663643</v>
      </c>
      <c r="E364" s="282">
        <v>0.007794590489949465</v>
      </c>
      <c r="F364" s="233">
        <v>5624.9201499999035</v>
      </c>
      <c r="G364" s="235">
        <v>238.1198902343749</v>
      </c>
      <c r="H364" s="235">
        <v>76472.86858333393</v>
      </c>
      <c r="I364" s="235">
        <v>33510.47816777353</v>
      </c>
      <c r="J364" s="233">
        <v>300797.1377499999</v>
      </c>
    </row>
    <row r="365">
      <c r="A365" s="184">
        <v>43629.0</v>
      </c>
      <c r="B365" s="279">
        <v>0.1642337610687385</v>
      </c>
      <c r="C365" s="279">
        <v>0.043959405376588774</v>
      </c>
      <c r="D365" s="279">
        <v>0.18660343276624658</v>
      </c>
      <c r="E365" s="282">
        <v>0.001573343144520725</v>
      </c>
      <c r="F365" s="233">
        <v>1126.5438500000164</v>
      </c>
      <c r="G365" s="235">
        <v>214.66358769523504</v>
      </c>
      <c r="H365" s="235">
        <v>70847.94843333402</v>
      </c>
      <c r="I365" s="235">
        <v>33272.358277539155</v>
      </c>
      <c r="J365" s="233">
        <v>295172.2176</v>
      </c>
    </row>
    <row r="366">
      <c r="A366" s="184">
        <v>43628.0</v>
      </c>
      <c r="B366" s="279">
        <v>0.16170587501559044</v>
      </c>
      <c r="C366" s="279">
        <v>0.044079145399572896</v>
      </c>
      <c r="D366" s="279">
        <v>0.18413647895229196</v>
      </c>
      <c r="E366" s="282">
        <v>4.6770065671731175E-4</v>
      </c>
      <c r="F366" s="233">
        <v>334.3557499999879</v>
      </c>
      <c r="G366" s="235">
        <v>371.0246898439218</v>
      </c>
      <c r="H366" s="235">
        <v>69721.404583334</v>
      </c>
      <c r="I366" s="235">
        <v>33057.69468984392</v>
      </c>
      <c r="J366" s="233">
        <v>294045.67374999996</v>
      </c>
    </row>
    <row r="367">
      <c r="A367" s="184">
        <v>43627.0</v>
      </c>
      <c r="B367" s="174">
        <v>0.16126041322763854</v>
      </c>
      <c r="C367" s="174">
        <v>0.04419908026275259</v>
      </c>
      <c r="D367" s="174">
        <v>0.18375204855208135</v>
      </c>
      <c r="E367" s="282">
        <v>-0.004494804888681698</v>
      </c>
      <c r="F367" s="286">
        <v>-3211.8</v>
      </c>
      <c r="G367" s="235">
        <v>1156.8482505880966</v>
      </c>
      <c r="H367" s="235">
        <v>69387.04883333402</v>
      </c>
      <c r="I367" s="287">
        <v>32686.67</v>
      </c>
      <c r="J367" s="233">
        <v>293711.31799999997</v>
      </c>
    </row>
    <row r="368">
      <c r="A368" s="184">
        <v>43626.0</v>
      </c>
      <c r="B368" s="174">
        <v>0.1702287626358815</v>
      </c>
      <c r="C368" s="174">
        <v>0.04431957217475749</v>
      </c>
      <c r="D368" s="174">
        <v>0.19278171281412326</v>
      </c>
      <c r="E368" s="282">
        <v>0.0022393895745728043</v>
      </c>
      <c r="F368" s="286">
        <v>1574.6530000001658</v>
      </c>
      <c r="G368" s="235">
        <v>295.6568460784256</v>
      </c>
      <c r="H368" s="235">
        <v>72598.84883333402</v>
      </c>
      <c r="I368" s="287">
        <v>31529.8217494119</v>
      </c>
      <c r="J368" s="233">
        <v>296923.11799999996</v>
      </c>
    </row>
    <row r="369">
      <c r="A369" s="184">
        <v>43623.0</v>
      </c>
      <c r="B369" s="174">
        <v>0.16675934056153568</v>
      </c>
      <c r="C369" s="174">
        <v>0.044509603713058496</v>
      </c>
      <c r="D369" s="174">
        <v>0.18940899230085523</v>
      </c>
      <c r="E369" s="282">
        <v>0.002032565347897862</v>
      </c>
      <c r="F369" s="286">
        <v>1428.8839999999618</v>
      </c>
      <c r="G369" s="235">
        <v>289.0780225490489</v>
      </c>
      <c r="H369" s="235">
        <v>71024.19583333386</v>
      </c>
      <c r="I369" s="287">
        <v>31234.164903333476</v>
      </c>
      <c r="J369" s="233">
        <v>295348.4649999998</v>
      </c>
    </row>
    <row r="370">
      <c r="A370" s="184">
        <v>43622.0</v>
      </c>
      <c r="B370" s="174">
        <v>0.16339883294876015</v>
      </c>
      <c r="C370" s="174">
        <v>0.04463254177875474</v>
      </c>
      <c r="D370" s="174">
        <v>0.18611104431883885</v>
      </c>
      <c r="E370" s="282">
        <v>0.002462369958865518</v>
      </c>
      <c r="F370" s="286">
        <v>1730.255000000121</v>
      </c>
      <c r="G370" s="235">
        <v>336.1546774509734</v>
      </c>
      <c r="H370" s="235">
        <v>69595.3118333339</v>
      </c>
      <c r="I370" s="287">
        <v>30945.086880784427</v>
      </c>
      <c r="J370" s="233">
        <v>293919.58099999983</v>
      </c>
    </row>
    <row r="371">
      <c r="A371" s="184">
        <v>43621.0</v>
      </c>
      <c r="B371" s="174">
        <v>0.1592093772665653</v>
      </c>
      <c r="C371" s="174">
        <v>0.044755548722681664</v>
      </c>
      <c r="D371" s="174">
        <v>0.18198418331754532</v>
      </c>
      <c r="E371" s="282">
        <v>7.907185629264851E-4</v>
      </c>
      <c r="F371" s="286">
        <v>556.4552499998827</v>
      </c>
      <c r="G371" s="235">
        <v>196.4040696078082</v>
      </c>
      <c r="H371" s="235">
        <v>67865.05683333377</v>
      </c>
      <c r="I371" s="287">
        <v>30608.932203333454</v>
      </c>
      <c r="J371" s="233">
        <v>292189.3259999997</v>
      </c>
    </row>
    <row r="372">
      <c r="A372" s="184">
        <v>43620.0</v>
      </c>
      <c r="B372" s="174">
        <v>0.1581504062698564</v>
      </c>
      <c r="C372" s="174">
        <v>0.04487847736063775</v>
      </c>
      <c r="D372" s="174">
        <v>0.1809877671540909</v>
      </c>
      <c r="E372" s="282">
        <v>-0.001921591080298638</v>
      </c>
      <c r="F372" s="286">
        <v>-1351.21900000007</v>
      </c>
      <c r="G372" s="235">
        <v>263.8274215686906</v>
      </c>
      <c r="H372" s="235">
        <v>67308.60158333389</v>
      </c>
      <c r="I372" s="287">
        <v>30412.528133725646</v>
      </c>
      <c r="J372" s="233">
        <v>291732.8707499998</v>
      </c>
    </row>
    <row r="373">
      <c r="A373" s="184">
        <v>43619.0</v>
      </c>
      <c r="B373" s="174">
        <v>0.1622287519422483</v>
      </c>
      <c r="C373" s="174">
        <v>0.045001924837413505</v>
      </c>
      <c r="D373" s="174">
        <v>0.18512893168182679</v>
      </c>
      <c r="E373" s="282">
        <v>-0.0016348372863995218</v>
      </c>
      <c r="F373" s="286">
        <v>-1153.443099999975</v>
      </c>
      <c r="G373" s="235">
        <v>1080.5468917646322</v>
      </c>
      <c r="H373" s="235">
        <v>68659.82058333396</v>
      </c>
      <c r="I373" s="287">
        <v>30148.700712156955</v>
      </c>
      <c r="J373" s="233">
        <v>293084.0897499999</v>
      </c>
    </row>
    <row r="374">
      <c r="A374" s="184">
        <v>43616.0</v>
      </c>
      <c r="B374" s="174">
        <v>0.16556681758523475</v>
      </c>
      <c r="C374" s="174">
        <v>0.045664480147116195</v>
      </c>
      <c r="D374" s="174">
        <v>0.18904867392421715</v>
      </c>
      <c r="E374" s="282">
        <v>0.0027314450875562273</v>
      </c>
      <c r="F374" s="286">
        <v>1953.190100000007</v>
      </c>
      <c r="G374" s="235">
        <v>1104.3614909804455</v>
      </c>
      <c r="H374" s="235">
        <v>69813.26368333393</v>
      </c>
      <c r="I374" s="287">
        <v>29068.153820392323</v>
      </c>
      <c r="J374" s="233">
        <v>294237.5328499999</v>
      </c>
    </row>
    <row r="375">
      <c r="A375" s="184">
        <v>43615.0</v>
      </c>
      <c r="B375" s="174">
        <v>0.1634466447036476</v>
      </c>
      <c r="C375" s="174">
        <v>0.04151076985833739</v>
      </c>
      <c r="D375" s="174">
        <v>0.1842734606396833</v>
      </c>
      <c r="E375" s="282">
        <v>-3.491327773060588E-4</v>
      </c>
      <c r="F375" s="286">
        <v>-252.67249999998603</v>
      </c>
      <c r="G375" s="235">
        <v>202.25386078432348</v>
      </c>
      <c r="H375" s="235">
        <v>67860.07358333393</v>
      </c>
      <c r="I375" s="287">
        <v>27963.792329411877</v>
      </c>
      <c r="J375" s="233">
        <v>292284.3427499999</v>
      </c>
    </row>
    <row r="376">
      <c r="A376" s="184">
        <v>43614.0</v>
      </c>
      <c r="B376" s="174">
        <v>0.16458984092386464</v>
      </c>
      <c r="C376" s="174">
        <v>0.041626366322509045</v>
      </c>
      <c r="D376" s="174">
        <v>0.18547465400836027</v>
      </c>
      <c r="E376" s="282">
        <v>0.0031044370113327865</v>
      </c>
      <c r="F376" s="286">
        <v>2247.510899999994</v>
      </c>
      <c r="G376" s="235">
        <v>619.7087898039063</v>
      </c>
      <c r="H376" s="235">
        <v>68112.74608333391</v>
      </c>
      <c r="I376" s="287">
        <v>27761.538468627554</v>
      </c>
      <c r="J376" s="233">
        <v>292537.0152499999</v>
      </c>
    </row>
    <row r="377">
      <c r="A377" s="184">
        <v>43613.0</v>
      </c>
      <c r="B377" s="174">
        <v>0.15890502460182096</v>
      </c>
      <c r="C377" s="174">
        <v>0.04174277633680709</v>
      </c>
      <c r="D377" s="174">
        <v>0.1798561346422601</v>
      </c>
      <c r="E377" s="282">
        <v>0.002942634831804369</v>
      </c>
      <c r="F377" s="286">
        <v>2136.8331999998773</v>
      </c>
      <c r="G377" s="235">
        <v>293.40825529411813</v>
      </c>
      <c r="H377" s="235">
        <v>65865.23518333392</v>
      </c>
      <c r="I377" s="287">
        <v>27141.829678823648</v>
      </c>
      <c r="J377" s="233">
        <v>290289.5043499999</v>
      </c>
    </row>
    <row r="378">
      <c r="A378" s="184">
        <v>43612.0</v>
      </c>
      <c r="B378" s="174">
        <v>0.1534897387126441</v>
      </c>
      <c r="C378" s="174">
        <v>0.0418588872032885</v>
      </c>
      <c r="D378" s="174">
        <v>0.17450520488571447</v>
      </c>
      <c r="E378" s="282">
        <v>0.003780241439283526</v>
      </c>
      <c r="F378" s="286">
        <v>2741.2140000000363</v>
      </c>
      <c r="G378" s="235">
        <v>198.6974741176673</v>
      </c>
      <c r="H378" s="235">
        <v>63728.40198333405</v>
      </c>
      <c r="I378" s="287">
        <v>26848.42142352953</v>
      </c>
      <c r="J378" s="233">
        <v>288152.67115</v>
      </c>
    </row>
    <row r="379">
      <c r="A379" s="184">
        <v>43609.0</v>
      </c>
      <c r="B379" s="174">
        <v>0.14661177759439237</v>
      </c>
      <c r="C379" s="174">
        <v>0.042039017429174146</v>
      </c>
      <c r="D379" s="174">
        <v>0.1677176790590285</v>
      </c>
      <c r="E379" s="282">
        <v>-0.002767288402641749</v>
      </c>
      <c r="F379" s="286">
        <v>-1999.0928999999305</v>
      </c>
      <c r="G379" s="235">
        <v>295.1081400000039</v>
      </c>
      <c r="H379" s="235">
        <v>60987.18798333401</v>
      </c>
      <c r="I379" s="287">
        <v>26649.723949411862</v>
      </c>
      <c r="J379" s="233">
        <v>285411.45715</v>
      </c>
    </row>
    <row r="380">
      <c r="A380" s="184">
        <v>43608.0</v>
      </c>
      <c r="B380" s="174">
        <v>0.15252130954444992</v>
      </c>
      <c r="C380" s="174">
        <v>0.04215454859625171</v>
      </c>
      <c r="D380" s="174">
        <v>0.17369130832416912</v>
      </c>
      <c r="E380" s="282">
        <v>7.347314676032575E-4</v>
      </c>
      <c r="F380" s="286">
        <v>533.0239999999758</v>
      </c>
      <c r="G380" s="235">
        <v>513.3576345098991</v>
      </c>
      <c r="H380" s="235">
        <v>62986.280883333944</v>
      </c>
      <c r="I380" s="287">
        <v>26354.61580941186</v>
      </c>
      <c r="J380" s="233">
        <v>287410.5500499999</v>
      </c>
    </row>
    <row r="381">
      <c r="A381" s="184">
        <v>43607.0</v>
      </c>
      <c r="B381" s="174">
        <v>0.1514526459018498</v>
      </c>
      <c r="C381" s="174">
        <v>0.0422716853602251</v>
      </c>
      <c r="D381" s="174">
        <v>0.17269999801746005</v>
      </c>
      <c r="E381" s="282">
        <v>0.0014773191054943985</v>
      </c>
      <c r="F381" s="286">
        <v>1076.1509999999544</v>
      </c>
      <c r="G381" s="235">
        <v>246.47132078418144</v>
      </c>
      <c r="H381" s="235">
        <v>62453.25688333397</v>
      </c>
      <c r="I381" s="287">
        <v>25841.25817490196</v>
      </c>
      <c r="J381" s="233">
        <v>286877.5260499999</v>
      </c>
    </row>
    <row r="382">
      <c r="A382" s="184">
        <v>43606.0</v>
      </c>
      <c r="B382" s="174">
        <v>0.14888986531920376</v>
      </c>
      <c r="C382" s="174">
        <v>0.0423892860356613</v>
      </c>
      <c r="D382" s="174">
        <v>0.17019632799401538</v>
      </c>
      <c r="E382" s="282">
        <v>9.536091489275275E-4</v>
      </c>
      <c r="F382" s="286">
        <v>693.6289999999572</v>
      </c>
      <c r="G382" s="235">
        <v>243.3094384314063</v>
      </c>
      <c r="H382" s="235">
        <v>61377.105883334014</v>
      </c>
      <c r="I382" s="287">
        <v>25594.786854117778</v>
      </c>
      <c r="J382" s="233">
        <v>285801.37505</v>
      </c>
    </row>
    <row r="383">
      <c r="A383" s="184">
        <v>43605.0</v>
      </c>
      <c r="B383" s="174">
        <v>0.14737493368191093</v>
      </c>
      <c r="C383" s="174">
        <v>0.042507101672760464</v>
      </c>
      <c r="D383" s="174">
        <v>0.16874061496380763</v>
      </c>
      <c r="E383" s="282">
        <v>-0.004109302504500265</v>
      </c>
      <c r="F383" s="286">
        <v>-2986.1429999999236</v>
      </c>
      <c r="G383" s="235">
        <v>245.20157960781216</v>
      </c>
      <c r="H383" s="235">
        <v>60683.47688333406</v>
      </c>
      <c r="I383" s="287">
        <v>25351.47741568637</v>
      </c>
      <c r="J383" s="233">
        <v>285107.74605</v>
      </c>
    </row>
    <row r="384">
      <c r="A384" s="184">
        <v>43602.0</v>
      </c>
      <c r="B384" s="174">
        <v>0.15635168286289552</v>
      </c>
      <c r="C384" s="174">
        <v>0.04269093592227953</v>
      </c>
      <c r="D384" s="174">
        <v>0.17780976621007907</v>
      </c>
      <c r="E384" s="282">
        <v>1.4928769911545604E-5</v>
      </c>
      <c r="F384" s="286">
        <v>10.893000000040047</v>
      </c>
      <c r="G384" s="235">
        <v>563.4177996442777</v>
      </c>
      <c r="H384" s="235">
        <v>63669.61988333398</v>
      </c>
      <c r="I384" s="287">
        <v>25106.27583607856</v>
      </c>
      <c r="J384" s="233">
        <v>288093.88904999994</v>
      </c>
    </row>
    <row r="385">
      <c r="A385" s="184">
        <v>43601.0</v>
      </c>
      <c r="B385" s="174">
        <v>0.15676270190369831</v>
      </c>
      <c r="C385" s="174">
        <v>0.04281149201546999</v>
      </c>
      <c r="D385" s="174">
        <v>0.1782813813151237</v>
      </c>
      <c r="E385" s="282">
        <v>0.0034863782512626874</v>
      </c>
      <c r="F385" s="286">
        <v>2543.8499999998603</v>
      </c>
      <c r="G385" s="235">
        <v>167.11116250422856</v>
      </c>
      <c r="H385" s="235">
        <v>63658.72688333394</v>
      </c>
      <c r="I385" s="287">
        <v>24542.85803643428</v>
      </c>
      <c r="J385" s="233">
        <v>288082.9960499999</v>
      </c>
    </row>
    <row r="386">
      <c r="A386" s="184">
        <v>43600.0</v>
      </c>
      <c r="B386" s="174">
        <v>0.15006239614526395</v>
      </c>
      <c r="C386" s="174">
        <v>0.04293278410100505</v>
      </c>
      <c r="D386" s="174">
        <v>0.17164204155859436</v>
      </c>
      <c r="E386" s="282">
        <v>0.0038401235630699023</v>
      </c>
      <c r="F386" s="286">
        <v>2792.1930000000866</v>
      </c>
      <c r="G386" s="235">
        <v>229.6512887736826</v>
      </c>
      <c r="H386" s="235">
        <v>61114.87688333408</v>
      </c>
      <c r="I386" s="287">
        <v>24375.746873930053</v>
      </c>
      <c r="J386" s="233">
        <v>285539.14605000004</v>
      </c>
    </row>
    <row r="387">
      <c r="A387" s="184">
        <v>43599.0</v>
      </c>
      <c r="B387" s="174">
        <v>0.1426207570531769</v>
      </c>
      <c r="C387" s="174">
        <v>0.043053617508379806</v>
      </c>
      <c r="D387" s="174">
        <v>0.1642611379193747</v>
      </c>
      <c r="E387" s="282">
        <v>0.004328624770721614</v>
      </c>
      <c r="F387" s="286">
        <v>3139.9097999999067</v>
      </c>
      <c r="G387" s="235">
        <v>171.9684355499303</v>
      </c>
      <c r="H387" s="235">
        <v>58322.68388333399</v>
      </c>
      <c r="I387" s="287">
        <v>24146.09558515637</v>
      </c>
      <c r="J387" s="233">
        <v>282746.95304999995</v>
      </c>
    </row>
    <row r="388">
      <c r="A388" s="184">
        <v>43598.0</v>
      </c>
      <c r="B388" s="174">
        <v>0.1341510725248637</v>
      </c>
      <c r="C388" s="174">
        <v>0.04317385914768351</v>
      </c>
      <c r="D388" s="174">
        <v>0.15585189139885494</v>
      </c>
      <c r="E388" s="282">
        <v>0.001482485871938543</v>
      </c>
      <c r="F388" s="286">
        <v>1065.8420000000624</v>
      </c>
      <c r="G388" s="235">
        <v>395.4789606299564</v>
      </c>
      <c r="H388" s="235">
        <v>55182.77408333409</v>
      </c>
      <c r="I388" s="287">
        <v>23974.12714960644</v>
      </c>
      <c r="J388" s="233">
        <v>279607.04325000005</v>
      </c>
    </row>
    <row r="389">
      <c r="A389" s="184">
        <v>43595.0</v>
      </c>
      <c r="B389" s="174">
        <v>0.131700298313205</v>
      </c>
      <c r="C389" s="174">
        <v>0.04336034286871259</v>
      </c>
      <c r="D389" s="174">
        <v>0.15350182872874016</v>
      </c>
      <c r="E389" s="282">
        <v>-1.9824399392563835E-4</v>
      </c>
      <c r="F389" s="286">
        <v>-142.77700000000186</v>
      </c>
      <c r="G389" s="235">
        <v>228.378314960617</v>
      </c>
      <c r="H389" s="235">
        <v>54116.932083334024</v>
      </c>
      <c r="I389" s="287">
        <v>23578.648188976484</v>
      </c>
      <c r="J389" s="233">
        <v>278541.20125</v>
      </c>
    </row>
    <row r="390">
      <c r="A390" s="184">
        <v>43594.0</v>
      </c>
      <c r="B390" s="174">
        <v>0.13247060969498184</v>
      </c>
      <c r="C390" s="174">
        <v>0.043480252450973554</v>
      </c>
      <c r="D390" s="174">
        <v>0.15433243051026527</v>
      </c>
      <c r="E390" s="282">
        <v>-0.007446085719636509</v>
      </c>
      <c r="F390" s="286">
        <v>-5363.7970000000205</v>
      </c>
      <c r="G390" s="235">
        <v>229.0527047244541</v>
      </c>
      <c r="H390" s="235">
        <v>54259.709083334026</v>
      </c>
      <c r="I390" s="287">
        <v>23350.269874015867</v>
      </c>
      <c r="J390" s="233">
        <v>278683.97825</v>
      </c>
    </row>
    <row r="391">
      <c r="A391" s="184">
        <v>43593.0</v>
      </c>
      <c r="B391" s="174">
        <v>0.14813710206612407</v>
      </c>
      <c r="C391" s="174">
        <v>0.04360095426550981</v>
      </c>
      <c r="D391" s="174">
        <v>0.17005961161463062</v>
      </c>
      <c r="E391" s="282">
        <v>-0.0017332988222509389</v>
      </c>
      <c r="F391" s="286">
        <v>-1257.8810000000522</v>
      </c>
      <c r="G391" s="235">
        <v>569.9672874015596</v>
      </c>
      <c r="H391" s="235">
        <v>59623.50608333405</v>
      </c>
      <c r="I391" s="287">
        <v>23121.217169291413</v>
      </c>
      <c r="J391" s="233">
        <v>284047.77525</v>
      </c>
    </row>
    <row r="392">
      <c r="A392" s="184">
        <v>43592.0</v>
      </c>
      <c r="B392" s="174">
        <v>0.15214317315973805</v>
      </c>
      <c r="C392" s="174">
        <v>0.04372501091383737</v>
      </c>
      <c r="D392" s="174">
        <v>0.1741414446375328</v>
      </c>
      <c r="E392" s="282">
        <v>4.979606538928283E-4</v>
      </c>
      <c r="F392" s="286">
        <v>364.29530000011437</v>
      </c>
      <c r="G392" s="235">
        <v>345.4710783464616</v>
      </c>
      <c r="H392" s="235">
        <v>60881.3870833341</v>
      </c>
      <c r="I392" s="287">
        <v>22551.249881889853</v>
      </c>
      <c r="J392" s="233">
        <v>285305.65625000006</v>
      </c>
    </row>
    <row r="393">
      <c r="A393" s="184">
        <v>43591.0</v>
      </c>
      <c r="B393" s="174">
        <v>0.15152826832660404</v>
      </c>
      <c r="C393" s="174">
        <v>0.04385045538548761</v>
      </c>
      <c r="D393" s="174">
        <v>0.17359604840200735</v>
      </c>
      <c r="E393" s="282">
        <v>-5.618312990491552E-4</v>
      </c>
      <c r="F393" s="286">
        <v>-411.4688333332888</v>
      </c>
      <c r="G393" s="235">
        <v>586.3769633858028</v>
      </c>
      <c r="H393" s="235">
        <v>60517.091783333984</v>
      </c>
      <c r="I393" s="287">
        <v>22205.77880354339</v>
      </c>
      <c r="J393" s="233">
        <v>284941.36094999994</v>
      </c>
    </row>
    <row r="394">
      <c r="A394" s="184">
        <v>43588.0</v>
      </c>
      <c r="B394" s="174">
        <v>0.15337792482410473</v>
      </c>
      <c r="C394" s="174">
        <v>0.04404494876654592</v>
      </c>
      <c r="D394" s="174">
        <v>0.17555156497862492</v>
      </c>
      <c r="E394" s="282">
        <v>0.004149428635222605</v>
      </c>
      <c r="F394" s="286">
        <v>3061.0572000000393</v>
      </c>
      <c r="G394" s="235">
        <v>360.62513267714894</v>
      </c>
      <c r="H394" s="235">
        <v>60928.56061666727</v>
      </c>
      <c r="I394" s="287">
        <v>21619.40184015759</v>
      </c>
      <c r="J394" s="233">
        <v>285852.82978333323</v>
      </c>
    </row>
    <row r="395">
      <c r="A395" s="184">
        <v>43587.0</v>
      </c>
      <c r="B395" s="174">
        <v>0.14497029499151662</v>
      </c>
      <c r="C395" s="174">
        <v>0.04417249077445454</v>
      </c>
      <c r="D395" s="174">
        <v>0.16721464551183218</v>
      </c>
      <c r="E395" s="282">
        <v>-0.002542720747627571</v>
      </c>
      <c r="F395" s="286">
        <v>-1871.117366666731</v>
      </c>
      <c r="G395" s="235">
        <v>414.11252434310154</v>
      </c>
      <c r="H395" s="235">
        <v>57867.503416667234</v>
      </c>
      <c r="I395" s="287">
        <v>21258.77670748044</v>
      </c>
      <c r="J395" s="233">
        <v>282791.7725833332</v>
      </c>
    </row>
    <row r="396">
      <c r="A396" s="184">
        <v>43585.0</v>
      </c>
      <c r="B396" s="174">
        <v>0.1509264299057882</v>
      </c>
      <c r="C396" s="174">
        <v>0.04433385398454635</v>
      </c>
      <c r="D396" s="174">
        <v>0.17325203959314264</v>
      </c>
      <c r="E396" s="282">
        <v>-0.003925063303086309</v>
      </c>
      <c r="F396" s="286">
        <v>-2895.6889999998966</v>
      </c>
      <c r="G396" s="235">
        <v>166.04423825540653</v>
      </c>
      <c r="H396" s="235">
        <v>59738.620783333965</v>
      </c>
      <c r="I396" s="287">
        <v>20844.664183137338</v>
      </c>
      <c r="J396" s="233">
        <v>284662.8899499999</v>
      </c>
    </row>
    <row r="397">
      <c r="A397" s="184">
        <v>43584.0</v>
      </c>
      <c r="B397" s="174">
        <v>0.15818589040909753</v>
      </c>
      <c r="C397" s="174">
        <v>0.044462527500365535</v>
      </c>
      <c r="D397" s="174">
        <v>0.1821772410049223</v>
      </c>
      <c r="E397" s="282">
        <v>-0.002215687629262564</v>
      </c>
      <c r="F397" s="286">
        <v>-1639.8050000000512</v>
      </c>
      <c r="G397" s="235">
        <v>422.2977704724617</v>
      </c>
      <c r="H397" s="235">
        <v>62634.30978333386</v>
      </c>
      <c r="I397" s="287">
        <v>20678.61994488193</v>
      </c>
      <c r="J397" s="233">
        <v>287558.5789499998</v>
      </c>
    </row>
    <row r="398">
      <c r="A398" s="184">
        <v>43581.0</v>
      </c>
      <c r="B398" s="174">
        <v>0.1636911373287839</v>
      </c>
      <c r="C398" s="174">
        <v>0.04466327317590613</v>
      </c>
      <c r="D398" s="174">
        <v>0.18779080745013388</v>
      </c>
      <c r="E398" s="282">
        <v>6.980047335302141E-4</v>
      </c>
      <c r="F398" s="286">
        <v>518.6040000000503</v>
      </c>
      <c r="G398" s="235">
        <v>330.4693570866257</v>
      </c>
      <c r="H398" s="235">
        <v>64274.11478333391</v>
      </c>
      <c r="I398" s="287">
        <v>20256.32217440947</v>
      </c>
      <c r="J398" s="233">
        <v>289198.3839499999</v>
      </c>
    </row>
    <row r="399">
      <c r="A399" s="184">
        <v>43580.0</v>
      </c>
      <c r="B399" s="174">
        <v>0.16265849352551567</v>
      </c>
      <c r="C399" s="174">
        <v>0.044796173188116906</v>
      </c>
      <c r="D399" s="174">
        <v>0.18682987461262465</v>
      </c>
      <c r="E399" s="282">
        <v>0.003921016131866889</v>
      </c>
      <c r="F399" s="286">
        <v>2911.205600000103</v>
      </c>
      <c r="G399" s="235">
        <v>670.227791048248</v>
      </c>
      <c r="H399" s="235">
        <v>63755.51078333386</v>
      </c>
      <c r="I399" s="287">
        <v>19925.852817322844</v>
      </c>
      <c r="J399" s="233">
        <v>288679.7799499998</v>
      </c>
    </row>
    <row r="400">
      <c r="A400" s="184">
        <v>43579.0</v>
      </c>
      <c r="B400" s="174">
        <v>0.15457955947920593</v>
      </c>
      <c r="C400" s="174">
        <v>0.04492966492609346</v>
      </c>
      <c r="D400" s="174">
        <v>0.1788301717216105</v>
      </c>
      <c r="E400" s="282">
        <v>0.005806172495841643</v>
      </c>
      <c r="F400" s="286">
        <v>4307.0945000000065</v>
      </c>
      <c r="G400" s="235">
        <v>797.1551892666284</v>
      </c>
      <c r="H400" s="235">
        <v>60844.30518333376</v>
      </c>
      <c r="I400" s="287">
        <v>19255.625026274596</v>
      </c>
      <c r="J400" s="233">
        <v>285768.5743499997</v>
      </c>
    </row>
    <row r="401">
      <c r="A401" s="184">
        <v>43578.0</v>
      </c>
      <c r="B401" s="174">
        <v>0.14232008039840777</v>
      </c>
      <c r="C401" s="174">
        <v>0.04506250942385918</v>
      </c>
      <c r="D401" s="174">
        <v>0.1666623223019065</v>
      </c>
      <c r="E401" s="282">
        <v>0.004397714207570236</v>
      </c>
      <c r="F401" s="286">
        <v>3284.6078000001144</v>
      </c>
      <c r="G401" s="235">
        <v>770.2663057578502</v>
      </c>
      <c r="H401" s="235">
        <v>56537.21068333375</v>
      </c>
      <c r="I401" s="287">
        <v>18458.469837007968</v>
      </c>
      <c r="J401" s="233">
        <v>281461.4798499997</v>
      </c>
    </row>
    <row r="402">
      <c r="A402" s="184">
        <v>43573.0</v>
      </c>
      <c r="B402" s="174">
        <v>0.1334434820426842</v>
      </c>
      <c r="C402" s="174">
        <v>0.04533630064649768</v>
      </c>
      <c r="D402" s="174">
        <v>0.15793362277067655</v>
      </c>
      <c r="E402" s="282">
        <v>0.006390071215886104</v>
      </c>
      <c r="F402" s="286">
        <v>4766.672299999991</v>
      </c>
      <c r="G402" s="235">
        <v>598.5336855469031</v>
      </c>
      <c r="H402" s="235">
        <v>53252.60288333364</v>
      </c>
      <c r="I402" s="287">
        <v>17688.203531250118</v>
      </c>
      <c r="J402" s="233">
        <v>278176.8720499996</v>
      </c>
    </row>
    <row r="403">
      <c r="A403" s="184">
        <v>43572.0</v>
      </c>
      <c r="B403" s="174">
        <v>0.11964360662631415</v>
      </c>
      <c r="C403" s="174">
        <v>0.04546737999568167</v>
      </c>
      <c r="D403" s="174">
        <v>0.14421264503842726</v>
      </c>
      <c r="E403" s="282">
        <v>-7.937621687141975E-4</v>
      </c>
      <c r="F403" s="286">
        <v>-592.1540000000969</v>
      </c>
      <c r="G403" s="235">
        <v>291.0516269531072</v>
      </c>
      <c r="H403" s="235">
        <v>48485.93058333365</v>
      </c>
      <c r="I403" s="287">
        <v>17089.669845703214</v>
      </c>
      <c r="J403" s="233">
        <v>273410.1997499996</v>
      </c>
    </row>
    <row r="404">
      <c r="A404" s="184">
        <v>43571.0</v>
      </c>
      <c r="B404" s="174">
        <v>0.121750312648567</v>
      </c>
      <c r="C404" s="174">
        <v>0.04559675493307121</v>
      </c>
      <c r="D404" s="174">
        <v>0.1463892609126793</v>
      </c>
      <c r="E404" s="282">
        <v>-0.0015810348529351188</v>
      </c>
      <c r="F404" s="286">
        <v>-1180.4030000000494</v>
      </c>
      <c r="G404" s="235">
        <v>382.6089628906193</v>
      </c>
      <c r="H404" s="235">
        <v>49078.084583333744</v>
      </c>
      <c r="I404" s="287">
        <v>16798.618218750107</v>
      </c>
      <c r="J404" s="233">
        <v>274002.3537499997</v>
      </c>
    </row>
    <row r="405">
      <c r="A405" s="184">
        <v>43570.0</v>
      </c>
      <c r="B405" s="174">
        <v>0.12562970972027257</v>
      </c>
      <c r="C405" s="174">
        <v>0.04572724748507429</v>
      </c>
      <c r="D405" s="174">
        <v>0.15033917175762102</v>
      </c>
      <c r="E405" s="282">
        <v>3.9987495033265273E-4</v>
      </c>
      <c r="F405" s="286">
        <v>299.5089999999618</v>
      </c>
      <c r="G405" s="235">
        <v>402.1216933594442</v>
      </c>
      <c r="H405" s="235">
        <v>50258.487583333794</v>
      </c>
      <c r="I405" s="287">
        <v>16416.009255859488</v>
      </c>
      <c r="J405" s="233">
        <v>275182.75674999977</v>
      </c>
    </row>
    <row r="406">
      <c r="A406" s="184">
        <v>43567.0</v>
      </c>
      <c r="B406" s="174">
        <v>0.12529161736707575</v>
      </c>
      <c r="C406" s="174">
        <v>0.045931748955884685</v>
      </c>
      <c r="D406" s="174">
        <v>0.1501115851008631</v>
      </c>
      <c r="E406" s="282">
        <v>-0.002543546808285602</v>
      </c>
      <c r="F406" s="286">
        <v>-1907.474500000244</v>
      </c>
      <c r="G406" s="235">
        <v>79.345421347898</v>
      </c>
      <c r="H406" s="235">
        <v>49958.97858333383</v>
      </c>
      <c r="I406" s="287">
        <v>16013.887562500044</v>
      </c>
      <c r="J406" s="233">
        <v>274883.2477499998</v>
      </c>
    </row>
    <row r="407">
      <c r="A407" s="184">
        <v>43566.0</v>
      </c>
      <c r="B407" s="174">
        <v>0.13120881144024432</v>
      </c>
      <c r="C407" s="174">
        <v>0.046064622645899354</v>
      </c>
      <c r="D407" s="174">
        <v>0.1562937981353028</v>
      </c>
      <c r="E407" s="282">
        <v>-0.0015337293844974477</v>
      </c>
      <c r="F407" s="286">
        <v>-693.9020000000601</v>
      </c>
      <c r="G407" s="288">
        <v>36.5345786521024</v>
      </c>
      <c r="H407" s="235">
        <v>51866.453083334076</v>
      </c>
      <c r="I407" s="287">
        <v>15934.542141152146</v>
      </c>
      <c r="J407" s="233">
        <v>276790.72225000005</v>
      </c>
    </row>
    <row r="408">
      <c r="A408" s="184">
        <v>43565.0</v>
      </c>
      <c r="B408" s="174">
        <v>0.13368973787038269</v>
      </c>
      <c r="C408" s="174">
        <v>0.04619937129190819</v>
      </c>
      <c r="D408" s="174">
        <v>0.15884810339279617</v>
      </c>
      <c r="E408" s="282">
        <v>0.0027297581611137782</v>
      </c>
      <c r="F408" s="286">
        <v>1236.9130000000005</v>
      </c>
      <c r="G408" s="235">
        <v>69.20622845833633</v>
      </c>
      <c r="H408" s="235">
        <v>52560.355083334136</v>
      </c>
      <c r="I408" s="287">
        <v>15898.007562500043</v>
      </c>
      <c r="J408" s="233">
        <v>277484.6242500001</v>
      </c>
    </row>
    <row r="409">
      <c r="A409" s="184">
        <v>43564.0</v>
      </c>
      <c r="B409" s="174">
        <v>0.13328369618917715</v>
      </c>
      <c r="C409" s="174">
        <v>0.04338570357383289</v>
      </c>
      <c r="D409" s="174">
        <v>0.15556646056429968</v>
      </c>
      <c r="E409" s="282">
        <v>-0.0017539425740258582</v>
      </c>
      <c r="F409" s="286">
        <v>-794.286999999953</v>
      </c>
      <c r="G409" s="235">
        <v>20.539011219094824</v>
      </c>
      <c r="H409" s="235">
        <v>51323.442083334136</v>
      </c>
      <c r="I409" s="287">
        <v>15828.801334041706</v>
      </c>
      <c r="J409" s="233">
        <v>276247.7112500001</v>
      </c>
    </row>
    <row r="410">
      <c r="A410" s="184">
        <v>43563.0</v>
      </c>
      <c r="B410" s="174">
        <v>0.13609004134689534</v>
      </c>
      <c r="C410" s="174">
        <v>0.04351320955375387</v>
      </c>
      <c r="D410" s="174">
        <v>0.15843829240249</v>
      </c>
      <c r="E410" s="282">
        <v>-0.0026382891109993168</v>
      </c>
      <c r="F410" s="286">
        <v>-1196.8660000000382</v>
      </c>
      <c r="G410" s="235">
        <v>44.21496721596076</v>
      </c>
      <c r="H410" s="235">
        <v>52117.72908333409</v>
      </c>
      <c r="I410" s="287">
        <v>15808.262322822611</v>
      </c>
      <c r="J410" s="233">
        <v>277041.99825000006</v>
      </c>
    </row>
    <row r="411">
      <c r="A411" s="184">
        <v>43560.0</v>
      </c>
      <c r="B411" s="174">
        <v>0.14036488767853508</v>
      </c>
      <c r="C411" s="174">
        <v>0.04371138144800828</v>
      </c>
      <c r="D411" s="174">
        <v>0.16281491921160723</v>
      </c>
      <c r="E411" s="282">
        <v>0.003815825154273541</v>
      </c>
      <c r="F411" s="286">
        <v>1735.6250000000582</v>
      </c>
      <c r="G411" s="235">
        <v>13.64316850874626</v>
      </c>
      <c r="H411" s="235">
        <v>53314.59508333413</v>
      </c>
      <c r="I411" s="287">
        <v>15764.04735560665</v>
      </c>
      <c r="J411" s="233">
        <v>278238.8642500001</v>
      </c>
    </row>
    <row r="412">
      <c r="A412" s="184">
        <v>43559.0</v>
      </c>
      <c r="B412" s="174">
        <v>0.13546762466217294</v>
      </c>
      <c r="C412" s="174">
        <v>0.04384183156488942</v>
      </c>
      <c r="D412" s="174">
        <v>0.15798465497543596</v>
      </c>
      <c r="E412" s="282">
        <v>-3.687496306069151E-4</v>
      </c>
      <c r="F412" s="286">
        <v>-168.04999999998836</v>
      </c>
      <c r="G412" s="235">
        <v>7.00290058127797</v>
      </c>
      <c r="H412" s="235">
        <v>51578.97008333407</v>
      </c>
      <c r="I412" s="287">
        <v>15750.404187097904</v>
      </c>
      <c r="J412" s="233">
        <v>276503.23925000004</v>
      </c>
    </row>
    <row r="413">
      <c r="A413" s="184">
        <v>43558.0</v>
      </c>
      <c r="B413" s="174">
        <v>0.13638675594661187</v>
      </c>
      <c r="C413" s="174">
        <v>0.04397221338204753</v>
      </c>
      <c r="D413" s="174">
        <v>0.15897074996153737</v>
      </c>
      <c r="E413" s="282">
        <v>-9.524732453363142E-4</v>
      </c>
      <c r="F413" s="286">
        <v>-434.22999999990134</v>
      </c>
      <c r="G413" s="235">
        <v>13.735688830905238</v>
      </c>
      <c r="H413" s="235">
        <v>51747.02008333406</v>
      </c>
      <c r="I413" s="287">
        <v>15743.401286516626</v>
      </c>
      <c r="J413" s="233">
        <v>276671.28925000003</v>
      </c>
    </row>
    <row r="414">
      <c r="A414" s="184">
        <v>43526.0</v>
      </c>
      <c r="B414" s="174">
        <v>0.1394596859811116</v>
      </c>
      <c r="C414" s="174">
        <v>0.04522144169958996</v>
      </c>
      <c r="D414" s="174">
        <v>0.16485891370223468</v>
      </c>
      <c r="E414" s="282">
        <v>0.0020033166158740633</v>
      </c>
      <c r="F414" s="286">
        <v>1542.98</v>
      </c>
      <c r="G414" s="235">
        <v>7.288645570181151</v>
      </c>
      <c r="H414" s="235">
        <v>52181.25008333396</v>
      </c>
      <c r="I414" s="287">
        <v>15729.66559768572</v>
      </c>
      <c r="J414" s="233">
        <v>277105.51924999995</v>
      </c>
    </row>
    <row r="415">
      <c r="A415" s="184">
        <v>43556.0</v>
      </c>
      <c r="B415" s="174">
        <v>0.13377810890177882</v>
      </c>
      <c r="C415" s="174">
        <v>0.044235925326153815</v>
      </c>
      <c r="D415" s="174">
        <v>0.15649754456290066</v>
      </c>
      <c r="E415" s="282">
        <v>0.0038380684321501356</v>
      </c>
      <c r="F415" s="286">
        <v>1761.6066666667175</v>
      </c>
      <c r="G415" s="235">
        <v>45.19783281512932</v>
      </c>
      <c r="H415" s="235">
        <v>50638.270083333955</v>
      </c>
      <c r="I415" s="287">
        <v>15722.37695211554</v>
      </c>
      <c r="J415" s="233">
        <v>276062.53925</v>
      </c>
    </row>
    <row r="416">
      <c r="A416" s="184">
        <v>43553.0</v>
      </c>
      <c r="B416" s="174">
        <v>0.12700321983707796</v>
      </c>
      <c r="C416" s="174">
        <v>0.044439617100300005</v>
      </c>
      <c r="D416" s="174">
        <v>0.15174885055366766</v>
      </c>
      <c r="E416" s="282">
        <v>0.004351962183638856</v>
      </c>
      <c r="F416" s="287">
        <v>1987.115000000049</v>
      </c>
      <c r="G416" s="235">
        <v>14.914566642500853</v>
      </c>
      <c r="H416" s="235">
        <v>48876.66341666724</v>
      </c>
      <c r="I416" s="287">
        <v>15677.17911930041</v>
      </c>
      <c r="J416" s="233">
        <v>274300.9325833332</v>
      </c>
    </row>
    <row r="417">
      <c r="A417" s="184">
        <v>43552.0</v>
      </c>
      <c r="B417" s="174">
        <v>0.12119508487844301</v>
      </c>
      <c r="C417" s="174">
        <v>0.04457250183090363</v>
      </c>
      <c r="D417" s="174">
        <v>0.14601471075264105</v>
      </c>
      <c r="E417" s="282">
        <v>-0.0010738075820519194</v>
      </c>
      <c r="F417" s="287">
        <v>-488.1690000001108</v>
      </c>
      <c r="G417" s="235">
        <v>51.58469308246169</v>
      </c>
      <c r="H417" s="235">
        <v>46889.54841666719</v>
      </c>
      <c r="I417" s="287">
        <v>15662.264552657909</v>
      </c>
      <c r="J417" s="233">
        <v>272313.8175833332</v>
      </c>
    </row>
    <row r="418">
      <c r="A418" s="184">
        <v>43551.0</v>
      </c>
      <c r="B418" s="174">
        <v>0.12308050159184371</v>
      </c>
      <c r="C418" s="174">
        <v>0.044705168129078474</v>
      </c>
      <c r="D418" s="174">
        <v>0.14797400099235414</v>
      </c>
      <c r="E418" s="282">
        <v>2.7070786789373646E-6</v>
      </c>
      <c r="F418" s="287">
        <v>1.2320000000181608</v>
      </c>
      <c r="G418" s="235">
        <v>7.661998495716356</v>
      </c>
      <c r="H418" s="235">
        <v>47377.7174166673</v>
      </c>
      <c r="I418" s="287">
        <v>15610.679859575448</v>
      </c>
      <c r="J418" s="233">
        <v>272801.9865833333</v>
      </c>
    </row>
    <row r="419">
      <c r="A419" s="184">
        <v>43550.0</v>
      </c>
      <c r="B419" s="174">
        <v>0.12344499451620569</v>
      </c>
      <c r="C419" s="174">
        <v>0.044838960666318574</v>
      </c>
      <c r="D419" s="174">
        <v>0.14841299457480475</v>
      </c>
      <c r="E419" s="282">
        <v>0.004453547603024075</v>
      </c>
      <c r="F419" s="287">
        <v>2026.8180000000866</v>
      </c>
      <c r="G419" s="235">
        <v>8.219956572880749</v>
      </c>
      <c r="H419" s="235">
        <v>47376.48541666728</v>
      </c>
      <c r="I419" s="287">
        <v>15603.017861079732</v>
      </c>
      <c r="J419" s="233">
        <v>272800.75458333327</v>
      </c>
    </row>
    <row r="420">
      <c r="A420" s="184">
        <v>43549.0</v>
      </c>
      <c r="B420" s="174">
        <v>0.1174473912865456</v>
      </c>
      <c r="C420" s="174">
        <v>0.04497362315923549</v>
      </c>
      <c r="D420" s="174">
        <v>0.14249037642689225</v>
      </c>
      <c r="E420" s="282">
        <v>-0.008761944831599063</v>
      </c>
      <c r="F420" s="287">
        <v>-3969.818920516758</v>
      </c>
      <c r="G420" s="235">
        <v>53.33924557750277</v>
      </c>
      <c r="H420" s="235">
        <v>45349.667416667195</v>
      </c>
      <c r="I420" s="287">
        <v>15594.797904506851</v>
      </c>
      <c r="J420" s="233">
        <v>270773.9365833332</v>
      </c>
    </row>
    <row r="421">
      <c r="A421" s="184">
        <v>43546.0</v>
      </c>
      <c r="B421" s="174">
        <v>0.13031559847460228</v>
      </c>
      <c r="C421" s="174">
        <v>0.045180619296581834</v>
      </c>
      <c r="D421" s="174">
        <v>0.15567693593911752</v>
      </c>
      <c r="E421" s="282">
        <v>0.008912294014853363</v>
      </c>
      <c r="F421" s="287">
        <v>6755.775326436502</v>
      </c>
      <c r="G421" s="235">
        <v>47.0609872398583</v>
      </c>
      <c r="H421" s="235">
        <v>49319.48633718395</v>
      </c>
      <c r="I421" s="287">
        <v>15541.458658929349</v>
      </c>
      <c r="J421" s="233">
        <v>274743.75550384994</v>
      </c>
    </row>
    <row r="422">
      <c r="A422" s="184">
        <v>43545.0</v>
      </c>
      <c r="B422" s="174">
        <v>0.10932338828828655</v>
      </c>
      <c r="C422" s="174">
        <v>0.04531840732827993</v>
      </c>
      <c r="D422" s="174">
        <v>0.13476207061493234</v>
      </c>
      <c r="E422" s="282">
        <v>0.006980931360423108</v>
      </c>
      <c r="F422" s="287">
        <v>5244.585252995108</v>
      </c>
      <c r="G422" s="235">
        <v>50.11006839277017</v>
      </c>
      <c r="H422" s="235">
        <v>42563.71101074745</v>
      </c>
      <c r="I422" s="287">
        <v>15494.39767168949</v>
      </c>
      <c r="J422" s="233">
        <v>267987.98017741344</v>
      </c>
    </row>
    <row r="423">
      <c r="A423" s="184">
        <v>43544.0</v>
      </c>
      <c r="B423" s="174">
        <v>0.09299436043075253</v>
      </c>
      <c r="C423" s="174">
        <v>0.045453304146220674</v>
      </c>
      <c r="D423" s="174">
        <v>0.11850876468808338</v>
      </c>
      <c r="E423" s="282">
        <v>-0.0021556180629995324</v>
      </c>
      <c r="F423" s="287">
        <v>-1608.1523285183357</v>
      </c>
      <c r="G423" s="235">
        <v>52.73570549965325</v>
      </c>
      <c r="H423" s="235">
        <v>37319.12575775234</v>
      </c>
      <c r="I423" s="287">
        <v>15444.28760329672</v>
      </c>
      <c r="J423" s="233">
        <v>262743.3949244183</v>
      </c>
    </row>
    <row r="424">
      <c r="A424" s="184">
        <v>43543.0</v>
      </c>
      <c r="B424" s="174">
        <v>0.09838774672291095</v>
      </c>
      <c r="C424" s="174">
        <v>0.045586102958917796</v>
      </c>
      <c r="D424" s="174">
        <v>0.1239766952329797</v>
      </c>
      <c r="E424" s="282">
        <v>-9.727523100964795E-5</v>
      </c>
      <c r="F424" s="287">
        <v>-72.72651987185236</v>
      </c>
      <c r="G424" s="235">
        <v>42.42856724014565</v>
      </c>
      <c r="H424" s="235">
        <v>38927.27808627068</v>
      </c>
      <c r="I424" s="287">
        <v>15391.551897797066</v>
      </c>
      <c r="J424" s="233">
        <v>264351.54725293664</v>
      </c>
    </row>
    <row r="425">
      <c r="A425" s="184">
        <v>43542.0</v>
      </c>
      <c r="B425" s="174">
        <v>0.09891047140143527</v>
      </c>
      <c r="C425" s="174">
        <v>0.045720663348269804</v>
      </c>
      <c r="D425" s="174">
        <v>0.1245749529939815</v>
      </c>
      <c r="E425" s="282">
        <v>0.0012449917008225812</v>
      </c>
      <c r="F425" s="287">
        <v>932.1978129070485</v>
      </c>
      <c r="G425" s="235">
        <v>54.98031076234746</v>
      </c>
      <c r="H425" s="235">
        <v>39000.00460614253</v>
      </c>
      <c r="I425" s="287">
        <v>15349.12333055692</v>
      </c>
      <c r="J425" s="233">
        <v>264424.2737728085</v>
      </c>
    </row>
    <row r="426">
      <c r="A426" s="184">
        <v>43539.0</v>
      </c>
      <c r="B426" s="174">
        <v>0.09637275023277717</v>
      </c>
      <c r="C426" s="174">
        <v>0.04593033087082102</v>
      </c>
      <c r="D426" s="174">
        <v>0.12215492496183984</v>
      </c>
      <c r="E426" s="282">
        <v>0.002408453825353748</v>
      </c>
      <c r="F426" s="287">
        <v>1801.104527182877</v>
      </c>
      <c r="G426" s="235">
        <v>53.07794610171752</v>
      </c>
      <c r="H426" s="235">
        <v>38067.80679323548</v>
      </c>
      <c r="I426" s="287">
        <v>15294.143019794574</v>
      </c>
      <c r="J426" s="233">
        <v>263492.07595990144</v>
      </c>
    </row>
    <row r="427">
      <c r="A427" s="184">
        <v>43538.0</v>
      </c>
      <c r="B427" s="174">
        <v>0.09086163578585743</v>
      </c>
      <c r="C427" s="174">
        <v>0.04606641303059963</v>
      </c>
      <c r="D427" s="174">
        <v>0.116720197816174</v>
      </c>
      <c r="E427" s="282">
        <v>-0.0032128115560392267</v>
      </c>
      <c r="F427" s="287">
        <v>-2396.837587733986</v>
      </c>
      <c r="G427" s="235">
        <v>68.21610522642189</v>
      </c>
      <c r="H427" s="235">
        <v>36266.702266052605</v>
      </c>
      <c r="I427" s="287">
        <v>15241.065073692856</v>
      </c>
      <c r="J427" s="233">
        <v>261690.97143271856</v>
      </c>
    </row>
    <row r="428">
      <c r="A428" s="184">
        <v>43537.0</v>
      </c>
      <c r="B428" s="174">
        <v>0.09886641257719332</v>
      </c>
      <c r="C428" s="174">
        <v>0.046202324618491275</v>
      </c>
      <c r="D428" s="174">
        <v>0.1248012661612673</v>
      </c>
      <c r="E428" s="282">
        <v>0.002106064647094487</v>
      </c>
      <c r="F428" s="287">
        <v>1576.224672726239</v>
      </c>
      <c r="G428" s="235">
        <v>3.689090953131048</v>
      </c>
      <c r="H428" s="235">
        <v>38663.53985378659</v>
      </c>
      <c r="I428" s="287">
        <v>15172.848968466435</v>
      </c>
      <c r="J428" s="233">
        <v>264087.80902045255</v>
      </c>
    </row>
    <row r="429">
      <c r="A429" s="184">
        <v>43536.0</v>
      </c>
      <c r="B429" s="174">
        <v>0.09405903330107715</v>
      </c>
      <c r="C429" s="174">
        <v>0.04634051239499303</v>
      </c>
      <c r="D429" s="174">
        <v>0.12007145613692094</v>
      </c>
      <c r="E429" s="282">
        <v>9.609708643499001E-4</v>
      </c>
      <c r="F429" s="287">
        <v>717.6968283079332</v>
      </c>
      <c r="G429" s="235">
        <v>55.12983132064082</v>
      </c>
      <c r="H429" s="235">
        <v>37087.31518106035</v>
      </c>
      <c r="I429" s="287">
        <v>15169.159877513304</v>
      </c>
      <c r="J429" s="233">
        <v>262511.5843477263</v>
      </c>
    </row>
    <row r="430">
      <c r="A430" s="184">
        <v>43535.0</v>
      </c>
      <c r="B430" s="174">
        <v>0.09200896269161267</v>
      </c>
      <c r="C430" s="174">
        <v>0.0464786706829343</v>
      </c>
      <c r="D430" s="174">
        <v>0.11809893822634704</v>
      </c>
      <c r="E430" s="282">
        <v>0.00342613040679135</v>
      </c>
      <c r="F430" s="287">
        <v>2556.331377117778</v>
      </c>
      <c r="G430" s="235">
        <v>52.4727254782338</v>
      </c>
      <c r="H430" s="235">
        <v>36369.61835275242</v>
      </c>
      <c r="I430" s="287">
        <v>15114.030046192664</v>
      </c>
      <c r="J430" s="233">
        <v>261793.88751941838</v>
      </c>
    </row>
    <row r="431">
      <c r="A431" s="184">
        <v>43532.0</v>
      </c>
      <c r="B431" s="174">
        <v>0.08409437649971997</v>
      </c>
      <c r="C431" s="174">
        <v>0.0466931620210311</v>
      </c>
      <c r="D431" s="174">
        <v>0.11030475293407414</v>
      </c>
      <c r="E431" s="282">
        <v>-0.0018492598751190389</v>
      </c>
      <c r="F431" s="287">
        <v>-1375.0570076096337</v>
      </c>
      <c r="G431" s="235">
        <v>4.7695677285625395</v>
      </c>
      <c r="H431" s="235">
        <v>33813.28697563464</v>
      </c>
      <c r="I431" s="287">
        <v>15061.55732071443</v>
      </c>
      <c r="J431" s="233">
        <v>259237.5561423006</v>
      </c>
    </row>
    <row r="432">
      <c r="A432" s="184">
        <v>43531.0</v>
      </c>
      <c r="B432" s="174">
        <v>0.08883346276878015</v>
      </c>
      <c r="C432" s="174">
        <v>0.04683145241105844</v>
      </c>
      <c r="D432" s="174">
        <v>0.11513039816028893</v>
      </c>
      <c r="E432" s="282">
        <v>0.007584153572548607</v>
      </c>
      <c r="F432" s="287">
        <v>5677.675925594522</v>
      </c>
      <c r="G432" s="235">
        <v>38.68730981855362</v>
      </c>
      <c r="H432" s="235">
        <v>35188.343983244275</v>
      </c>
      <c r="I432" s="287">
        <v>15056.787752985867</v>
      </c>
      <c r="J432" s="233">
        <v>260612.61314991023</v>
      </c>
    </row>
    <row r="433">
      <c r="A433" s="184">
        <v>43530.0</v>
      </c>
      <c r="B433" s="174">
        <v>0.07046050003993934</v>
      </c>
      <c r="C433" s="174">
        <v>0.0469714613219188</v>
      </c>
      <c r="D433" s="174">
        <v>0.09684264969440641</v>
      </c>
      <c r="E433" s="282">
        <v>3.515215917057173E-4</v>
      </c>
      <c r="F433" s="287">
        <v>261.17501251993235</v>
      </c>
      <c r="G433" s="235">
        <v>36.71015620348029</v>
      </c>
      <c r="H433" s="235">
        <v>29510.668057649753</v>
      </c>
      <c r="I433" s="287">
        <v>15018.100443167314</v>
      </c>
      <c r="J433" s="233">
        <v>254934.9372243157</v>
      </c>
    </row>
    <row r="434">
      <c r="A434" s="184">
        <v>43529.0</v>
      </c>
      <c r="B434" s="174">
        <v>0.06980715082943817</v>
      </c>
      <c r="C434" s="174">
        <v>0.04710894503080495</v>
      </c>
      <c r="D434" s="174">
        <v>0.09626652004831322</v>
      </c>
      <c r="E434" s="282">
        <v>-3.41404995463574E-5</v>
      </c>
      <c r="F434" s="287">
        <v>-25.391740246413974</v>
      </c>
      <c r="G434" s="235">
        <v>10.253695580609389</v>
      </c>
      <c r="H434" s="235">
        <v>29249.49304512982</v>
      </c>
      <c r="I434" s="287">
        <v>14981.390286963833</v>
      </c>
      <c r="J434" s="233">
        <v>255373.76221179578</v>
      </c>
    </row>
    <row r="435">
      <c r="A435" s="184">
        <v>43528.0</v>
      </c>
      <c r="B435" s="174">
        <v>0.07009638819505516</v>
      </c>
      <c r="C435" s="174">
        <v>0.04724757261473829</v>
      </c>
      <c r="D435" s="174">
        <v>0.09663361945106169</v>
      </c>
      <c r="E435" s="282">
        <v>0.005659810819303734</v>
      </c>
      <c r="F435" s="287">
        <v>4209.585521358924</v>
      </c>
      <c r="G435" s="235">
        <v>61.62036724453847</v>
      </c>
      <c r="H435" s="235">
        <v>29274.884785376235</v>
      </c>
      <c r="I435" s="287">
        <v>14971.136591383223</v>
      </c>
      <c r="J435" s="233">
        <v>255399.1539520422</v>
      </c>
    </row>
    <row r="436">
      <c r="A436" s="184">
        <v>43525.0</v>
      </c>
      <c r="B436" s="174">
        <v>0.056459171900251154</v>
      </c>
      <c r="C436" s="174">
        <v>0.047464661005740164</v>
      </c>
      <c r="D436" s="174">
        <v>0.08311833375535928</v>
      </c>
      <c r="E436" s="282">
        <v>-0.0019339800188333206</v>
      </c>
      <c r="F436" s="287">
        <v>-1437.134361835604</v>
      </c>
      <c r="G436" s="235">
        <v>54.805519832593376</v>
      </c>
      <c r="H436" s="235">
        <v>25065.29926401731</v>
      </c>
      <c r="I436" s="287">
        <v>14909.516224138684</v>
      </c>
      <c r="J436" s="233">
        <v>251189.56843068328</v>
      </c>
    </row>
    <row r="437">
      <c r="A437" s="184">
        <v>43524.0</v>
      </c>
      <c r="B437" s="174">
        <v>0.061402978213428175</v>
      </c>
      <c r="C437" s="174">
        <v>0.04760278416170539</v>
      </c>
      <c r="D437" s="174">
        <v>0.08813971878695104</v>
      </c>
      <c r="E437" s="282">
        <v>-0.00430635627878185</v>
      </c>
      <c r="F437" s="287">
        <v>-3206.2283798358403</v>
      </c>
      <c r="G437" s="235">
        <v>3.3889426662514257</v>
      </c>
      <c r="H437" s="235">
        <v>26502.433625852915</v>
      </c>
      <c r="I437" s="287">
        <v>14854.710704306091</v>
      </c>
      <c r="J437" s="233">
        <v>252626.7027925189</v>
      </c>
    </row>
    <row r="438">
      <c r="A438" s="184">
        <v>43523.0</v>
      </c>
      <c r="B438" s="174">
        <v>0.07049422860739933</v>
      </c>
      <c r="C438" s="174">
        <v>0.04774267622792401</v>
      </c>
      <c r="D438" s="174">
        <v>0.09909309738641688</v>
      </c>
      <c r="E438" s="282">
        <v>-0.005179264926206712</v>
      </c>
      <c r="F438" s="287">
        <v>-3869.974938450847</v>
      </c>
      <c r="G438" s="235">
        <v>12.938863092296792</v>
      </c>
      <c r="H438" s="235">
        <v>29708.662005688755</v>
      </c>
      <c r="I438" s="287">
        <v>14851.32176163984</v>
      </c>
      <c r="J438" s="233">
        <v>255832.93117235473</v>
      </c>
    </row>
    <row r="439">
      <c r="A439" s="184">
        <v>43522.0</v>
      </c>
      <c r="B439" s="174">
        <v>0.0836519579171737</v>
      </c>
      <c r="C439" s="174">
        <v>0.04788546875959052</v>
      </c>
      <c r="D439" s="174">
        <v>0.11233636243064103</v>
      </c>
      <c r="E439" s="282">
        <v>-1.769289822927021E-4</v>
      </c>
      <c r="F439" s="287">
        <v>-132.8870091449935</v>
      </c>
      <c r="G439" s="235">
        <v>12.617621815854653</v>
      </c>
      <c r="H439" s="235">
        <v>33578.6369441396</v>
      </c>
      <c r="I439" s="287">
        <v>14838.382898547543</v>
      </c>
      <c r="J439" s="233">
        <v>259702.90611080558</v>
      </c>
    </row>
    <row r="440">
      <c r="A440" s="184">
        <v>43521.0</v>
      </c>
      <c r="B440" s="174">
        <v>0.08435321017316971</v>
      </c>
      <c r="C440" s="174">
        <v>0.04803162659474117</v>
      </c>
      <c r="D440" s="174">
        <v>0.11312516630876529</v>
      </c>
      <c r="E440" s="282">
        <v>-0.002401913281017447</v>
      </c>
      <c r="F440" s="287">
        <v>-1804.3372020759853</v>
      </c>
      <c r="G440" s="235">
        <v>17.321978954328415</v>
      </c>
      <c r="H440" s="235">
        <v>33711.523953284595</v>
      </c>
      <c r="I440" s="287">
        <v>14825.765276731689</v>
      </c>
      <c r="J440" s="233">
        <v>259835.79311995057</v>
      </c>
    </row>
    <row r="441">
      <c r="A441" s="184">
        <v>43518.0</v>
      </c>
      <c r="B441" s="174">
        <v>0.09083436061895642</v>
      </c>
      <c r="C441" s="174">
        <v>0.048258145780048736</v>
      </c>
      <c r="D441" s="174">
        <v>0.11974200651826811</v>
      </c>
      <c r="E441" s="282">
        <v>0.005251019518996299</v>
      </c>
      <c r="F441" s="287">
        <v>3961.4920050543733</v>
      </c>
      <c r="G441" s="235">
        <v>42.514396601394395</v>
      </c>
      <c r="H441" s="235">
        <v>35515.86115536058</v>
      </c>
      <c r="I441" s="287">
        <v>14808.44329777736</v>
      </c>
      <c r="J441" s="233">
        <v>261640.13032202655</v>
      </c>
    </row>
    <row r="442">
      <c r="A442" s="184">
        <v>43517.0</v>
      </c>
      <c r="B442" s="174">
        <v>0.07771843034632518</v>
      </c>
      <c r="C442" s="174">
        <v>0.04840780148634201</v>
      </c>
      <c r="D442" s="174">
        <v>0.1067157231662636</v>
      </c>
      <c r="E442" s="282">
        <v>-0.002647133613629169</v>
      </c>
      <c r="F442" s="287">
        <v>-1986.572945460095</v>
      </c>
      <c r="G442" s="235">
        <v>26.19082944507171</v>
      </c>
      <c r="H442" s="235">
        <v>31554.369150306207</v>
      </c>
      <c r="I442" s="287">
        <v>14765.928901175965</v>
      </c>
      <c r="J442" s="233">
        <v>257678.63831697218</v>
      </c>
    </row>
    <row r="443">
      <c r="A443" s="184">
        <v>43516.0</v>
      </c>
      <c r="B443" s="174">
        <v>0.08469530707086642</v>
      </c>
      <c r="C443" s="174">
        <v>0.04855591936757428</v>
      </c>
      <c r="D443" s="174">
        <v>0.11378132562182514</v>
      </c>
      <c r="E443" s="282">
        <v>-0.0035476135318535055</v>
      </c>
      <c r="F443" s="287">
        <v>-2669.3964171055704</v>
      </c>
      <c r="G443" s="235">
        <v>23.236169802822133</v>
      </c>
      <c r="H443" s="235">
        <v>33540.9420957663</v>
      </c>
      <c r="I443" s="287">
        <v>14739.738071730893</v>
      </c>
      <c r="J443" s="233">
        <v>259665.21126243228</v>
      </c>
    </row>
    <row r="444">
      <c r="A444" s="184">
        <v>43515.0</v>
      </c>
      <c r="B444" s="174">
        <v>0.09404109931014445</v>
      </c>
      <c r="C444" s="174">
        <v>0.04870630839181669</v>
      </c>
      <c r="D444" s="174">
        <v>0.12321720405462906</v>
      </c>
      <c r="E444" s="282">
        <v>3.404539151474156E-4</v>
      </c>
      <c r="F444" s="287">
        <v>257.0828381375177</v>
      </c>
      <c r="G444" s="235">
        <v>7.352356351835697</v>
      </c>
      <c r="H444" s="235">
        <v>36210.33851287187</v>
      </c>
      <c r="I444" s="287">
        <v>14716.501901928072</v>
      </c>
      <c r="J444" s="233">
        <v>262334.60767953785</v>
      </c>
    </row>
    <row r="445">
      <c r="A445" s="184">
        <v>43514.0</v>
      </c>
      <c r="B445" s="174">
        <v>0.093459222726371</v>
      </c>
      <c r="C445" s="174">
        <v>0.048859448756224104</v>
      </c>
      <c r="D445" s="174">
        <v>0.12272706177509843</v>
      </c>
      <c r="E445" s="282">
        <v>-6.767348657313188E-4</v>
      </c>
      <c r="F445" s="287">
        <v>-510.8406192067778</v>
      </c>
      <c r="G445" s="235">
        <v>34.72246773727891</v>
      </c>
      <c r="H445" s="235">
        <v>35953.255674734355</v>
      </c>
      <c r="I445" s="287">
        <v>14709.149545576236</v>
      </c>
      <c r="J445" s="233">
        <v>262077.52484140033</v>
      </c>
    </row>
    <row r="446">
      <c r="A446" s="184">
        <v>43511.0</v>
      </c>
      <c r="B446" s="174">
        <v>0.09566120918012491</v>
      </c>
      <c r="C446" s="174">
        <v>0.049094615015110615</v>
      </c>
      <c r="D446" s="174">
        <v>0.12506991777179627</v>
      </c>
      <c r="E446" s="282">
        <v>0.004816252744961955</v>
      </c>
      <c r="F446" s="287">
        <v>3638.060716767097</v>
      </c>
      <c r="G446" s="235">
        <v>18.62748784931134</v>
      </c>
      <c r="H446" s="235">
        <v>36464.09629394113</v>
      </c>
      <c r="I446" s="287">
        <v>14674.427077838956</v>
      </c>
      <c r="J446" s="233">
        <v>262588.3654606071</v>
      </c>
    </row>
    <row r="447">
      <c r="A447" s="184">
        <v>43510.0</v>
      </c>
      <c r="B447" s="174">
        <v>0.08344672161358535</v>
      </c>
      <c r="C447" s="174">
        <v>0.049250350140080085</v>
      </c>
      <c r="D447" s="174">
        <v>0.11294871882573587</v>
      </c>
      <c r="E447" s="282">
        <v>0.00108248559798394</v>
      </c>
      <c r="F447" s="287">
        <v>813.7407690832624</v>
      </c>
      <c r="G447" s="235">
        <v>61.6849761045545</v>
      </c>
      <c r="H447" s="235">
        <v>32826.035577174036</v>
      </c>
      <c r="I447" s="287">
        <v>14655.799589989645</v>
      </c>
      <c r="J447" s="233">
        <v>258950.30474384</v>
      </c>
    </row>
    <row r="448">
      <c r="A448" s="184">
        <v>43509.0</v>
      </c>
      <c r="B448" s="174">
        <v>0.08089958633869221</v>
      </c>
      <c r="C448" s="174">
        <v>0.04940473686356064</v>
      </c>
      <c r="D448" s="174">
        <v>0.1104940644504254</v>
      </c>
      <c r="E448" s="282">
        <v>0.003790131084080724</v>
      </c>
      <c r="F448" s="287">
        <v>2846.084607558907</v>
      </c>
      <c r="G448" s="235">
        <v>46.39071926294128</v>
      </c>
      <c r="H448" s="235">
        <v>32012.294808090774</v>
      </c>
      <c r="I448" s="287">
        <v>14594.11461388509</v>
      </c>
      <c r="J448" s="233">
        <v>258136.56397475675</v>
      </c>
    </row>
    <row r="449">
      <c r="A449" s="184">
        <v>43508.0</v>
      </c>
      <c r="B449" s="174">
        <v>0.07129883972716093</v>
      </c>
      <c r="C449" s="174">
        <v>0.04955963028913635</v>
      </c>
      <c r="D449" s="174">
        <v>0.10098610226370568</v>
      </c>
      <c r="E449" s="282">
        <v>-0.0014321877000000533</v>
      </c>
      <c r="F449" s="287">
        <v>-1076.8864652925404</v>
      </c>
      <c r="G449" s="235">
        <v>1.2946312773639146</v>
      </c>
      <c r="H449" s="235">
        <v>29166.210200531867</v>
      </c>
      <c r="I449" s="287">
        <v>14547.72389462215</v>
      </c>
      <c r="J449" s="233">
        <v>255290.47936719784</v>
      </c>
    </row>
    <row r="450">
      <c r="A450" s="184">
        <v>43507.0</v>
      </c>
      <c r="B450" s="174">
        <v>0.07526067184204138</v>
      </c>
      <c r="C450" s="174">
        <v>0.04971365994640121</v>
      </c>
      <c r="D450" s="174">
        <v>0.10504020138798385</v>
      </c>
      <c r="E450" s="282">
        <v>0.005366010946773843</v>
      </c>
      <c r="F450" s="287">
        <v>4049.5872102308786</v>
      </c>
      <c r="G450" s="235">
        <v>20.92287788978674</v>
      </c>
      <c r="H450" s="235">
        <v>30243.096665824407</v>
      </c>
      <c r="I450" s="287">
        <v>14546.429263344786</v>
      </c>
      <c r="J450" s="233">
        <v>256367.36583249038</v>
      </c>
    </row>
    <row r="451">
      <c r="A451" s="184">
        <v>43504.0</v>
      </c>
      <c r="B451" s="174">
        <v>0.06148967537515943</v>
      </c>
      <c r="C451" s="174">
        <v>0.04995250836834609</v>
      </c>
      <c r="D451" s="174">
        <v>0.09141228015728403</v>
      </c>
      <c r="E451" s="282">
        <v>0.004741084821015168</v>
      </c>
      <c r="F451" s="287">
        <v>3558.772476806247</v>
      </c>
      <c r="G451" s="235">
        <v>38.33054705004702</v>
      </c>
      <c r="H451" s="235">
        <v>26193.50945559353</v>
      </c>
      <c r="I451" s="287">
        <v>14525.506385454999</v>
      </c>
      <c r="J451" s="233">
        <v>252317.7786222595</v>
      </c>
    </row>
    <row r="452">
      <c r="A452" s="184">
        <v>43503.0</v>
      </c>
      <c r="B452" s="174">
        <v>0.049204587120360216</v>
      </c>
      <c r="C452" s="174">
        <v>0.050106930768789096</v>
      </c>
      <c r="D452" s="174">
        <v>0.07923677744998048</v>
      </c>
      <c r="E452" s="282">
        <v>-0.002107028212021687</v>
      </c>
      <c r="F452" s="287">
        <v>-1585.460573504155</v>
      </c>
      <c r="G452" s="235">
        <v>60.32695201896919</v>
      </c>
      <c r="H452" s="235">
        <v>22634.73697878728</v>
      </c>
      <c r="I452" s="287">
        <v>14487.175838404952</v>
      </c>
      <c r="J452" s="233">
        <v>248759.00614545326</v>
      </c>
    </row>
    <row r="453">
      <c r="A453" s="184">
        <v>43502.0</v>
      </c>
      <c r="B453" s="174">
        <v>0.054905813500658866</v>
      </c>
      <c r="C453" s="174">
        <v>0.050259939979332896</v>
      </c>
      <c r="D453" s="174">
        <v>0.08504586399891521</v>
      </c>
      <c r="E453" s="282">
        <v>0.0021161747285920835</v>
      </c>
      <c r="F453" s="287">
        <v>1604.5989420762053</v>
      </c>
      <c r="G453" s="235">
        <v>36.18365696045676</v>
      </c>
      <c r="H453" s="235">
        <v>24220.197552291436</v>
      </c>
      <c r="I453" s="287">
        <v>14426.848886385982</v>
      </c>
      <c r="J453" s="233">
        <v>250344.4667189574</v>
      </c>
    </row>
    <row r="454">
      <c r="A454" s="184">
        <v>43501.0</v>
      </c>
      <c r="B454" s="174">
        <v>0.049423561624692657</v>
      </c>
      <c r="C454" s="174">
        <v>0.05041506553242946</v>
      </c>
      <c r="D454" s="174">
        <v>0.07965663833837669</v>
      </c>
      <c r="E454" s="282">
        <v>0.006907614230590621</v>
      </c>
      <c r="F454" s="287">
        <v>5226.645399986446</v>
      </c>
      <c r="G454" s="235">
        <v>25.12101787493141</v>
      </c>
      <c r="H454" s="235">
        <v>22615.59861021523</v>
      </c>
      <c r="I454" s="287">
        <v>14390.665229425525</v>
      </c>
      <c r="J454" s="233">
        <v>249139.8677768812</v>
      </c>
    </row>
    <row r="455">
      <c r="A455" s="184">
        <v>43500.0</v>
      </c>
      <c r="B455" s="174">
        <v>0.031109830218681068</v>
      </c>
      <c r="C455" s="174">
        <v>0.050570392236688175</v>
      </c>
      <c r="D455" s="174">
        <v>0.06143605377480086</v>
      </c>
      <c r="E455" s="282">
        <v>9.269711490308137E-4</v>
      </c>
      <c r="F455" s="287">
        <v>697.6833273308584</v>
      </c>
      <c r="G455" s="235">
        <v>62.672095577102716</v>
      </c>
      <c r="H455" s="235">
        <v>17388.953210228785</v>
      </c>
      <c r="I455" s="287">
        <v>14365.544211550594</v>
      </c>
      <c r="J455" s="233">
        <v>243913.22237689476</v>
      </c>
    </row>
    <row r="456">
      <c r="A456" s="184">
        <v>43497.0</v>
      </c>
      <c r="B456" s="174">
        <v>0.028779498925050925</v>
      </c>
      <c r="C456" s="174">
        <v>0.050808052528330906</v>
      </c>
      <c r="D456" s="174">
        <v>0.05924824340726987</v>
      </c>
      <c r="E456" s="282">
        <v>-0.003579206227042256</v>
      </c>
      <c r="F456" s="287">
        <v>-2691.3865916575887</v>
      </c>
      <c r="G456" s="235">
        <v>8.893645794177322</v>
      </c>
      <c r="H456" s="235">
        <v>16691.269882897926</v>
      </c>
      <c r="I456" s="287">
        <v>14302.87211597349</v>
      </c>
      <c r="J456" s="233">
        <v>243215.5390495639</v>
      </c>
    </row>
    <row r="457">
      <c r="A457" s="184">
        <v>43496.0</v>
      </c>
      <c r="B457" s="174">
        <v>0.038431028046609236</v>
      </c>
      <c r="C457" s="174">
        <v>0.050961588966169875</v>
      </c>
      <c r="D457" s="174">
        <v>0.06900964768476024</v>
      </c>
      <c r="E457" s="282">
        <v>5.163101124013423E-4</v>
      </c>
      <c r="F457" s="287">
        <v>391.20466976371245</v>
      </c>
      <c r="G457" s="235">
        <v>37.622848814774756</v>
      </c>
      <c r="H457" s="235">
        <v>19382.656474555515</v>
      </c>
      <c r="I457" s="287">
        <v>14293.978470179312</v>
      </c>
      <c r="J457" s="233">
        <v>245906.9256412215</v>
      </c>
    </row>
    <row r="458">
      <c r="A458" s="184">
        <v>43495.0</v>
      </c>
      <c r="B458" s="174">
        <v>0.03511986576329391</v>
      </c>
      <c r="C458" s="174">
        <v>0.051118053987111674</v>
      </c>
      <c r="D458" s="174">
        <v>0.06782441067263516</v>
      </c>
      <c r="E458" s="282">
        <v>0.00455596834500677</v>
      </c>
      <c r="F458" s="287">
        <v>3490.7917927453527</v>
      </c>
      <c r="G458" s="235">
        <v>13.880407644635008</v>
      </c>
      <c r="H458" s="235">
        <v>18991.451804791803</v>
      </c>
      <c r="I458" s="287">
        <v>14256.355621364537</v>
      </c>
      <c r="J458" s="233">
        <v>245515.72097145778</v>
      </c>
    </row>
    <row r="459">
      <c r="A459" s="184">
        <v>43494.0</v>
      </c>
      <c r="B459" s="174">
        <v>0.022722834270352953</v>
      </c>
      <c r="C459" s="174">
        <v>0.051275284154520484</v>
      </c>
      <c r="D459" s="174">
        <v>0.055527972623107</v>
      </c>
      <c r="E459" s="282">
        <v>0.0024119855778834765</v>
      </c>
      <c r="F459" s="287">
        <v>1839.6482939199777</v>
      </c>
      <c r="G459" s="235">
        <v>45.57202227940583</v>
      </c>
      <c r="H459" s="235">
        <v>15500.66001204645</v>
      </c>
      <c r="I459" s="287">
        <v>14242.475213719901</v>
      </c>
      <c r="J459" s="233">
        <v>242024.92917871242</v>
      </c>
    </row>
    <row r="460">
      <c r="A460" s="184">
        <v>43493.0</v>
      </c>
      <c r="B460" s="174">
        <v>0.01618167455315913</v>
      </c>
      <c r="C460" s="174">
        <v>0.051431046929700616</v>
      </c>
      <c r="D460" s="174">
        <v>0.04908646753434184</v>
      </c>
      <c r="E460" s="282">
        <v>-0.007639175752967274</v>
      </c>
      <c r="F460" s="287">
        <v>-5812.4311270489125</v>
      </c>
      <c r="G460" s="235">
        <v>10.509225137007638</v>
      </c>
      <c r="H460" s="235">
        <v>13661.011718126472</v>
      </c>
      <c r="I460" s="287">
        <v>14196.903191440495</v>
      </c>
      <c r="J460" s="233">
        <v>240185.28088479245</v>
      </c>
    </row>
    <row r="461">
      <c r="A461" s="184">
        <v>43490.0</v>
      </c>
      <c r="B461" s="174">
        <v>0.03724146550208421</v>
      </c>
      <c r="C461" s="174">
        <v>0.05167342301458248</v>
      </c>
      <c r="D461" s="174">
        <v>0.07030132697540803</v>
      </c>
      <c r="E461" s="282">
        <v>-0.0019226986620508538</v>
      </c>
      <c r="F461" s="287">
        <v>-1474.102171897306</v>
      </c>
      <c r="G461" s="235">
        <v>50.669764094295374</v>
      </c>
      <c r="H461" s="235">
        <v>19473.442845175385</v>
      </c>
      <c r="I461" s="287">
        <v>14186.393966303487</v>
      </c>
      <c r="J461" s="233">
        <v>245997.71201184136</v>
      </c>
    </row>
    <row r="462">
      <c r="A462" s="184">
        <v>43489.0</v>
      </c>
      <c r="B462" s="174">
        <v>0.04269581821972722</v>
      </c>
      <c r="C462" s="174">
        <v>0.051834498980657354</v>
      </c>
      <c r="D462" s="174">
        <v>0.07585873361931435</v>
      </c>
      <c r="E462" s="282">
        <v>0.0075636838077681135</v>
      </c>
      <c r="F462" s="287">
        <v>5810.104491265607</v>
      </c>
      <c r="G462" s="235">
        <v>0.09934167160494001</v>
      </c>
      <c r="H462" s="235">
        <v>20947.54501707269</v>
      </c>
      <c r="I462" s="287">
        <v>14135.724202209192</v>
      </c>
      <c r="J462" s="233">
        <v>247471.81418373866</v>
      </c>
    </row>
    <row r="463">
      <c r="A463" s="184">
        <v>43488.0</v>
      </c>
      <c r="B463" s="174">
        <v>0.021723506147401726</v>
      </c>
      <c r="C463" s="174">
        <v>0.05199775452813686</v>
      </c>
      <c r="D463" s="174">
        <v>0.05499086993591987</v>
      </c>
      <c r="E463" s="282">
        <v>-0.003830641334290064</v>
      </c>
      <c r="F463" s="287">
        <v>-2920.281493782648</v>
      </c>
      <c r="G463" s="235">
        <v>16.349541138689794</v>
      </c>
      <c r="H463" s="235">
        <v>15137.440525807084</v>
      </c>
      <c r="I463" s="287">
        <v>14135.624860537588</v>
      </c>
      <c r="J463" s="233">
        <v>241661.70969247306</v>
      </c>
    </row>
    <row r="464">
      <c r="A464" s="184">
        <v>43487.0</v>
      </c>
      <c r="B464" s="174">
        <v>0.03243174880899743</v>
      </c>
      <c r="C464" s="174">
        <v>0.052157815303694045</v>
      </c>
      <c r="D464" s="174">
        <v>0.06580151702049603</v>
      </c>
      <c r="E464" s="282">
        <v>4.763025871851767E-4</v>
      </c>
      <c r="F464" s="287">
        <v>364.49922927550506</v>
      </c>
      <c r="G464" s="235">
        <v>37.43519742794056</v>
      </c>
      <c r="H464" s="235">
        <v>18057.72201958973</v>
      </c>
      <c r="I464" s="287">
        <v>14119.275319398897</v>
      </c>
      <c r="J464" s="233">
        <v>244581.9911862557</v>
      </c>
    </row>
    <row r="465">
      <c r="A465" s="184">
        <v>43486.0</v>
      </c>
      <c r="B465" s="174">
        <v>0.031200921079626538</v>
      </c>
      <c r="C465" s="174">
        <v>0.052321131009268176</v>
      </c>
      <c r="D465" s="174">
        <v>0.06467517616828006</v>
      </c>
      <c r="E465" s="282">
        <v>-0.0014032997066099726</v>
      </c>
      <c r="F465" s="287">
        <v>-1073.3891557435272</v>
      </c>
      <c r="G465" s="235">
        <v>66.90846104125151</v>
      </c>
      <c r="H465" s="235">
        <v>17693.222790314227</v>
      </c>
      <c r="I465" s="287">
        <v>14081.840121970958</v>
      </c>
      <c r="J465" s="233">
        <v>244217.4919569802</v>
      </c>
    </row>
    <row r="466">
      <c r="A466" s="184">
        <v>43483.0</v>
      </c>
      <c r="B466" s="174">
        <v>0.035286132816070015</v>
      </c>
      <c r="C466" s="174">
        <v>0.05257424352544717</v>
      </c>
      <c r="D466" s="174">
        <v>0.06893066321908282</v>
      </c>
      <c r="E466" s="282">
        <v>0.005179806487977421</v>
      </c>
      <c r="F466" s="287">
        <v>3974.5143220823957</v>
      </c>
      <c r="G466" s="235">
        <v>14.042101200007416</v>
      </c>
      <c r="H466" s="235">
        <v>18766.611946057754</v>
      </c>
      <c r="I466" s="287">
        <v>14014.931660929706</v>
      </c>
      <c r="J466" s="233">
        <v>245290.88111272373</v>
      </c>
    </row>
    <row r="467">
      <c r="A467" s="184">
        <v>43482.0</v>
      </c>
      <c r="B467" s="174">
        <v>0.020753046526853315</v>
      </c>
      <c r="C467" s="174">
        <v>0.05274068878855407</v>
      </c>
      <c r="D467" s="174">
        <v>0.05450409244658159</v>
      </c>
      <c r="E467" s="282">
        <v>0.0016815021746315897</v>
      </c>
      <c r="F467" s="287">
        <v>1283.5493071419187</v>
      </c>
      <c r="G467" s="235">
        <v>39.687121041598</v>
      </c>
      <c r="H467" s="235">
        <v>14792.097623975358</v>
      </c>
      <c r="I467" s="287">
        <v>14000.889559729698</v>
      </c>
      <c r="J467" s="233">
        <v>241316.36679064133</v>
      </c>
    </row>
    <row r="468">
      <c r="A468" s="184">
        <v>43481.0</v>
      </c>
      <c r="B468" s="174">
        <v>0.01607357801033007</v>
      </c>
      <c r="C468" s="174">
        <v>0.05290524531890134</v>
      </c>
      <c r="D468" s="174">
        <v>0.04992993076506023</v>
      </c>
      <c r="E468" s="282">
        <v>0.0019625570627334055</v>
      </c>
      <c r="F468" s="287">
        <v>1495.5692754302872</v>
      </c>
      <c r="G468" s="235">
        <v>52.054121234992884</v>
      </c>
      <c r="H468" s="235">
        <v>13508.54831683344</v>
      </c>
      <c r="I468" s="287">
        <v>13961.2024386881</v>
      </c>
      <c r="J468" s="233">
        <v>240032.8174834994</v>
      </c>
    </row>
    <row r="469">
      <c r="A469" s="184">
        <v>43480.0</v>
      </c>
      <c r="B469" s="174">
        <v>0.010578522792898472</v>
      </c>
      <c r="C469" s="174">
        <v>0.05306993292978209</v>
      </c>
      <c r="D469" s="174">
        <v>0.04454026626672847</v>
      </c>
      <c r="E469" s="282">
        <v>0.0069681327882974015</v>
      </c>
      <c r="F469" s="287">
        <v>5299.653730948805</v>
      </c>
      <c r="G469" s="235">
        <v>40.844892644396324</v>
      </c>
      <c r="H469" s="235">
        <v>12012.979041403152</v>
      </c>
      <c r="I469" s="287">
        <v>13909.148317453108</v>
      </c>
      <c r="J469" s="233">
        <v>238537.24820806913</v>
      </c>
    </row>
    <row r="470">
      <c r="A470" s="184">
        <v>43479.0</v>
      </c>
      <c r="B470" s="174">
        <v>-0.009099032324119176</v>
      </c>
      <c r="C470" s="174">
        <v>0.0532345796689712</v>
      </c>
      <c r="D470" s="174">
        <v>0.024968075713248928</v>
      </c>
      <c r="E470" s="282">
        <v>-0.0013309080117461056</v>
      </c>
      <c r="F470" s="287">
        <v>-1005.1764414050849</v>
      </c>
      <c r="G470" s="235">
        <v>7.693479818490188</v>
      </c>
      <c r="H470" s="235">
        <v>6713.325310454347</v>
      </c>
      <c r="I470" s="287">
        <v>13868.303424808711</v>
      </c>
      <c r="J470" s="233">
        <v>233237.59447712032</v>
      </c>
    </row>
    <row r="471">
      <c r="A471" s="184">
        <v>43476.0</v>
      </c>
      <c r="B471" s="174">
        <v>-0.005386042386884008</v>
      </c>
      <c r="C471" s="174">
        <v>0.05348725431033831</v>
      </c>
      <c r="D471" s="174">
        <v>0.02884276307271008</v>
      </c>
      <c r="E471" s="282">
        <v>0.00469199610460346</v>
      </c>
      <c r="F471" s="287">
        <v>3548.3751288020285</v>
      </c>
      <c r="G471" s="235">
        <v>46.07866444415935</v>
      </c>
      <c r="H471" s="235">
        <v>7718.501751859432</v>
      </c>
      <c r="I471" s="287">
        <v>13860.609944990221</v>
      </c>
      <c r="J471" s="233">
        <v>234242.7709185254</v>
      </c>
    </row>
    <row r="472">
      <c r="A472" s="184">
        <v>43475.0</v>
      </c>
      <c r="B472" s="174">
        <v>-0.018702849987226385</v>
      </c>
      <c r="C472" s="174">
        <v>0.05365110120076633</v>
      </c>
      <c r="D472" s="174">
        <v>0.015630808178118502</v>
      </c>
      <c r="E472" s="282">
        <v>0.0031153515750357696</v>
      </c>
      <c r="F472" s="287">
        <v>2344.9654326584423</v>
      </c>
      <c r="G472" s="235">
        <v>31.90102012256662</v>
      </c>
      <c r="H472" s="235">
        <v>4170.126623057404</v>
      </c>
      <c r="I472" s="287">
        <v>13814.531280546062</v>
      </c>
      <c r="J472" s="233">
        <v>230694.39578972338</v>
      </c>
    </row>
    <row r="473">
      <c r="A473" s="184">
        <v>43474.0</v>
      </c>
      <c r="B473" s="174">
        <v>-0.02757552423643742</v>
      </c>
      <c r="C473" s="174">
        <v>0.05381323816825745</v>
      </c>
      <c r="D473" s="174">
        <v>0.006861892381077441</v>
      </c>
      <c r="E473" s="282">
        <v>-0.006148885624137399</v>
      </c>
      <c r="F473" s="287">
        <v>-4613.926830865792</v>
      </c>
      <c r="G473" s="235">
        <v>24.27810843400919</v>
      </c>
      <c r="H473" s="235">
        <v>1825.1611903989615</v>
      </c>
      <c r="I473" s="287">
        <v>13782.630260423495</v>
      </c>
      <c r="J473" s="233">
        <v>228349.43035706494</v>
      </c>
    </row>
    <row r="474">
      <c r="A474" s="184">
        <v>43473.0</v>
      </c>
      <c r="B474" s="174">
        <v>-0.006511413750870578</v>
      </c>
      <c r="C474" s="174">
        <v>0.05021772585191894</v>
      </c>
      <c r="D474" s="174">
        <v>0.02428103398213508</v>
      </c>
      <c r="E474" s="282">
        <v>7.337664794203282E-5</v>
      </c>
      <c r="F474" s="287">
        <v>55.57760459772544</v>
      </c>
      <c r="G474" s="235">
        <v>4.614058174070333</v>
      </c>
      <c r="H474" s="235">
        <v>6439.0880212647535</v>
      </c>
      <c r="I474" s="287">
        <v>13758.352151989486</v>
      </c>
      <c r="J474" s="233">
        <v>232963.35718793073</v>
      </c>
    </row>
    <row r="475">
      <c r="A475" s="184">
        <v>43472.0</v>
      </c>
      <c r="B475" s="174">
        <v>-0.006796858285736722</v>
      </c>
      <c r="C475" s="174">
        <v>0.05037225380265329</v>
      </c>
      <c r="D475" s="174">
        <v>0.02414552916822349</v>
      </c>
      <c r="E475" s="282">
        <v>0.0010201072762126258</v>
      </c>
      <c r="F475" s="287">
        <v>756.3123805186478</v>
      </c>
      <c r="G475" s="235">
        <v>51.76518324385925</v>
      </c>
      <c r="H475" s="235">
        <v>6383.510416667028</v>
      </c>
      <c r="I475" s="287">
        <v>13753.738093815415</v>
      </c>
      <c r="J475" s="233">
        <v>232907.779583333</v>
      </c>
    </row>
    <row r="476">
      <c r="A476" s="184">
        <v>43469.0</v>
      </c>
      <c r="B476" s="174">
        <v>-0.009704032134441393</v>
      </c>
      <c r="C476" s="174">
        <v>0.050614444980812016</v>
      </c>
      <c r="D476" s="174">
        <v>0.021387127167248287</v>
      </c>
      <c r="E476" s="282">
        <v>8.29696767178929E-4</v>
      </c>
      <c r="F476" s="287">
        <v>614.5136146547156</v>
      </c>
      <c r="G476" s="235">
        <v>18.84470443783041</v>
      </c>
      <c r="H476" s="235">
        <v>5627.19803614838</v>
      </c>
      <c r="I476" s="287">
        <v>13701.972910571556</v>
      </c>
      <c r="J476" s="233">
        <v>233651.46720281435</v>
      </c>
    </row>
    <row r="477">
      <c r="A477" s="184">
        <v>43468.0</v>
      </c>
      <c r="B477" s="174">
        <v>-0.01207705428150812</v>
      </c>
      <c r="C477" s="174">
        <v>0.050771919226074665</v>
      </c>
      <c r="D477" s="174">
        <v>0.01911083742230966</v>
      </c>
      <c r="E477" s="282">
        <v>-0.002760054552418007</v>
      </c>
      <c r="F477" s="287">
        <v>-2042.5340020433068</v>
      </c>
      <c r="G477" s="235">
        <v>50.11543396840141</v>
      </c>
      <c r="H477" s="235">
        <v>5012.684421493665</v>
      </c>
      <c r="I477" s="287">
        <v>13683.128206133726</v>
      </c>
      <c r="J477" s="233">
        <v>233036.95358815964</v>
      </c>
    </row>
    <row r="478">
      <c r="A478" s="184">
        <v>43467.0</v>
      </c>
      <c r="B478" s="174">
        <v>-0.004303258571931364</v>
      </c>
      <c r="C478" s="174">
        <v>0.05092999315264212</v>
      </c>
      <c r="D478" s="174">
        <v>0.02698173390290574</v>
      </c>
      <c r="E478" s="282">
        <v>0.011366770783686054</v>
      </c>
      <c r="F478" s="287">
        <v>8435.013006869878</v>
      </c>
      <c r="G478" s="235">
        <v>38.05105115666082</v>
      </c>
      <c r="H478" s="235">
        <v>7055.218423536971</v>
      </c>
      <c r="I478" s="287">
        <v>13633.012772165324</v>
      </c>
      <c r="J478" s="233">
        <v>235079.48759020295</v>
      </c>
    </row>
    <row r="479">
      <c r="A479" s="184">
        <v>43465.0</v>
      </c>
      <c r="B479" s="174">
        <v>-0.03670876632263612</v>
      </c>
      <c r="C479" s="174">
        <v>0.05113467111724737</v>
      </c>
      <c r="D479" s="174">
        <v>-0.005298045407913918</v>
      </c>
      <c r="E479" s="282">
        <v>0.009347080423062672</v>
      </c>
      <c r="F479" s="287">
        <v>6809.818670859677</v>
      </c>
      <c r="G479" s="235">
        <v>69.75797755393755</v>
      </c>
      <c r="H479" s="235">
        <v>-1379.7945833329068</v>
      </c>
      <c r="I479" s="287">
        <v>13594.961721008664</v>
      </c>
      <c r="J479" s="233">
        <v>226644.47458333307</v>
      </c>
    </row>
    <row r="480">
      <c r="A480" s="184">
        <v>43462.0</v>
      </c>
      <c r="B480" s="174">
        <v>-0.06521945252038464</v>
      </c>
      <c r="C480" s="174">
        <v>0.05137866271155333</v>
      </c>
      <c r="D480" s="174">
        <v>-0.03159598964389223</v>
      </c>
      <c r="E480" s="282">
        <v>0.001083388623082496</v>
      </c>
      <c r="F480" s="287">
        <v>781.3461984310998</v>
      </c>
      <c r="G480" s="235">
        <v>46.51655043926158</v>
      </c>
      <c r="H480" s="235">
        <v>-8189.613254192584</v>
      </c>
      <c r="I480" s="287">
        <v>13525.203743454726</v>
      </c>
      <c r="J480" s="233">
        <v>219834.6559124734</v>
      </c>
    </row>
    <row r="481">
      <c r="A481" s="184">
        <v>43461.0</v>
      </c>
      <c r="B481" s="174">
        <v>-0.051995294460589356</v>
      </c>
      <c r="C481" s="174">
        <v>0.03509030422089737</v>
      </c>
      <c r="D481" s="174">
        <v>-0.034712567606604336</v>
      </c>
      <c r="E481" s="282">
        <v>0.0042773073710906445</v>
      </c>
      <c r="F481" s="287">
        <v>3099.6498084677733</v>
      </c>
      <c r="G481" s="235">
        <v>65.72292135585653</v>
      </c>
      <c r="H481" s="235">
        <v>-8970.959452623683</v>
      </c>
      <c r="I481" s="287">
        <v>13478.687193015465</v>
      </c>
      <c r="J481" s="233">
        <v>219053.3097140423</v>
      </c>
    </row>
    <row r="482">
      <c r="A482" s="184">
        <v>43458.0</v>
      </c>
      <c r="B482" s="174">
        <v>-0.06429999301923986</v>
      </c>
      <c r="C482" s="174">
        <v>0.035254705542195904</v>
      </c>
      <c r="D482" s="174">
        <v>-0.0469252931787206</v>
      </c>
      <c r="E482" s="282">
        <v>-0.0071941685624485685</v>
      </c>
      <c r="F482" s="287">
        <v>-5248.528845272958</v>
      </c>
      <c r="G482" s="235">
        <v>10.479460104518804</v>
      </c>
      <c r="H482" s="235">
        <v>-12070.609261091457</v>
      </c>
      <c r="I482" s="287">
        <v>13412.964271659608</v>
      </c>
      <c r="J482" s="233">
        <v>215953.65990557452</v>
      </c>
    </row>
    <row r="483">
      <c r="A483" s="184">
        <v>43455.0</v>
      </c>
      <c r="B483" s="174">
        <v>-0.0441002854921098</v>
      </c>
      <c r="C483" s="174">
        <v>0.03541878426554163</v>
      </c>
      <c r="D483" s="174">
        <v>-0.026644722160476274</v>
      </c>
      <c r="E483" s="282">
        <v>-0.0032602409205492074</v>
      </c>
      <c r="F483" s="287">
        <v>-2395.6307324855006</v>
      </c>
      <c r="G483" s="235">
        <v>2.6411957369377745</v>
      </c>
      <c r="H483" s="235">
        <v>-6822.080415818498</v>
      </c>
      <c r="I483" s="287">
        <v>13402.484811555089</v>
      </c>
      <c r="J483" s="233">
        <v>221202.18875084748</v>
      </c>
    </row>
    <row r="484">
      <c r="A484" s="184">
        <v>43454.0</v>
      </c>
      <c r="B484" s="174">
        <v>-0.034848161799057774</v>
      </c>
      <c r="C484" s="174">
        <v>0.03552520634880252</v>
      </c>
      <c r="D484" s="174">
        <v>-0.01734015009990498</v>
      </c>
      <c r="E484" s="282">
        <v>-0.00631882185268003</v>
      </c>
      <c r="F484" s="287">
        <v>-4675.418749566423</v>
      </c>
      <c r="G484" s="235">
        <v>19.72304615651365</v>
      </c>
      <c r="H484" s="235">
        <v>-4426.449683332998</v>
      </c>
      <c r="I484" s="287">
        <v>13399.84361581815</v>
      </c>
      <c r="J484" s="233">
        <v>223597.81948333298</v>
      </c>
    </row>
    <row r="485">
      <c r="A485" s="184">
        <v>43453.0</v>
      </c>
      <c r="B485" s="174">
        <v>-0.01661722776954977</v>
      </c>
      <c r="C485" s="174">
        <v>0.03563363114989122</v>
      </c>
      <c r="D485" s="174">
        <v>9.782867741029695E-4</v>
      </c>
      <c r="E485" s="282">
        <v>-5.484628086120089E-4</v>
      </c>
      <c r="F485" s="287">
        <v>-411.12577378045535</v>
      </c>
      <c r="G485" s="235">
        <v>2.9628170731525625</v>
      </c>
      <c r="H485" s="235">
        <v>248.9690662334251</v>
      </c>
      <c r="I485" s="287">
        <v>13380.120569661636</v>
      </c>
      <c r="J485" s="233">
        <v>228273.2382328994</v>
      </c>
    </row>
    <row r="486">
      <c r="A486" s="184">
        <v>43452.0</v>
      </c>
      <c r="B486" s="174">
        <v>-0.015060310284896003</v>
      </c>
      <c r="C486" s="174">
        <v>0.03574534172198292</v>
      </c>
      <c r="D486" s="174">
        <v>0.0026018754452421214</v>
      </c>
      <c r="E486" s="282">
        <v>-0.0035066865447422185</v>
      </c>
      <c r="F486" s="287">
        <v>-2646.2075766524067</v>
      </c>
      <c r="G486" s="235">
        <v>34.105706777226885</v>
      </c>
      <c r="H486" s="235">
        <v>660.0948400138805</v>
      </c>
      <c r="I486" s="287">
        <v>13377.157752588484</v>
      </c>
      <c r="J486" s="233">
        <v>228684.36400667985</v>
      </c>
    </row>
    <row r="487">
      <c r="A487" s="184">
        <v>43451.0</v>
      </c>
      <c r="B487" s="174">
        <v>-0.004644432829983166</v>
      </c>
      <c r="C487" s="174">
        <v>0.03585804181054627</v>
      </c>
      <c r="D487" s="174">
        <v>0.013073439314107599</v>
      </c>
      <c r="E487" s="282">
        <v>-0.006223062615017826</v>
      </c>
      <c r="F487" s="287">
        <v>-4734.547498141648</v>
      </c>
      <c r="G487" s="235">
        <v>20.374859595746067</v>
      </c>
      <c r="H487" s="235">
        <v>3306.302416666287</v>
      </c>
      <c r="I487" s="287">
        <v>13343.052045811257</v>
      </c>
      <c r="J487" s="233">
        <v>231330.57158333226</v>
      </c>
    </row>
    <row r="488">
      <c r="A488" s="184">
        <v>43448.0</v>
      </c>
      <c r="B488" s="174">
        <v>0.014115577506598743</v>
      </c>
      <c r="C488" s="174">
        <v>0.03603582150320427</v>
      </c>
      <c r="D488" s="174">
        <v>0.03195192987921747</v>
      </c>
      <c r="E488" s="282">
        <v>0.0023319107199010086</v>
      </c>
      <c r="F488" s="287">
        <v>1765.2667218117858</v>
      </c>
      <c r="G488" s="235">
        <v>60.154512793388335</v>
      </c>
      <c r="H488" s="235">
        <v>8040.849914807935</v>
      </c>
      <c r="I488" s="287">
        <v>13322.677186215511</v>
      </c>
      <c r="J488" s="233">
        <v>236065.1190814739</v>
      </c>
    </row>
    <row r="489">
      <c r="A489" s="184">
        <v>43447.0</v>
      </c>
      <c r="B489" s="174">
        <v>0.007109606854741917</v>
      </c>
      <c r="C489" s="174">
        <v>0.03615448025260011</v>
      </c>
      <c r="D489" s="174">
        <v>0.025019402003922154</v>
      </c>
      <c r="E489" s="282">
        <v>-0.008791698920552727</v>
      </c>
      <c r="F489" s="287">
        <v>-6713.952874382841</v>
      </c>
      <c r="G489" s="235">
        <v>27.567924919292135</v>
      </c>
      <c r="H489" s="235">
        <v>6275.58319299615</v>
      </c>
      <c r="I489" s="287">
        <v>13262.522673422123</v>
      </c>
      <c r="J489" s="233">
        <v>234299.85235966212</v>
      </c>
    </row>
    <row r="490">
      <c r="A490" s="184">
        <v>43446.0</v>
      </c>
      <c r="B490" s="174">
        <v>0.03398773895785785</v>
      </c>
      <c r="C490" s="174">
        <v>0.036272990956647974</v>
      </c>
      <c r="D490" s="174">
        <v>0.051956240591480775</v>
      </c>
      <c r="E490" s="282">
        <v>0.0036666107098259474</v>
      </c>
      <c r="F490" s="287">
        <v>2824.696450686024</v>
      </c>
      <c r="G490" s="235">
        <v>44.16082469770722</v>
      </c>
      <c r="H490" s="235">
        <v>12989.536067378991</v>
      </c>
      <c r="I490" s="287">
        <v>13234.95474850283</v>
      </c>
      <c r="J490" s="233">
        <v>241013.80523404496</v>
      </c>
    </row>
    <row r="491">
      <c r="A491" s="184">
        <v>43445.0</v>
      </c>
      <c r="B491" s="174">
        <v>0.02276641404178667</v>
      </c>
      <c r="C491" s="174">
        <v>0.036396164159323674</v>
      </c>
      <c r="D491" s="174">
        <v>0.04079593181538387</v>
      </c>
      <c r="E491" s="282">
        <v>0.003680104219369965</v>
      </c>
      <c r="F491" s="287">
        <v>2824.696450686024</v>
      </c>
      <c r="G491" s="235">
        <v>32.28631186948433</v>
      </c>
      <c r="H491" s="235">
        <v>10164.839616692967</v>
      </c>
      <c r="I491" s="287">
        <v>13190.793923805124</v>
      </c>
      <c r="J491" s="233">
        <v>238189.10878335894</v>
      </c>
    </row>
    <row r="492">
      <c r="A492" s="184">
        <v>43444.0</v>
      </c>
      <c r="B492" s="174">
        <v>0.011468133642431145</v>
      </c>
      <c r="C492" s="174">
        <v>0.036518626953263605</v>
      </c>
      <c r="D492" s="174">
        <v>0.029558315641804424</v>
      </c>
      <c r="E492" s="282">
        <v>-0.003678000460441846</v>
      </c>
      <c r="F492" s="287">
        <v>-2812.692457120167</v>
      </c>
      <c r="G492" s="235">
        <v>44.21612259368107</v>
      </c>
      <c r="H492" s="235">
        <v>7340.143166006943</v>
      </c>
      <c r="I492" s="287">
        <v>13158.50761193564</v>
      </c>
      <c r="J492" s="233">
        <v>235364.41233267292</v>
      </c>
    </row>
    <row r="493">
      <c r="A493" s="184">
        <v>43441.0</v>
      </c>
      <c r="B493" s="174">
        <v>0.022910853482567575</v>
      </c>
      <c r="C493" s="174">
        <v>0.036704749242911845</v>
      </c>
      <c r="D493" s="174">
        <v>0.04109323462453693</v>
      </c>
      <c r="E493" s="282">
        <v>-0.0019151225228755408</v>
      </c>
      <c r="F493" s="287">
        <v>-1469.946193961252</v>
      </c>
      <c r="G493" s="235">
        <v>14.438239256425515</v>
      </c>
      <c r="H493" s="235">
        <v>10152.83562312711</v>
      </c>
      <c r="I493" s="287">
        <v>13114.291489341958</v>
      </c>
      <c r="J493" s="233">
        <v>238177.10478979308</v>
      </c>
    </row>
    <row r="494">
      <c r="A494" s="184">
        <v>43440.0</v>
      </c>
      <c r="B494" s="174">
        <v>0.0289583147592419</v>
      </c>
      <c r="C494" s="174">
        <v>0.03682926799383097</v>
      </c>
      <c r="D494" s="174">
        <v>0.04720237858356797</v>
      </c>
      <c r="E494" s="282">
        <v>-0.0027408133303412807</v>
      </c>
      <c r="F494" s="287">
        <v>-2091.4319944336894</v>
      </c>
      <c r="G494" s="235">
        <v>25.042731898614306</v>
      </c>
      <c r="H494" s="235">
        <v>11622.781817088362</v>
      </c>
      <c r="I494" s="287">
        <v>13099.853250085533</v>
      </c>
      <c r="J494" s="233">
        <v>239647.05098375434</v>
      </c>
    </row>
    <row r="495">
      <c r="A495" s="184">
        <v>43439.0</v>
      </c>
      <c r="B495" s="174">
        <v>0.03757104636213792</v>
      </c>
      <c r="C495" s="174">
        <v>0.03695556523126303</v>
      </c>
      <c r="D495" s="174">
        <v>0.05588708740587738</v>
      </c>
      <c r="E495" s="282">
        <v>-0.005454736143825844</v>
      </c>
      <c r="F495" s="287">
        <v>-4124.768616428279</v>
      </c>
      <c r="G495" s="235">
        <v>1.8423045928772208</v>
      </c>
      <c r="H495" s="235">
        <v>13714.213811522051</v>
      </c>
      <c r="I495" s="287">
        <v>13074.810518186918</v>
      </c>
      <c r="J495" s="233">
        <v>241738.48297818803</v>
      </c>
    </row>
    <row r="496">
      <c r="A496" s="184">
        <v>43438.0</v>
      </c>
      <c r="B496" s="174">
        <v>0.05456902550243162</v>
      </c>
      <c r="C496" s="174">
        <v>0.03708403711919484</v>
      </c>
      <c r="D496" s="174">
        <v>0.07294874021365798</v>
      </c>
      <c r="E496" s="282">
        <v>0.006444377671344359</v>
      </c>
      <c r="F496" s="287">
        <v>4899.698445441783</v>
      </c>
      <c r="G496" s="235">
        <v>41.25850242084119</v>
      </c>
      <c r="H496" s="235">
        <v>17838.98242795033</v>
      </c>
      <c r="I496" s="287">
        <v>13072.96821359404</v>
      </c>
      <c r="J496" s="233">
        <v>247363.2515946163</v>
      </c>
    </row>
    <row r="497">
      <c r="A497" s="184">
        <v>43437.0</v>
      </c>
      <c r="B497" s="174">
        <v>0.034656397825284214</v>
      </c>
      <c r="C497" s="174">
        <v>0.03721682384342533</v>
      </c>
      <c r="D497" s="174">
        <v>0.053101924737618836</v>
      </c>
      <c r="E497" s="282">
        <v>0.004015209031078492</v>
      </c>
      <c r="F497" s="287">
        <v>3033.11385251538</v>
      </c>
      <c r="G497" s="235">
        <v>37.81827136457988</v>
      </c>
      <c r="H497" s="235">
        <v>12939.283982508547</v>
      </c>
      <c r="I497" s="287">
        <v>13031.709711173198</v>
      </c>
      <c r="J497" s="233">
        <v>242463.55314917452</v>
      </c>
    </row>
    <row r="498">
      <c r="A498" s="184">
        <v>43434.0</v>
      </c>
      <c r="B498" s="174">
        <v>0.02232622037946754</v>
      </c>
      <c r="C498" s="174">
        <v>0.03741374698013705</v>
      </c>
      <c r="D498" s="174">
        <v>0.040869346996525995</v>
      </c>
      <c r="E498" s="282">
        <v>0.006411471272596643</v>
      </c>
      <c r="F498" s="287">
        <v>4823.818517757929</v>
      </c>
      <c r="G498" s="235">
        <v>23.537006985452678</v>
      </c>
      <c r="H498" s="235">
        <v>9906.170129993166</v>
      </c>
      <c r="I498" s="287">
        <v>12993.891439808618</v>
      </c>
      <c r="J498" s="233">
        <v>239430.43929665914</v>
      </c>
    </row>
    <row r="499">
      <c r="A499" s="184">
        <v>43433.0</v>
      </c>
      <c r="B499" s="174">
        <v>3.594202800492191E-5</v>
      </c>
      <c r="C499" s="174">
        <v>0.0375440813864028</v>
      </c>
      <c r="D499" s="174">
        <v>0.021041025448755506</v>
      </c>
      <c r="E499" s="282">
        <v>0.00254102390945811</v>
      </c>
      <c r="F499" s="287">
        <v>1898.0691673596739</v>
      </c>
      <c r="G499" s="235">
        <v>35.6357372670695</v>
      </c>
      <c r="H499" s="235">
        <v>5082.351612235238</v>
      </c>
      <c r="I499" s="287">
        <v>12970.354432823166</v>
      </c>
      <c r="J499" s="233">
        <v>234606.6207789012</v>
      </c>
    </row>
    <row r="500">
      <c r="A500" s="184">
        <v>43432.0</v>
      </c>
      <c r="B500" s="174">
        <v>-0.0087091745469105</v>
      </c>
      <c r="C500" s="174">
        <v>0.03852352688888412</v>
      </c>
      <c r="D500" s="174">
        <v>0.013228064030858574</v>
      </c>
      <c r="E500" s="282">
        <v>0.001626387875592536</v>
      </c>
      <c r="F500" s="287">
        <v>1213.29762213293</v>
      </c>
      <c r="G500" s="235">
        <v>53.87387440766848</v>
      </c>
      <c r="H500" s="235">
        <v>3184.2824448755637</v>
      </c>
      <c r="I500" s="287">
        <v>12934.718695556096</v>
      </c>
      <c r="J500" s="233">
        <v>232708.55161154154</v>
      </c>
    </row>
    <row r="501">
      <c r="A501" s="184">
        <v>43431.0</v>
      </c>
      <c r="B501" s="174">
        <v>-0.006863723282988801</v>
      </c>
      <c r="C501" s="174">
        <v>0.031722111514494354</v>
      </c>
      <c r="D501" s="174">
        <v>0.008215670628452418</v>
      </c>
      <c r="E501" s="282">
        <v>0.004760480106295384</v>
      </c>
      <c r="F501" s="287">
        <v>3553.495530645945</v>
      </c>
      <c r="G501" s="235">
        <v>66.12407934189086</v>
      </c>
      <c r="H501" s="235">
        <v>1970.9848227426337</v>
      </c>
      <c r="I501" s="287">
        <v>12880.844821148426</v>
      </c>
      <c r="J501" s="233">
        <v>231495.2539894086</v>
      </c>
    </row>
    <row r="502">
      <c r="A502" s="184">
        <v>43430.0</v>
      </c>
      <c r="B502" s="174">
        <v>-0.021749392501512393</v>
      </c>
      <c r="C502" s="174">
        <v>0.03182983471901514</v>
      </c>
      <c r="D502" s="174">
        <v>-0.006618791386110954</v>
      </c>
      <c r="E502" s="282">
        <v>-6.717505881487437E-4</v>
      </c>
      <c r="F502" s="287">
        <v>-499.0461245699553</v>
      </c>
      <c r="G502" s="235">
        <v>13.45301180769042</v>
      </c>
      <c r="H502" s="235">
        <v>-1582.5107079033114</v>
      </c>
      <c r="I502" s="287">
        <v>12814.720741806535</v>
      </c>
      <c r="J502" s="233">
        <v>227941.75845876266</v>
      </c>
    </row>
    <row r="503">
      <c r="A503" s="184">
        <v>43427.0</v>
      </c>
      <c r="B503" s="174">
        <v>-0.01977251665228957</v>
      </c>
      <c r="C503" s="174">
        <v>0.03199332270992037</v>
      </c>
      <c r="D503" s="174">
        <v>-0.004554825238308751</v>
      </c>
      <c r="E503" s="282">
        <v>0.008303543250652294</v>
      </c>
      <c r="F503" s="287">
        <v>6169.489999999874</v>
      </c>
      <c r="G503" s="235">
        <v>64.30038358814194</v>
      </c>
      <c r="H503" s="235">
        <v>-1083.4645833333561</v>
      </c>
      <c r="I503" s="287">
        <v>12801.267729998845</v>
      </c>
      <c r="J503" s="233">
        <v>228440.80458333262</v>
      </c>
    </row>
    <row r="504">
      <c r="A504" s="184">
        <v>43426.0</v>
      </c>
      <c r="B504" s="174">
        <v>-0.0458629297298455</v>
      </c>
      <c r="C504" s="174">
        <v>0.03210126596726527</v>
      </c>
      <c r="D504" s="174">
        <v>-0.030593894877879575</v>
      </c>
      <c r="E504" s="282">
        <v>-0.004515561096302035</v>
      </c>
      <c r="F504" s="287">
        <v>-3327.1799999996438</v>
      </c>
      <c r="G504" s="235">
        <v>46.24984195473832</v>
      </c>
      <c r="H504" s="235">
        <v>-7252.95458333323</v>
      </c>
      <c r="I504" s="287">
        <v>12736.967346410702</v>
      </c>
      <c r="J504" s="233">
        <v>222271.31458333274</v>
      </c>
    </row>
    <row r="505">
      <c r="A505" s="184">
        <v>43425.0</v>
      </c>
      <c r="B505" s="174">
        <v>-0.03195676209564424</v>
      </c>
      <c r="C505" s="174">
        <v>0.03220672611782076</v>
      </c>
      <c r="D505" s="174">
        <v>-0.016613823458666827</v>
      </c>
      <c r="E505" s="282">
        <v>-2.8427626844752183E-4</v>
      </c>
      <c r="F505" s="287">
        <v>-212.70000000006985</v>
      </c>
      <c r="G505" s="235">
        <v>60.43699765851661</v>
      </c>
      <c r="H505" s="235">
        <v>-3925.7745833335866</v>
      </c>
      <c r="I505" s="287">
        <v>12690.717504455963</v>
      </c>
      <c r="J505" s="233">
        <v>225598.4945833324</v>
      </c>
    </row>
    <row r="506">
      <c r="A506" s="184">
        <v>43424.0</v>
      </c>
      <c r="B506" s="174">
        <v>-0.031160754048932097</v>
      </c>
      <c r="C506" s="174">
        <v>0.03231471791895918</v>
      </c>
      <c r="D506" s="174">
        <v>-0.015766369277004418</v>
      </c>
      <c r="E506" s="282">
        <v>9.207559383486892E-4</v>
      </c>
      <c r="F506" s="287">
        <v>689.1199999993896</v>
      </c>
      <c r="G506" s="235">
        <v>52.05716559929072</v>
      </c>
      <c r="H506" s="235">
        <v>-3713.074583333517</v>
      </c>
      <c r="I506" s="287">
        <v>12630.280506797446</v>
      </c>
      <c r="J506" s="233">
        <v>225811.19458333246</v>
      </c>
    </row>
    <row r="507">
      <c r="A507" s="184">
        <v>43423.0</v>
      </c>
      <c r="B507" s="174">
        <v>-0.03420174415859606</v>
      </c>
      <c r="C507" s="174">
        <v>0.03242361123657465</v>
      </c>
      <c r="D507" s="174">
        <v>-0.01875548377894473</v>
      </c>
      <c r="E507" s="282">
        <v>-0.0047312606794350206</v>
      </c>
      <c r="F507" s="287">
        <v>-3537.7499999993943</v>
      </c>
      <c r="G507" s="235">
        <v>22.78369577549386</v>
      </c>
      <c r="H507" s="235">
        <v>-4402.194583332906</v>
      </c>
      <c r="I507" s="287">
        <v>12578.223341198156</v>
      </c>
      <c r="J507" s="233">
        <v>225122.07458333307</v>
      </c>
    </row>
    <row r="508">
      <c r="A508" s="184">
        <v>43420.0</v>
      </c>
      <c r="B508" s="174">
        <v>-0.01922807480849478</v>
      </c>
      <c r="C508" s="174">
        <v>0.03259117902576953</v>
      </c>
      <c r="D508" s="174">
        <v>-0.00370198693263208</v>
      </c>
      <c r="E508" s="282">
        <v>-0.00336628102615499</v>
      </c>
      <c r="F508" s="287">
        <v>-2529.0100000000093</v>
      </c>
      <c r="G508" s="235">
        <v>61.8366582839232</v>
      </c>
      <c r="H508" s="235">
        <v>-864.4445833335121</v>
      </c>
      <c r="I508" s="287">
        <v>12555.439645422663</v>
      </c>
      <c r="J508" s="233">
        <v>228659.82458333246</v>
      </c>
    </row>
    <row r="509">
      <c r="A509" s="184">
        <v>43419.0</v>
      </c>
      <c r="B509" s="174">
        <v>-0.008426517142431263</v>
      </c>
      <c r="C509" s="174">
        <v>0.032703481964022396</v>
      </c>
      <c r="D509" s="174">
        <v>0.007153070647830143</v>
      </c>
      <c r="E509" s="282">
        <v>-0.0026363246202494783</v>
      </c>
      <c r="F509" s="287">
        <v>-1987.2777264205638</v>
      </c>
      <c r="G509" s="235">
        <v>23.366668396612507</v>
      </c>
      <c r="H509" s="235">
        <v>1664.5654166664972</v>
      </c>
      <c r="I509" s="287">
        <v>12493.60298713874</v>
      </c>
      <c r="J509" s="233">
        <v>231188.83458333247</v>
      </c>
    </row>
    <row r="510">
      <c r="A510" s="184">
        <v>43418.0</v>
      </c>
      <c r="B510" s="174">
        <v>1.1372917779422023E-4</v>
      </c>
      <c r="C510" s="174">
        <v>0.032818018550232475</v>
      </c>
      <c r="D510" s="174">
        <v>0.015747880968366657</v>
      </c>
      <c r="E510" s="282">
        <v>-0.002145182113007036</v>
      </c>
      <c r="F510" s="287">
        <v>-1613.0170538490815</v>
      </c>
      <c r="G510" s="235">
        <v>50.667529093917935</v>
      </c>
      <c r="H510" s="235">
        <v>3651.843143087061</v>
      </c>
      <c r="I510" s="287">
        <v>12470.236318742127</v>
      </c>
      <c r="J510" s="233">
        <v>233176.11230975302</v>
      </c>
    </row>
    <row r="511">
      <c r="A511" s="184">
        <v>43417.0</v>
      </c>
      <c r="B511" s="174">
        <v>0.007094657580939429</v>
      </c>
      <c r="C511" s="174">
        <v>0.03293452872641661</v>
      </c>
      <c r="D511" s="174">
        <v>0.02278431356890334</v>
      </c>
      <c r="E511" s="282">
        <v>-0.008319567976317903</v>
      </c>
      <c r="F511" s="287">
        <v>-6269.1146087696925</v>
      </c>
      <c r="G511" s="235">
        <v>0.5621226165661497</v>
      </c>
      <c r="H511" s="235">
        <v>5264.8601969361425</v>
      </c>
      <c r="I511" s="287">
        <v>12419.568789648209</v>
      </c>
      <c r="J511" s="233">
        <v>235089.12936360211</v>
      </c>
    </row>
    <row r="512">
      <c r="A512" s="184">
        <v>43416.0</v>
      </c>
      <c r="B512" s="174">
        <v>0.034348122072383</v>
      </c>
      <c r="C512" s="174">
        <v>0.03305300601196853</v>
      </c>
      <c r="D512" s="174">
        <v>0.05009421936752755</v>
      </c>
      <c r="E512" s="282">
        <v>0.008189766060041851</v>
      </c>
      <c r="F512" s="287">
        <v>6222.646452101801</v>
      </c>
      <c r="G512" s="235">
        <v>37.78490602692047</v>
      </c>
      <c r="H512" s="235">
        <v>11533.974805705835</v>
      </c>
      <c r="I512" s="287">
        <v>12419.006667031643</v>
      </c>
      <c r="J512" s="233">
        <v>241358.2439723718</v>
      </c>
    </row>
    <row r="513">
      <c r="A513" s="184">
        <v>43413.0</v>
      </c>
      <c r="B513" s="174">
        <v>0.007362474354927928</v>
      </c>
      <c r="C513" s="174">
        <v>0.03323571763207085</v>
      </c>
      <c r="D513" s="174">
        <v>0.02319561350478436</v>
      </c>
      <c r="E513" s="282">
        <v>0.0037431794883777876</v>
      </c>
      <c r="F513" s="287">
        <v>2820.803721427445</v>
      </c>
      <c r="G513" s="235">
        <v>21.10898229050664</v>
      </c>
      <c r="H513" s="235">
        <v>5311.328353604034</v>
      </c>
      <c r="I513" s="287">
        <v>12381.221761004723</v>
      </c>
      <c r="J513" s="233">
        <v>235135.59752027</v>
      </c>
    </row>
    <row r="514">
      <c r="A514" s="184">
        <v>43412.0</v>
      </c>
      <c r="B514" s="174">
        <v>-0.004974523621128133</v>
      </c>
      <c r="C514" s="174">
        <v>0.03335637814154066</v>
      </c>
      <c r="D514" s="174">
        <v>0.010916096900350152</v>
      </c>
      <c r="E514" s="282">
        <v>0.004612148643205853</v>
      </c>
      <c r="F514" s="287">
        <v>3462.635831032896</v>
      </c>
      <c r="G514" s="235">
        <v>69.69385004785659</v>
      </c>
      <c r="H514" s="235">
        <v>2490.524632176589</v>
      </c>
      <c r="I514" s="287">
        <v>12360.112778714216</v>
      </c>
      <c r="J514" s="233">
        <v>232314.79379884255</v>
      </c>
    </row>
    <row r="515">
      <c r="A515" s="184">
        <v>43411.0</v>
      </c>
      <c r="B515" s="174">
        <v>-0.02022392382094574</v>
      </c>
      <c r="C515" s="174">
        <v>0.033476370081743916</v>
      </c>
      <c r="D515" s="174">
        <v>-0.004276140427068213</v>
      </c>
      <c r="E515" s="282">
        <v>0.004351036086827473</v>
      </c>
      <c r="F515" s="287">
        <v>3251.535832534395</v>
      </c>
      <c r="G515" s="235">
        <v>68.97513657168172</v>
      </c>
      <c r="H515" s="235">
        <v>-972.111198856307</v>
      </c>
      <c r="I515" s="287">
        <v>12290.418928666359</v>
      </c>
      <c r="J515" s="233">
        <v>228852.15796780965</v>
      </c>
    </row>
    <row r="516">
      <c r="A516" s="184">
        <v>43410.0</v>
      </c>
      <c r="B516" s="174">
        <v>-0.034649497672225464</v>
      </c>
      <c r="C516" s="174">
        <v>0.03359529709842957</v>
      </c>
      <c r="D516" s="174">
        <v>-0.018645058724082297</v>
      </c>
      <c r="E516" s="282">
        <v>-4.0274685451264955E-4</v>
      </c>
      <c r="F516" s="287">
        <v>-299.66378621332933</v>
      </c>
      <c r="G516" s="235">
        <v>0.7492484508081942</v>
      </c>
      <c r="H516" s="235">
        <v>-4223.647031390702</v>
      </c>
      <c r="I516" s="287">
        <v>12221.443792094677</v>
      </c>
      <c r="J516" s="233">
        <v>225600.62213527525</v>
      </c>
    </row>
    <row r="517">
      <c r="A517" s="184">
        <v>43409.0</v>
      </c>
      <c r="B517" s="174">
        <v>-0.03344365602055932</v>
      </c>
      <c r="C517" s="174">
        <v>0.033713248043811546</v>
      </c>
      <c r="D517" s="174">
        <v>-0.017383026508043083</v>
      </c>
      <c r="E517" s="282">
        <v>0.0010659391752275284</v>
      </c>
      <c r="F517" s="287">
        <v>793.431437883346</v>
      </c>
      <c r="G517" s="235">
        <v>6.085105598139614</v>
      </c>
      <c r="H517" s="235">
        <v>-3923.9832451773727</v>
      </c>
      <c r="I517" s="287">
        <v>12220.69454364387</v>
      </c>
      <c r="J517" s="233">
        <v>225900.28592148857</v>
      </c>
    </row>
    <row r="518">
      <c r="A518" s="184">
        <v>43406.0</v>
      </c>
      <c r="B518" s="174">
        <v>-0.03715624718681164</v>
      </c>
      <c r="C518" s="174">
        <v>0.033893619565711845</v>
      </c>
      <c r="D518" s="174">
        <v>-0.02100969061724991</v>
      </c>
      <c r="E518" s="282">
        <v>-0.005540363585952912</v>
      </c>
      <c r="F518" s="287">
        <v>-4119.571724047297</v>
      </c>
      <c r="G518" s="235">
        <v>42.26459200200921</v>
      </c>
      <c r="H518" s="235">
        <v>-4717.414683060719</v>
      </c>
      <c r="I518" s="287">
        <v>12214.609438045729</v>
      </c>
      <c r="J518" s="233">
        <v>225106.85448360522</v>
      </c>
    </row>
    <row r="519">
      <c r="A519" s="184">
        <v>43405.0</v>
      </c>
      <c r="B519" s="174">
        <v>-0.018875586993082075</v>
      </c>
      <c r="C519" s="174">
        <v>0.034013361037511014</v>
      </c>
      <c r="D519" s="174">
        <v>-0.0026719868715804505</v>
      </c>
      <c r="E519" s="282">
        <v>-0.0042085426039435905</v>
      </c>
      <c r="F519" s="287">
        <v>-3146.625361613621</v>
      </c>
      <c r="G519" s="235">
        <v>2.8834733067306018</v>
      </c>
      <c r="H519" s="235">
        <v>-597.8429590134219</v>
      </c>
      <c r="I519" s="287">
        <v>12172.34484604372</v>
      </c>
      <c r="J519" s="233">
        <v>229226.42620765252</v>
      </c>
    </row>
    <row r="520">
      <c r="A520" s="184">
        <v>43404.0</v>
      </c>
      <c r="B520" s="174">
        <v>-0.004847889182859048</v>
      </c>
      <c r="C520" s="174">
        <v>0.034136476936573894</v>
      </c>
      <c r="D520" s="174">
        <v>0.01143270795837582</v>
      </c>
      <c r="E520" s="282">
        <v>0.007910853707849642</v>
      </c>
      <c r="F520" s="287">
        <v>5730.798936119121</v>
      </c>
      <c r="G520" s="235">
        <v>36.73008875096963</v>
      </c>
      <c r="H520" s="235">
        <v>2548.782402600199</v>
      </c>
      <c r="I520" s="287">
        <v>12169.461372736989</v>
      </c>
      <c r="J520" s="233">
        <v>232373.05156926613</v>
      </c>
    </row>
    <row r="521">
      <c r="A521" s="184">
        <v>43403.0</v>
      </c>
      <c r="B521" s="174">
        <v>-0.03316513507858478</v>
      </c>
      <c r="C521" s="174">
        <v>0.03426244986276382</v>
      </c>
      <c r="D521" s="174">
        <v>-0.014325787246797778</v>
      </c>
      <c r="E521" s="282">
        <v>-0.002054128894014207</v>
      </c>
      <c r="F521" s="287">
        <v>-1475.1449621581214</v>
      </c>
      <c r="G521" s="235">
        <v>10.545800537278094</v>
      </c>
      <c r="H521" s="235">
        <v>-3182.016533518922</v>
      </c>
      <c r="I521" s="287">
        <v>12132.731283986019</v>
      </c>
      <c r="J521" s="233">
        <v>226642.252633147</v>
      </c>
    </row>
    <row r="522">
      <c r="A522" s="184">
        <v>43402.0</v>
      </c>
      <c r="B522" s="174">
        <v>-0.02661948405491938</v>
      </c>
      <c r="C522" s="174">
        <v>0.03438595920943559</v>
      </c>
      <c r="D522" s="174">
        <v>-0.007712224105004623</v>
      </c>
      <c r="E522" s="282">
        <v>-3.7509586553821357E-4</v>
      </c>
      <c r="F522" s="287">
        <v>-269.92335786967965</v>
      </c>
      <c r="G522" s="235">
        <v>0.3774141686558663</v>
      </c>
      <c r="H522" s="235">
        <v>-1706.871571360801</v>
      </c>
      <c r="I522" s="287">
        <v>12122.18548344874</v>
      </c>
      <c r="J522" s="233">
        <v>228117.3975953051</v>
      </c>
    </row>
    <row r="523">
      <c r="A523" s="184">
        <v>43399.0</v>
      </c>
      <c r="B523" s="174">
        <v>-0.02553900885664023</v>
      </c>
      <c r="C523" s="174">
        <v>0.03457431121871021</v>
      </c>
      <c r="D523" s="174">
        <v>-0.006528182786037845</v>
      </c>
      <c r="E523" s="282">
        <v>-0.0028673333562460684</v>
      </c>
      <c r="F523" s="287">
        <v>-2064.140472003639</v>
      </c>
      <c r="G523" s="235">
        <v>37.32389481720242</v>
      </c>
      <c r="H523" s="235">
        <v>-1436.9482134911214</v>
      </c>
      <c r="I523" s="287">
        <v>12121.808069280085</v>
      </c>
      <c r="J523" s="233">
        <v>228387.32095317479</v>
      </c>
    </row>
    <row r="524">
      <c r="A524" s="184">
        <v>43398.0</v>
      </c>
      <c r="B524" s="174">
        <v>-0.016220717387209288</v>
      </c>
      <c r="C524" s="174">
        <v>0.03470113204755023</v>
      </c>
      <c r="D524" s="174">
        <v>0.002859841633500361</v>
      </c>
      <c r="E524" s="282">
        <v>-0.004079100643472726</v>
      </c>
      <c r="F524" s="287">
        <v>-2944.88926021708</v>
      </c>
      <c r="G524" s="235">
        <v>36.6385693853832</v>
      </c>
      <c r="H524" s="235">
        <v>627.1922585125176</v>
      </c>
      <c r="I524" s="287">
        <v>12084.484174462883</v>
      </c>
      <c r="J524" s="233">
        <v>224391.46142517842</v>
      </c>
    </row>
    <row r="525">
      <c r="A525" s="184">
        <v>43397.0</v>
      </c>
      <c r="B525" s="174">
        <v>-0.0028028384891698108</v>
      </c>
      <c r="C525" s="174">
        <v>0.03482648033326865</v>
      </c>
      <c r="D525" s="174">
        <v>0.016346643797804393</v>
      </c>
      <c r="E525" s="282">
        <v>0.006340090583865679</v>
      </c>
      <c r="F525" s="287">
        <v>4595.8721404225325</v>
      </c>
      <c r="G525" s="235">
        <v>22.960817609831246</v>
      </c>
      <c r="H525" s="235">
        <v>3572.0815187295975</v>
      </c>
      <c r="I525" s="287">
        <v>12047.8456050775</v>
      </c>
      <c r="J525" s="233">
        <v>227336.3506853955</v>
      </c>
    </row>
    <row r="526">
      <c r="A526" s="184">
        <v>43396.0</v>
      </c>
      <c r="B526" s="174">
        <v>-0.023922295870940125</v>
      </c>
      <c r="C526" s="174">
        <v>0.03495465277074576</v>
      </c>
      <c r="D526" s="174">
        <v>-0.004702337446335626</v>
      </c>
      <c r="E526" s="282">
        <v>-0.0019197027618262827</v>
      </c>
      <c r="F526" s="287">
        <v>-1382.7518005134789</v>
      </c>
      <c r="G526" s="235">
        <v>33.241987730835845</v>
      </c>
      <c r="H526" s="235">
        <v>-1023.7906216929348</v>
      </c>
      <c r="I526" s="287">
        <v>12024.884787467669</v>
      </c>
      <c r="J526" s="233">
        <v>222740.47854497298</v>
      </c>
    </row>
    <row r="527">
      <c r="A527" s="184">
        <v>43395.0</v>
      </c>
      <c r="B527" s="174">
        <v>-0.017634714257761426</v>
      </c>
      <c r="C527" s="174">
        <v>0.03508095033906559</v>
      </c>
      <c r="D527" s="174">
        <v>0.0016546894000186523</v>
      </c>
      <c r="E527" s="282">
        <v>-8.577562484765536E-4</v>
      </c>
      <c r="F527" s="287">
        <v>-619.0233774435162</v>
      </c>
      <c r="G527" s="235">
        <v>26.737069840720164</v>
      </c>
      <c r="H527" s="235">
        <v>358.9611788205441</v>
      </c>
      <c r="I527" s="287">
        <v>11991.642799736832</v>
      </c>
      <c r="J527" s="233">
        <v>224123.23034548646</v>
      </c>
    </row>
    <row r="528">
      <c r="A528" s="184">
        <v>43392.0</v>
      </c>
      <c r="B528" s="174">
        <v>-0.014862474044740445</v>
      </c>
      <c r="C528" s="174">
        <v>0.035273779404874354</v>
      </c>
      <c r="D528" s="174">
        <v>0.0045329574615268495</v>
      </c>
      <c r="E528" s="282">
        <v>-0.002515839621044748</v>
      </c>
      <c r="F528" s="287">
        <v>-1817.182189463174</v>
      </c>
      <c r="G528" s="235">
        <v>49.221626755158425</v>
      </c>
      <c r="H528" s="235">
        <v>977.9845562640603</v>
      </c>
      <c r="I528" s="287">
        <v>11964.905729896112</v>
      </c>
      <c r="J528" s="233">
        <v>224742.25372292998</v>
      </c>
    </row>
    <row r="529">
      <c r="A529" s="184">
        <v>43391.0</v>
      </c>
      <c r="B529" s="174">
        <v>-0.006463547329615148</v>
      </c>
      <c r="C529" s="174">
        <v>0.035403654600144316</v>
      </c>
      <c r="D529" s="174">
        <v>0.013003296582601291</v>
      </c>
      <c r="E529" s="282">
        <v>-7.155676404166996E-4</v>
      </c>
      <c r="F529" s="287">
        <v>-518.1523293737537</v>
      </c>
      <c r="G529" s="235">
        <v>8.88615686672103</v>
      </c>
      <c r="H529" s="235">
        <v>2795.1667457272342</v>
      </c>
      <c r="I529" s="287">
        <v>11915.684103140955</v>
      </c>
      <c r="J529" s="233">
        <v>226559.43591239315</v>
      </c>
    </row>
    <row r="530">
      <c r="A530" s="184">
        <v>43390.0</v>
      </c>
      <c r="B530" s="174">
        <v>-0.004068190602449104</v>
      </c>
      <c r="C530" s="174">
        <v>0.03553574073361293</v>
      </c>
      <c r="D530" s="174">
        <v>0.01547128140910461</v>
      </c>
      <c r="E530" s="282">
        <v>0.006732434728090939</v>
      </c>
      <c r="F530" s="287">
        <v>4878.536625793962</v>
      </c>
      <c r="G530" s="235">
        <v>69.15394971236437</v>
      </c>
      <c r="H530" s="235">
        <v>3313.319075100988</v>
      </c>
      <c r="I530" s="287">
        <v>11906.797946274233</v>
      </c>
      <c r="J530" s="233">
        <v>227077.5882417669</v>
      </c>
    </row>
    <row r="531">
      <c r="A531" s="184">
        <v>43389.0</v>
      </c>
      <c r="B531" s="174">
        <v>-0.02694898756298694</v>
      </c>
      <c r="C531" s="174">
        <v>0.035669232023725385</v>
      </c>
      <c r="D531" s="174">
        <v>-0.0073361148209829625</v>
      </c>
      <c r="E531" s="282">
        <v>0.0035393151297347745</v>
      </c>
      <c r="F531" s="287">
        <v>2547.4337884285533</v>
      </c>
      <c r="G531" s="235">
        <v>44.686966336169114</v>
      </c>
      <c r="H531" s="235">
        <v>-1565.2175506929743</v>
      </c>
      <c r="I531" s="287">
        <v>11837.643996561868</v>
      </c>
      <c r="J531" s="233">
        <v>222199.05161597295</v>
      </c>
    </row>
    <row r="532">
      <c r="A532" s="184">
        <v>43388.0</v>
      </c>
      <c r="B532" s="174">
        <v>-0.0390319443179792</v>
      </c>
      <c r="C532" s="174">
        <v>0.035800606254535884</v>
      </c>
      <c r="D532" s="174">
        <v>-0.019346834919218736</v>
      </c>
      <c r="E532" s="282">
        <v>-0.0014138210049140787</v>
      </c>
      <c r="F532" s="287">
        <v>-1014.0007360986083</v>
      </c>
      <c r="G532" s="235">
        <v>43.87238502493376</v>
      </c>
      <c r="H532" s="235">
        <v>-4112.651339121528</v>
      </c>
      <c r="I532" s="287">
        <v>11792.9570302257</v>
      </c>
      <c r="J532" s="233">
        <v>219651.6178275444</v>
      </c>
    </row>
    <row r="533">
      <c r="A533" s="184">
        <v>43385.0</v>
      </c>
      <c r="B533" s="174">
        <v>-0.03445053781692099</v>
      </c>
      <c r="C533" s="174">
        <v>0.035997760705240855</v>
      </c>
      <c r="D533" s="174">
        <v>-0.014657022239142602</v>
      </c>
      <c r="E533" s="282">
        <v>0.002504791950054665</v>
      </c>
      <c r="F533" s="287">
        <v>1798.9913722827805</v>
      </c>
      <c r="G533" s="235">
        <v>36.31254965301015</v>
      </c>
      <c r="H533" s="235">
        <v>-3098.6506030229193</v>
      </c>
      <c r="I533" s="287">
        <v>11749.084645200766</v>
      </c>
      <c r="J533" s="233">
        <v>220665.61856364302</v>
      </c>
    </row>
    <row r="534">
      <c r="A534" s="184">
        <v>43384.0</v>
      </c>
      <c r="B534" s="174">
        <v>-0.043162539357061505</v>
      </c>
      <c r="C534" s="174">
        <v>0.036130516947785525</v>
      </c>
      <c r="D534" s="174">
        <v>-0.023251922246658594</v>
      </c>
      <c r="E534" s="282">
        <v>-0.006181786885590801</v>
      </c>
      <c r="F534" s="287">
        <v>-4544.819662591174</v>
      </c>
      <c r="G534" s="235">
        <v>59.846230776249186</v>
      </c>
      <c r="H534" s="235">
        <v>-4897.6419753057</v>
      </c>
      <c r="I534" s="287">
        <v>11712.772095547756</v>
      </c>
      <c r="J534" s="233">
        <v>218866.62719136022</v>
      </c>
    </row>
    <row r="535">
      <c r="A535" s="184">
        <v>43383.0</v>
      </c>
      <c r="B535" s="174">
        <v>-0.02166489142544973</v>
      </c>
      <c r="C535" s="174">
        <v>0.036263123560267556</v>
      </c>
      <c r="D535" s="174">
        <v>-0.0016811981536607843</v>
      </c>
      <c r="E535" s="282">
        <v>-0.010776171318431624</v>
      </c>
      <c r="F535" s="287">
        <v>-7971.564515127549</v>
      </c>
      <c r="G535" s="235">
        <v>65.76945478952469</v>
      </c>
      <c r="H535" s="235">
        <v>-352.82231271452565</v>
      </c>
      <c r="I535" s="287">
        <v>11652.925864771507</v>
      </c>
      <c r="J535" s="233">
        <v>223411.4468539514</v>
      </c>
    </row>
    <row r="536">
      <c r="A536" s="184">
        <v>43382.0</v>
      </c>
      <c r="B536" s="174">
        <v>0.020631534298018835</v>
      </c>
      <c r="C536" s="174">
        <v>0.0321494846513948</v>
      </c>
      <c r="D536" s="174">
        <v>0.036440200114169916</v>
      </c>
      <c r="E536" s="282">
        <v>0.00531702982637258</v>
      </c>
      <c r="F536" s="287">
        <v>3980.3294436278793</v>
      </c>
      <c r="G536" s="235">
        <v>67.67742915271504</v>
      </c>
      <c r="H536" s="235">
        <v>7618.742202413024</v>
      </c>
      <c r="I536" s="287">
        <v>11587.156409981983</v>
      </c>
      <c r="J536" s="233">
        <v>231383.01136907894</v>
      </c>
    </row>
    <row r="537">
      <c r="A537" s="184">
        <v>43381.0</v>
      </c>
      <c r="B537" s="174">
        <v>0.0016000209446443599</v>
      </c>
      <c r="C537" s="174">
        <v>0.0322760653643303</v>
      </c>
      <c r="D537" s="174">
        <v>0.01747092950624737</v>
      </c>
      <c r="E537" s="282">
        <v>-0.0014794116733835572</v>
      </c>
      <c r="F537" s="287">
        <v>-1101.5992876103755</v>
      </c>
      <c r="G537" s="235">
        <v>62.24659218756076</v>
      </c>
      <c r="H537" s="235">
        <v>3638.4127587851444</v>
      </c>
      <c r="I537" s="287">
        <v>11519.478980829268</v>
      </c>
      <c r="J537" s="233">
        <v>227402.68192545106</v>
      </c>
    </row>
    <row r="538">
      <c r="A538" s="184">
        <v>43378.0</v>
      </c>
      <c r="B538" s="174">
        <v>0.006929280349802693</v>
      </c>
      <c r="C538" s="174">
        <v>0.03246158036731141</v>
      </c>
      <c r="D538" s="174">
        <v>0.02289141104817745</v>
      </c>
      <c r="E538" s="282">
        <v>-0.005291623244090104</v>
      </c>
      <c r="F538" s="287">
        <v>-3946.0769163490977</v>
      </c>
      <c r="G538" s="235">
        <v>69.80890298612917</v>
      </c>
      <c r="H538" s="235">
        <v>4740.01204639552</v>
      </c>
      <c r="I538" s="287">
        <v>11457.232388641707</v>
      </c>
      <c r="J538" s="233">
        <v>228504.28121306145</v>
      </c>
    </row>
    <row r="539">
      <c r="A539" s="184">
        <v>43377.0</v>
      </c>
      <c r="B539" s="174">
        <v>0.02608833247633182</v>
      </c>
      <c r="C539" s="174">
        <v>0.0325888346864189</v>
      </c>
      <c r="D539" s="174">
        <v>0.0421130371483253</v>
      </c>
      <c r="E539" s="282">
        <v>-0.011363258314965197</v>
      </c>
      <c r="F539" s="287">
        <v>-8528.881351170474</v>
      </c>
      <c r="G539" s="235">
        <v>68.62460608485578</v>
      </c>
      <c r="H539" s="235">
        <v>8686.088962744618</v>
      </c>
      <c r="I539" s="287">
        <v>11387.423485655578</v>
      </c>
      <c r="J539" s="233">
        <v>232450.35812941054</v>
      </c>
    </row>
    <row r="540">
      <c r="A540" s="184">
        <v>43376.0</v>
      </c>
      <c r="B540" s="174">
        <v>0.06769151136757656</v>
      </c>
      <c r="C540" s="174">
        <v>0.03271961648436921</v>
      </c>
      <c r="D540" s="174">
        <v>0.0837988274415997</v>
      </c>
      <c r="E540" s="282">
        <v>-6.267159344653131E-4</v>
      </c>
      <c r="F540" s="287">
        <v>-471.8801288761424</v>
      </c>
      <c r="G540" s="235">
        <v>53.81608974353079</v>
      </c>
      <c r="H540" s="235">
        <v>17214.97031391509</v>
      </c>
      <c r="I540" s="287">
        <v>11318.798879570722</v>
      </c>
      <c r="J540" s="233">
        <v>240979.23948058102</v>
      </c>
    </row>
    <row r="541">
      <c r="A541" s="184">
        <v>43375.0</v>
      </c>
      <c r="B541" s="174">
        <v>0.07028211593305206</v>
      </c>
      <c r="C541" s="174">
        <v>0.032856870711476034</v>
      </c>
      <c r="D541" s="174">
        <v>0.08645699995120319</v>
      </c>
      <c r="E541" s="282">
        <v>0.004017369960942634</v>
      </c>
      <c r="F541" s="287">
        <v>3026.738314251834</v>
      </c>
      <c r="G541" s="235">
        <v>32.46144647595567</v>
      </c>
      <c r="H541" s="235">
        <v>17686.850442791234</v>
      </c>
      <c r="I541" s="287">
        <v>11264.982789827192</v>
      </c>
      <c r="J541" s="233">
        <v>241451.11960945715</v>
      </c>
    </row>
    <row r="542">
      <c r="A542" s="184">
        <v>43374.0</v>
      </c>
      <c r="B542" s="174">
        <v>0.055721177608100296</v>
      </c>
      <c r="C542" s="174">
        <v>0.032995664795962595</v>
      </c>
      <c r="D542" s="174">
        <v>0.07196438761623049</v>
      </c>
      <c r="E542" s="282">
        <v>0.003589952463695833</v>
      </c>
      <c r="F542" s="287">
        <v>2693.8506155570867</v>
      </c>
      <c r="G542" s="235">
        <v>2.5511090117573723</v>
      </c>
      <c r="H542" s="235">
        <v>14660.1121285394</v>
      </c>
      <c r="I542" s="287">
        <v>11232.521343351236</v>
      </c>
      <c r="J542" s="233">
        <v>238424.38129520533</v>
      </c>
    </row>
    <row r="543">
      <c r="A543" s="184">
        <v>43371.0</v>
      </c>
      <c r="B543" s="174">
        <v>0.04027795562907376</v>
      </c>
      <c r="C543" s="174">
        <v>0.033195843020937116</v>
      </c>
      <c r="D543" s="174">
        <v>0.059097029414228404</v>
      </c>
      <c r="E543" s="282">
        <v>0.00677918722612495</v>
      </c>
      <c r="F543" s="287">
        <v>5065.345523592406</v>
      </c>
      <c r="G543" s="235">
        <v>59.62146911847931</v>
      </c>
      <c r="H543" s="235">
        <v>11966.261512982313</v>
      </c>
      <c r="I543" s="287">
        <v>11229.970234339478</v>
      </c>
      <c r="J543" s="233">
        <v>235730.53067964825</v>
      </c>
    </row>
    <row r="544">
      <c r="A544" s="184">
        <v>43370.0</v>
      </c>
      <c r="B544" s="174">
        <v>0.015325478898464208</v>
      </c>
      <c r="C544" s="174">
        <v>0.03333380540055374</v>
      </c>
      <c r="D544" s="174">
        <v>0.034222765012793414</v>
      </c>
      <c r="E544" s="282">
        <v>0.005473921041500007</v>
      </c>
      <c r="F544" s="287">
        <v>4062.3354921025843</v>
      </c>
      <c r="G544" s="235">
        <v>42.12813181168015</v>
      </c>
      <c r="H544" s="235">
        <v>6900.915989389908</v>
      </c>
      <c r="I544" s="287">
        <v>11170.348765220999</v>
      </c>
      <c r="J544" s="233">
        <v>230665.18515605584</v>
      </c>
    </row>
    <row r="545">
      <c r="A545" s="184">
        <v>43369.0</v>
      </c>
      <c r="B545" s="279">
        <v>-0.004839957187520758</v>
      </c>
      <c r="C545" s="279">
        <v>0.033469715301580195</v>
      </c>
      <c r="D545" s="279">
        <v>0.014134377684206681</v>
      </c>
      <c r="E545" s="282">
        <v>0.005504049775378918</v>
      </c>
      <c r="F545" s="287">
        <v>4062.335492102585</v>
      </c>
      <c r="G545" s="235">
        <v>39.9771367922366</v>
      </c>
      <c r="H545" s="235">
        <v>2838.5804972873234</v>
      </c>
      <c r="I545" s="287">
        <v>11128.220633409319</v>
      </c>
      <c r="J545" s="233">
        <v>226602.84966395327</v>
      </c>
    </row>
    <row r="546">
      <c r="A546" s="184">
        <v>43368.0</v>
      </c>
      <c r="B546" s="174">
        <v>-0.025168575408574763</v>
      </c>
      <c r="C546" s="174">
        <v>0.03360416157348079</v>
      </c>
      <c r="D546" s="174">
        <v>-0.006118021526248904</v>
      </c>
      <c r="E546" s="282">
        <v>-0.0017679294970196866</v>
      </c>
      <c r="F546" s="287">
        <v>-1305.1714495637116</v>
      </c>
      <c r="G546" s="235">
        <v>21.198591983339536</v>
      </c>
      <c r="H546" s="235">
        <v>-1223.7549948152614</v>
      </c>
      <c r="I546" s="287">
        <v>11088.243496617082</v>
      </c>
      <c r="J546" s="233">
        <v>222540.5141718507</v>
      </c>
    </row>
    <row r="547">
      <c r="A547" s="184">
        <v>43367.0</v>
      </c>
      <c r="B547" s="174">
        <v>-0.018717271603325272</v>
      </c>
      <c r="C547" s="174">
        <v>0.033737092599600865</v>
      </c>
      <c r="D547" s="174">
        <v>4.0864228077285643E-4</v>
      </c>
      <c r="E547" s="282">
        <v>-0.001507570976524701</v>
      </c>
      <c r="F547" s="287">
        <v>-1114.9297788109961</v>
      </c>
      <c r="G547" s="235">
        <v>50.87592601946111</v>
      </c>
      <c r="H547" s="235">
        <v>81.41645474845018</v>
      </c>
      <c r="I547" s="287">
        <v>11067.044904633743</v>
      </c>
      <c r="J547" s="233">
        <v>223845.6856214144</v>
      </c>
    </row>
    <row r="548">
      <c r="A548" s="184">
        <v>43364.0</v>
      </c>
      <c r="B548" s="174">
        <v>-0.01319857335483105</v>
      </c>
      <c r="C548" s="174">
        <v>0.03393587968876503</v>
      </c>
      <c r="D548" s="174">
        <v>0.006040035028278814</v>
      </c>
      <c r="E548" s="282">
        <v>7.653645880530359E-4</v>
      </c>
      <c r="F548" s="287">
        <v>567.9695879530783</v>
      </c>
      <c r="G548" s="235">
        <v>7.304815457038232</v>
      </c>
      <c r="H548" s="235">
        <v>1196.3462335594463</v>
      </c>
      <c r="I548" s="287">
        <v>11016.168978614282</v>
      </c>
      <c r="J548" s="233">
        <v>224960.6154002254</v>
      </c>
    </row>
    <row r="549">
      <c r="A549" s="184">
        <v>43363.0</v>
      </c>
      <c r="B549" s="174">
        <v>-0.01613104208515715</v>
      </c>
      <c r="C549" s="174">
        <v>0.03407305199160606</v>
      </c>
      <c r="D549" s="174">
        <v>0.003185330724264067</v>
      </c>
      <c r="E549" s="282">
        <v>-0.0038209547868608583</v>
      </c>
      <c r="F549" s="287">
        <v>-2833.323054303443</v>
      </c>
      <c r="G549" s="235">
        <v>39.89095991161175</v>
      </c>
      <c r="H549" s="235">
        <v>628.3766456063681</v>
      </c>
      <c r="I549" s="287">
        <v>11008.864163157243</v>
      </c>
      <c r="J549" s="233">
        <v>224392.6458122723</v>
      </c>
    </row>
    <row r="550">
      <c r="A550" s="184">
        <v>43362.0</v>
      </c>
      <c r="B550" s="174">
        <v>-0.0017886136732618348</v>
      </c>
      <c r="C550" s="174">
        <v>0.03421103726771539</v>
      </c>
      <c r="D550" s="174">
        <v>0.017618912209670493</v>
      </c>
      <c r="E550" s="282">
        <v>-0.0029566146814609647</v>
      </c>
      <c r="F550" s="287">
        <v>-2204.471981023731</v>
      </c>
      <c r="G550" s="235">
        <v>32.1777075139869</v>
      </c>
      <c r="H550" s="235">
        <v>3461.699699909811</v>
      </c>
      <c r="I550" s="287">
        <v>10968.97320324563</v>
      </c>
      <c r="J550" s="233">
        <v>227225.96886657574</v>
      </c>
    </row>
    <row r="551">
      <c r="A551" s="184">
        <v>43361.0</v>
      </c>
      <c r="B551" s="174">
        <v>0.009470331055099682</v>
      </c>
      <c r="C551" s="174">
        <v>0.03435216950222998</v>
      </c>
      <c r="D551" s="174">
        <v>0.028957919622855738</v>
      </c>
      <c r="E551" s="282">
        <v>-0.0035156884661656875</v>
      </c>
      <c r="F551" s="287">
        <v>-2629.0714275604687</v>
      </c>
      <c r="G551" s="235">
        <v>63.79148314263934</v>
      </c>
      <c r="H551" s="235">
        <v>5666.171680933542</v>
      </c>
      <c r="I551" s="287">
        <v>10936.795495731643</v>
      </c>
      <c r="J551" s="233">
        <v>229430.44084759947</v>
      </c>
    </row>
    <row r="552">
      <c r="A552" s="184">
        <v>43360.0</v>
      </c>
      <c r="B552" s="174">
        <v>0.02299028704820578</v>
      </c>
      <c r="C552" s="174">
        <v>0.034496081364366625</v>
      </c>
      <c r="D552" s="174">
        <v>0.04257183213786639</v>
      </c>
      <c r="E552" s="282">
        <v>-0.003154317618840458</v>
      </c>
      <c r="F552" s="287">
        <v>-2360.808687903973</v>
      </c>
      <c r="G552" s="235">
        <v>15.734558082638815</v>
      </c>
      <c r="H552" s="235">
        <v>8295.24310849401</v>
      </c>
      <c r="I552" s="287">
        <v>10873.004012589005</v>
      </c>
      <c r="J552" s="233">
        <v>232059.51227515994</v>
      </c>
    </row>
    <row r="553">
      <c r="A553" s="184">
        <v>43357.0</v>
      </c>
      <c r="B553" s="174">
        <v>0.03532268497503909</v>
      </c>
      <c r="C553" s="174">
        <v>0.03470886266683871</v>
      </c>
      <c r="D553" s="174">
        <v>0.05502501441190088</v>
      </c>
      <c r="E553" s="282">
        <v>-0.0010651605730597404</v>
      </c>
      <c r="F553" s="287">
        <v>-799.7204511487707</v>
      </c>
      <c r="G553" s="235">
        <v>8.676620781296766</v>
      </c>
      <c r="H553" s="235">
        <v>10656.051796397984</v>
      </c>
      <c r="I553" s="287">
        <v>10857.269454506366</v>
      </c>
      <c r="J553" s="233">
        <v>233980.32096306392</v>
      </c>
    </row>
    <row r="554">
      <c r="A554" s="184">
        <v>43356.0</v>
      </c>
      <c r="B554" s="174">
        <v>0.03962283472293542</v>
      </c>
      <c r="C554" s="174">
        <v>0.034858956826887944</v>
      </c>
      <c r="D554" s="174">
        <v>0.059410364433174774</v>
      </c>
      <c r="E554" s="282">
        <v>-0.002772933089762832</v>
      </c>
      <c r="F554" s="287">
        <v>-2084.130249669259</v>
      </c>
      <c r="G554" s="235">
        <v>48.03178640479901</v>
      </c>
      <c r="H554" s="235">
        <v>11455.772247546754</v>
      </c>
      <c r="I554" s="287">
        <v>10848.59283372507</v>
      </c>
      <c r="J554" s="233">
        <v>234780.0414142127</v>
      </c>
    </row>
    <row r="555">
      <c r="A555" s="184">
        <v>43355.0</v>
      </c>
      <c r="B555" s="174">
        <v>0.05065125811149395</v>
      </c>
      <c r="C555" s="174">
        <v>0.03501101850890527</v>
      </c>
      <c r="D555" s="174">
        <v>0.07052510495008713</v>
      </c>
      <c r="E555" s="282">
        <v>-0.0016114925638760424</v>
      </c>
      <c r="F555" s="287">
        <v>-1214.552733057435</v>
      </c>
      <c r="G555" s="235">
        <v>50.2796890908438</v>
      </c>
      <c r="H555" s="235">
        <v>13539.902497216013</v>
      </c>
      <c r="I555" s="287">
        <v>10800.56104732027</v>
      </c>
      <c r="J555" s="233">
        <v>236864.17166388195</v>
      </c>
    </row>
    <row r="556">
      <c r="A556" s="184">
        <v>43354.0</v>
      </c>
      <c r="B556" s="174">
        <v>0.05722970925604248</v>
      </c>
      <c r="C556" s="174">
        <v>0.035166004681458765</v>
      </c>
      <c r="D556" s="174">
        <v>0.07719153329685971</v>
      </c>
      <c r="E556" s="282">
        <v>-6.447710734435443E-4</v>
      </c>
      <c r="F556" s="287">
        <v>-486.7353784344177</v>
      </c>
      <c r="G556" s="235">
        <v>28.548032972911816</v>
      </c>
      <c r="H556" s="235">
        <v>14754.455230273448</v>
      </c>
      <c r="I556" s="287">
        <v>10750.281358229427</v>
      </c>
      <c r="J556" s="233">
        <v>238578.7243969394</v>
      </c>
    </row>
    <row r="557">
      <c r="A557" s="184">
        <v>43353.0</v>
      </c>
      <c r="B557" s="174">
        <v>0.06004425641083179</v>
      </c>
      <c r="C557" s="174">
        <v>0.035323710123311036</v>
      </c>
      <c r="D557" s="174">
        <v>0.08009560123483296</v>
      </c>
      <c r="E557" s="282">
        <v>-0.001596860190158478</v>
      </c>
      <c r="F557" s="287">
        <v>-1206.2412974921335</v>
      </c>
      <c r="G557" s="235">
        <v>55.00622192701647</v>
      </c>
      <c r="H557" s="235">
        <v>15241.190608707866</v>
      </c>
      <c r="I557" s="287">
        <v>10721.733325256515</v>
      </c>
      <c r="J557" s="233">
        <v>239065.4597753738</v>
      </c>
    </row>
    <row r="558">
      <c r="A558" s="184">
        <v>43350.0</v>
      </c>
      <c r="B558" s="174">
        <v>0.06681058654863653</v>
      </c>
      <c r="C558" s="174">
        <v>0.03555107496910989</v>
      </c>
      <c r="D558" s="174">
        <v>0.08699099400247058</v>
      </c>
      <c r="E558" s="282">
        <v>6.293863858566187E-4</v>
      </c>
      <c r="F558" s="287">
        <v>476.18706924316393</v>
      </c>
      <c r="G558" s="235">
        <v>18.64809352987053</v>
      </c>
      <c r="H558" s="235">
        <v>16447.4319062</v>
      </c>
      <c r="I558" s="287">
        <v>10666.727103329498</v>
      </c>
      <c r="J558" s="233">
        <v>240271.70107286595</v>
      </c>
    </row>
    <row r="559">
      <c r="A559" s="184">
        <v>43349.0</v>
      </c>
      <c r="B559" s="174">
        <v>0.06458570986415443</v>
      </c>
      <c r="C559" s="174">
        <v>0.035713475616495946</v>
      </c>
      <c r="D559" s="174">
        <v>0.08485830331342925</v>
      </c>
      <c r="E559" s="282">
        <v>0.0022043474761648868</v>
      </c>
      <c r="F559" s="287">
        <v>1666.7362568207645</v>
      </c>
      <c r="G559" s="235">
        <v>68.22116216205556</v>
      </c>
      <c r="H559" s="235">
        <v>15971.244836956836</v>
      </c>
      <c r="I559" s="287">
        <v>10648.079009799627</v>
      </c>
      <c r="J559" s="233">
        <v>239795.51400362278</v>
      </c>
    </row>
    <row r="560">
      <c r="A560" s="184">
        <v>43348.0</v>
      </c>
      <c r="B560" s="174">
        <v>0.055904726562560014</v>
      </c>
      <c r="C560" s="174">
        <v>0.035945704086817354</v>
      </c>
      <c r="D560" s="174">
        <v>0.07635086034899513</v>
      </c>
      <c r="E560" s="282">
        <v>-0.007573052765069244</v>
      </c>
      <c r="F560" s="287">
        <v>-5703.491552132289</v>
      </c>
      <c r="G560" s="235">
        <v>5.858752757161225</v>
      </c>
      <c r="H560" s="235">
        <v>14304.508580136071</v>
      </c>
      <c r="I560" s="287">
        <v>10579.857847637571</v>
      </c>
      <c r="J560" s="233">
        <v>238128.77774680202</v>
      </c>
    </row>
    <row r="561">
      <c r="A561" s="184">
        <v>43347.0</v>
      </c>
      <c r="B561" s="174">
        <v>0.0867420330477196</v>
      </c>
      <c r="C561" s="174">
        <v>0.036110015670284185</v>
      </c>
      <c r="D561" s="174">
        <v>0.10728162825614021</v>
      </c>
      <c r="E561" s="282">
        <v>-0.0022857751546906456</v>
      </c>
      <c r="F561" s="287">
        <v>-1734.5222354209945</v>
      </c>
      <c r="G561" s="235">
        <v>36.52229873508229</v>
      </c>
      <c r="H561" s="235">
        <v>20008.00013226836</v>
      </c>
      <c r="I561" s="287">
        <v>10573.99909488041</v>
      </c>
      <c r="J561" s="233">
        <v>243832.26929893432</v>
      </c>
    </row>
    <row r="562">
      <c r="A562" s="184">
        <v>43346.0</v>
      </c>
      <c r="B562" s="174">
        <v>0.09649531705914001</v>
      </c>
      <c r="C562" s="174">
        <v>0.036280291570989366</v>
      </c>
      <c r="D562" s="174">
        <v>0.11713176622924726</v>
      </c>
      <c r="E562" s="282">
        <v>-0.004907387064697622</v>
      </c>
      <c r="F562" s="287">
        <v>-3732.4005460908265</v>
      </c>
      <c r="G562" s="235">
        <v>69.34355600333265</v>
      </c>
      <c r="H562" s="235">
        <v>21742.522367689355</v>
      </c>
      <c r="I562" s="287">
        <v>10537.476796145327</v>
      </c>
      <c r="J562" s="233">
        <v>245566.79153435532</v>
      </c>
    </row>
    <row r="563">
      <c r="A563" s="184">
        <v>43343.0</v>
      </c>
      <c r="B563" s="174">
        <v>0.11738498439419516</v>
      </c>
      <c r="C563" s="174">
        <v>0.03652373188635086</v>
      </c>
      <c r="D563" s="174">
        <v>0.13815990388734495</v>
      </c>
      <c r="E563" s="282">
        <v>0.005811363409282216</v>
      </c>
      <c r="F563" s="287">
        <v>4441.626174806483</v>
      </c>
      <c r="G563" s="235">
        <v>15.569970278792368</v>
      </c>
      <c r="H563" s="235">
        <v>25474.92291378018</v>
      </c>
      <c r="I563" s="287">
        <v>10468.133240141995</v>
      </c>
      <c r="J563" s="233">
        <v>249299.19208044614</v>
      </c>
    </row>
    <row r="564">
      <c r="A564" s="184">
        <v>43342.0</v>
      </c>
      <c r="B564" s="174">
        <v>0.09062402182263408</v>
      </c>
      <c r="C564" s="174">
        <v>0.036702161620252576</v>
      </c>
      <c r="D564" s="174">
        <v>0.11462860049514283</v>
      </c>
      <c r="E564" s="282">
        <v>0.006878399226805803</v>
      </c>
      <c r="F564" s="287">
        <v>5222.66244556693</v>
      </c>
      <c r="G564" s="235">
        <v>5.5838290911460655</v>
      </c>
      <c r="H564" s="235">
        <v>21033.2967389737</v>
      </c>
      <c r="I564" s="287">
        <v>10452.563269863203</v>
      </c>
      <c r="J564" s="233">
        <v>244857.56590563967</v>
      </c>
    </row>
    <row r="565">
      <c r="A565" s="184">
        <v>43341.0</v>
      </c>
      <c r="B565" s="174">
        <v>0.06246066868977305</v>
      </c>
      <c r="C565" s="174">
        <v>0.03687896464772229</v>
      </c>
      <c r="D565" s="174">
        <v>0.08658088311764539</v>
      </c>
      <c r="E565" s="282">
        <v>3.5507828607015887E-4</v>
      </c>
      <c r="F565" s="287">
        <v>267.33199133426024</v>
      </c>
      <c r="G565" s="235">
        <v>62.7976120332193</v>
      </c>
      <c r="H565" s="235">
        <v>15810.634293406769</v>
      </c>
      <c r="I565" s="287">
        <v>10446.979440772058</v>
      </c>
      <c r="J565" s="233">
        <v>239634.90346007273</v>
      </c>
    </row>
    <row r="566">
      <c r="A566" s="184">
        <v>43340.0</v>
      </c>
      <c r="B566" s="174">
        <v>0.06125482944978645</v>
      </c>
      <c r="C566" s="174">
        <v>0.03705344369855827</v>
      </c>
      <c r="D566" s="174">
        <v>0.08551964088545641</v>
      </c>
      <c r="E566" s="282">
        <v>-0.011138082123713165</v>
      </c>
      <c r="F566" s="287">
        <v>-8243.413114594583</v>
      </c>
      <c r="G566" s="235">
        <v>69.36487544954981</v>
      </c>
      <c r="H566" s="235">
        <v>15543.302302072509</v>
      </c>
      <c r="I566" s="287">
        <v>10384.18182873884</v>
      </c>
      <c r="J566" s="233">
        <v>239367.57146873846</v>
      </c>
    </row>
    <row r="567">
      <c r="A567" s="184">
        <v>43339.0</v>
      </c>
      <c r="B567" s="174">
        <v>0.1071043565815161</v>
      </c>
      <c r="C567" s="174">
        <v>0.037229482292628596</v>
      </c>
      <c r="D567" s="174">
        <v>0.13149688699023437</v>
      </c>
      <c r="E567" s="282">
        <v>-2.5030787727888635E-9</v>
      </c>
      <c r="F567" s="287">
        <v>-0.0018619169859448448</v>
      </c>
      <c r="G567" s="235">
        <v>58.78346389693025</v>
      </c>
      <c r="H567" s="235">
        <v>23786.71541666709</v>
      </c>
      <c r="I567" s="287">
        <v>10314.81695328929</v>
      </c>
      <c r="J567" s="233">
        <v>247610.98458333305</v>
      </c>
    </row>
    <row r="568">
      <c r="A568" s="184">
        <v>43336.0</v>
      </c>
      <c r="B568" s="174">
        <v>0.10784360800070406</v>
      </c>
      <c r="C568" s="174">
        <v>0.037486442538238664</v>
      </c>
      <c r="D568" s="174">
        <v>0.13240449719979197</v>
      </c>
      <c r="E568" s="282">
        <v>-4.264292085550291E-4</v>
      </c>
      <c r="F568" s="287">
        <v>-311.4749841918165</v>
      </c>
      <c r="G568" s="235">
        <v>69.5558042722958</v>
      </c>
      <c r="H568" s="235">
        <v>23786.717278584078</v>
      </c>
      <c r="I568" s="287">
        <v>10256.03348939236</v>
      </c>
      <c r="J568" s="233">
        <v>247610.98644525005</v>
      </c>
    </row>
    <row r="569">
      <c r="A569" s="184">
        <v>43335.0</v>
      </c>
      <c r="B569" s="174">
        <v>0.1101237572500532</v>
      </c>
      <c r="C569" s="174">
        <v>0.03767335910447474</v>
      </c>
      <c r="D569" s="174">
        <v>0.13480711304671478</v>
      </c>
      <c r="E569" s="282">
        <v>-0.0028544864644444133</v>
      </c>
      <c r="F569" s="287">
        <v>-2085.880252181283</v>
      </c>
      <c r="G569" s="235">
        <v>8.968510330282884</v>
      </c>
      <c r="H569" s="235">
        <v>24098.192262775894</v>
      </c>
      <c r="I569" s="287">
        <v>10186.477685120064</v>
      </c>
      <c r="J569" s="233">
        <v>247922.46142944187</v>
      </c>
    </row>
    <row r="570">
      <c r="A570" s="184">
        <v>43334.0</v>
      </c>
      <c r="B570" s="174">
        <v>0.1224039003865735</v>
      </c>
      <c r="C570" s="174">
        <v>0.03786253303467599</v>
      </c>
      <c r="D570" s="174">
        <v>0.14721120179195188</v>
      </c>
      <c r="E570" s="282">
        <v>0.004262913352089203</v>
      </c>
      <c r="F570" s="287">
        <v>3123.962496787917</v>
      </c>
      <c r="G570" s="235">
        <v>35.403556436788996</v>
      </c>
      <c r="H570" s="235">
        <v>26184.072514957177</v>
      </c>
      <c r="I570" s="287">
        <v>10177.50917478978</v>
      </c>
      <c r="J570" s="233">
        <v>250008.34168162316</v>
      </c>
    </row>
    <row r="571">
      <c r="A571" s="184">
        <v>43333.0</v>
      </c>
      <c r="B571" s="174">
        <v>0.1053747673714088</v>
      </c>
      <c r="C571" s="174">
        <v>0.03805549338089877</v>
      </c>
      <c r="D571" s="174">
        <v>0.13030849522225638</v>
      </c>
      <c r="E571" s="282">
        <v>-0.0042505561492403665</v>
      </c>
      <c r="F571" s="287">
        <v>-3101.6282718442344</v>
      </c>
      <c r="G571" s="235">
        <v>25.976396519332454</v>
      </c>
      <c r="H571" s="235">
        <v>23060.11001816926</v>
      </c>
      <c r="I571" s="287">
        <v>10142.10561835299</v>
      </c>
      <c r="J571" s="233">
        <v>246884.37918483524</v>
      </c>
    </row>
    <row r="572">
      <c r="A572" s="184">
        <v>43332.0</v>
      </c>
      <c r="B572" s="174">
        <v>0.12352293235928927</v>
      </c>
      <c r="C572" s="174">
        <v>0.038247913319921695</v>
      </c>
      <c r="D572" s="174">
        <v>0.14858273258409488</v>
      </c>
      <c r="E572" s="282">
        <v>-0.008378547028842229</v>
      </c>
      <c r="F572" s="287">
        <v>-6139.807878311822</v>
      </c>
      <c r="G572" s="235">
        <v>9.90007042977294</v>
      </c>
      <c r="H572" s="235">
        <v>26161.738290013494</v>
      </c>
      <c r="I572" s="287">
        <v>10116.129221833658</v>
      </c>
      <c r="J572" s="233">
        <v>249986.00745667948</v>
      </c>
    </row>
    <row r="573">
      <c r="A573" s="184">
        <v>43329.0</v>
      </c>
      <c r="B573" s="174">
        <v>0.15952014826333952</v>
      </c>
      <c r="C573" s="174">
        <v>0.03852001823208321</v>
      </c>
      <c r="D573" s="174">
        <v>0.18475822997194583</v>
      </c>
      <c r="E573" s="282">
        <v>-7.10165339287388E-4</v>
      </c>
      <c r="F573" s="287">
        <v>-524.770169630785</v>
      </c>
      <c r="G573" s="235">
        <v>7.21316265255825</v>
      </c>
      <c r="H573" s="235">
        <v>32301.546168325316</v>
      </c>
      <c r="I573" s="287">
        <v>10106.229151403886</v>
      </c>
      <c r="J573" s="233">
        <v>256125.8153349913</v>
      </c>
    </row>
    <row r="574">
      <c r="A574" s="184">
        <v>43328.0</v>
      </c>
      <c r="B574" s="174">
        <v>0.16338720599439105</v>
      </c>
      <c r="C574" s="174">
        <v>0.03872514956422696</v>
      </c>
      <c r="D574" s="174">
        <v>0.18875968850443123</v>
      </c>
      <c r="E574" s="282">
        <v>-0.0030740508625876424</v>
      </c>
      <c r="F574" s="287">
        <v>-2273.1548850170875</v>
      </c>
      <c r="G574" s="235">
        <v>41.70877380789855</v>
      </c>
      <c r="H574" s="235">
        <v>32826.3163379561</v>
      </c>
      <c r="I574" s="287">
        <v>10099.015988751327</v>
      </c>
      <c r="J574" s="233">
        <v>256650.58550462208</v>
      </c>
    </row>
    <row r="575">
      <c r="A575" s="184">
        <v>43327.0</v>
      </c>
      <c r="B575" s="174">
        <v>0.1774058943819297</v>
      </c>
      <c r="C575" s="174">
        <v>0.03893307870352968</v>
      </c>
      <c r="D575" s="174">
        <v>0.20291461079964107</v>
      </c>
      <c r="E575" s="282">
        <v>-3.1757412445172295E-4</v>
      </c>
      <c r="F575" s="287">
        <v>-235.5570376672913</v>
      </c>
      <c r="G575" s="235">
        <v>23.35252755247794</v>
      </c>
      <c r="H575" s="235">
        <v>35099.47122297319</v>
      </c>
      <c r="I575" s="287">
        <v>10057.307214943428</v>
      </c>
      <c r="J575" s="233">
        <v>258923.74038963916</v>
      </c>
    </row>
    <row r="576">
      <c r="A576" s="184">
        <v>43326.0</v>
      </c>
      <c r="B576" s="174">
        <v>0.1797426512363184</v>
      </c>
      <c r="C576" s="174">
        <v>0.039145413624894855</v>
      </c>
      <c r="D576" s="174">
        <v>0.2053904882033171</v>
      </c>
      <c r="E576" s="282">
        <v>0.0057706470697203764</v>
      </c>
      <c r="F576" s="287">
        <v>4281.6719254785385</v>
      </c>
      <c r="G576" s="235">
        <v>29.853634972464693</v>
      </c>
      <c r="H576" s="235">
        <v>35335.02826064048</v>
      </c>
      <c r="I576" s="287">
        <v>10033.954687390951</v>
      </c>
      <c r="J576" s="233">
        <v>259159.29742730645</v>
      </c>
    </row>
    <row r="577">
      <c r="A577" s="184">
        <v>43325.0</v>
      </c>
      <c r="B577" s="174">
        <v>0.1557053538894787</v>
      </c>
      <c r="C577" s="174">
        <v>0.039360435985648284</v>
      </c>
      <c r="D577" s="174">
        <v>0.18149407219970978</v>
      </c>
      <c r="E577" s="282">
        <v>-0.0039128899191253645</v>
      </c>
      <c r="F577" s="287">
        <v>-2886.5101192577677</v>
      </c>
      <c r="G577" s="235">
        <v>54.36903418867845</v>
      </c>
      <c r="H577" s="235">
        <v>31053.35633516194</v>
      </c>
      <c r="I577" s="287">
        <v>10004.101052418486</v>
      </c>
      <c r="J577" s="233">
        <v>254877.62550182792</v>
      </c>
    </row>
    <row r="578">
      <c r="A578" s="184">
        <v>43322.0</v>
      </c>
      <c r="B578" s="174">
        <v>0.17385316085938965</v>
      </c>
      <c r="C578" s="174">
        <v>0.03965176791121535</v>
      </c>
      <c r="D578" s="174">
        <v>0.19983275807568687</v>
      </c>
      <c r="E578" s="282">
        <v>0.019864525770125454</v>
      </c>
      <c r="F578" s="287">
        <v>14711.25373820659</v>
      </c>
      <c r="G578" s="235">
        <v>1.3009658845804772</v>
      </c>
      <c r="H578" s="235">
        <v>33939.86645441971</v>
      </c>
      <c r="I578" s="287">
        <v>9949.732018229808</v>
      </c>
      <c r="J578" s="233">
        <v>257764.13562108568</v>
      </c>
    </row>
    <row r="579">
      <c r="A579" s="184">
        <v>43321.0</v>
      </c>
      <c r="B579" s="174">
        <v>0.08771800510293389</v>
      </c>
      <c r="C579" s="174">
        <v>0.03987106506711903</v>
      </c>
      <c r="D579" s="174">
        <v>0.11384128448225127</v>
      </c>
      <c r="E579" s="282">
        <v>0.00935690901167907</v>
      </c>
      <c r="F579" s="287">
        <v>6791.87992021392</v>
      </c>
      <c r="G579" s="235">
        <v>45.05862757144372</v>
      </c>
      <c r="H579" s="235">
        <v>19228.612716213123</v>
      </c>
      <c r="I579" s="287">
        <v>9948.431052345228</v>
      </c>
      <c r="J579" s="233">
        <v>243052.8818828791</v>
      </c>
    </row>
    <row r="580">
      <c r="A580" s="184">
        <v>43320.0</v>
      </c>
      <c r="B580" s="174">
        <v>0.04775536196618727</v>
      </c>
      <c r="C580" s="174">
        <v>0.04007926536495475</v>
      </c>
      <c r="D580" s="174">
        <v>0.07401505291459777</v>
      </c>
      <c r="E580" s="282">
        <v>-0.002848028114157463</v>
      </c>
      <c r="F580" s="287">
        <v>-2047.948729139538</v>
      </c>
      <c r="G580" s="235">
        <v>25.3396005380463</v>
      </c>
      <c r="H580" s="235">
        <v>12436.732795999204</v>
      </c>
      <c r="I580" s="287">
        <v>9903.372424773785</v>
      </c>
      <c r="J580" s="233">
        <v>236261.00196266518</v>
      </c>
    </row>
    <row r="581">
      <c r="A581" s="184">
        <v>43319.0</v>
      </c>
      <c r="B581" s="174">
        <v>0.06024869405682979</v>
      </c>
      <c r="C581" s="174">
        <v>0.04028340892121369</v>
      </c>
      <c r="D581" s="174">
        <v>0.08664213862192101</v>
      </c>
      <c r="E581" s="282">
        <v>-0.004483821219600567</v>
      </c>
      <c r="F581" s="287">
        <v>-3233.3909654870513</v>
      </c>
      <c r="G581" s="235">
        <v>3.544542264416781</v>
      </c>
      <c r="H581" s="235">
        <v>14484.681525138742</v>
      </c>
      <c r="I581" s="287">
        <v>9878.03282423574</v>
      </c>
      <c r="J581" s="233">
        <v>238308.95069180473</v>
      </c>
    </row>
    <row r="582">
      <c r="A582" s="184">
        <v>43318.0</v>
      </c>
      <c r="B582" s="174">
        <v>0.08000125833873312</v>
      </c>
      <c r="C582" s="174">
        <v>0.0404917285910686</v>
      </c>
      <c r="D582" s="174">
        <v>0.10653119268473854</v>
      </c>
      <c r="E582" s="282">
        <v>0.00864843443510182</v>
      </c>
      <c r="F582" s="287">
        <v>6264.557157083458</v>
      </c>
      <c r="G582" s="235">
        <v>21.646447949552964</v>
      </c>
      <c r="H582" s="235">
        <v>17718.072490625793</v>
      </c>
      <c r="I582" s="287">
        <v>9874.488281971322</v>
      </c>
      <c r="J582" s="233">
        <v>241542.34165729178</v>
      </c>
    </row>
    <row r="583">
      <c r="A583" s="184">
        <v>43315.0</v>
      </c>
      <c r="B583" s="174">
        <v>0.04264272881439461</v>
      </c>
      <c r="C583" s="174">
        <v>0.04078590931735871</v>
      </c>
      <c r="D583" s="174">
        <v>0.06936540858337657</v>
      </c>
      <c r="E583" s="282">
        <v>0.006794406567531305</v>
      </c>
      <c r="F583" s="287">
        <v>4879.014472655198</v>
      </c>
      <c r="G583" s="235">
        <v>41.63517510280008</v>
      </c>
      <c r="H583" s="235">
        <v>11453.515333542335</v>
      </c>
      <c r="I583" s="287">
        <v>9852.841834021769</v>
      </c>
      <c r="J583" s="233">
        <v>235277.78450020833</v>
      </c>
    </row>
    <row r="584">
      <c r="A584" s="184">
        <v>43314.0</v>
      </c>
      <c r="B584" s="174">
        <v>0.013161773984598609</v>
      </c>
      <c r="C584" s="174">
        <v>0.040996472498223156</v>
      </c>
      <c r="D584" s="174">
        <v>0.04002241346926562</v>
      </c>
      <c r="E584" s="282">
        <v>0.006718116715879645</v>
      </c>
      <c r="F584" s="287">
        <v>4791.453490378414</v>
      </c>
      <c r="G584" s="235">
        <v>36.68792385466284</v>
      </c>
      <c r="H584" s="235">
        <v>6574.500860887137</v>
      </c>
      <c r="I584" s="287">
        <v>9811.206658918969</v>
      </c>
      <c r="J584" s="233">
        <v>230398.77002755314</v>
      </c>
    </row>
    <row r="585">
      <c r="A585" s="184">
        <v>43313.0</v>
      </c>
      <c r="B585" s="174">
        <v>-0.01608754784750841</v>
      </c>
      <c r="C585" s="174">
        <v>0.041204568224766154</v>
      </c>
      <c r="D585" s="174">
        <v>0.010909434691776618</v>
      </c>
      <c r="E585" s="282">
        <v>-0.0013555763856706148</v>
      </c>
      <c r="F585" s="287">
        <v>-960.3205916210429</v>
      </c>
      <c r="G585" s="235">
        <v>25.577839444807616</v>
      </c>
      <c r="H585" s="235">
        <v>1783.0473705087222</v>
      </c>
      <c r="I585" s="287">
        <v>9774.518735064306</v>
      </c>
      <c r="J585" s="233">
        <v>225607.31653717472</v>
      </c>
    </row>
    <row r="586">
      <c r="A586" s="184">
        <v>43312.0</v>
      </c>
      <c r="B586" s="174">
        <v>-0.010262857061701726</v>
      </c>
      <c r="C586" s="174">
        <v>0.041410169392015354</v>
      </c>
      <c r="D586" s="174">
        <v>0.01686883411212123</v>
      </c>
      <c r="E586" s="282">
        <v>0.003918809895003481</v>
      </c>
      <c r="F586" s="287">
        <v>2779.9357793658637</v>
      </c>
      <c r="G586" s="235">
        <v>42.94823170344943</v>
      </c>
      <c r="H586" s="235">
        <v>2743.367962129765</v>
      </c>
      <c r="I586" s="287">
        <v>9748.940895619498</v>
      </c>
      <c r="J586" s="233">
        <v>226567.63712879576</v>
      </c>
    </row>
    <row r="587">
      <c r="A587" s="184">
        <v>43311.0</v>
      </c>
      <c r="B587" s="174">
        <v>-0.03041146063727613</v>
      </c>
      <c r="C587" s="174">
        <v>0.0416189377789139</v>
      </c>
      <c r="D587" s="174">
        <v>-2.2598729681296516E-4</v>
      </c>
      <c r="E587" s="282">
        <v>-0.01195193717647411</v>
      </c>
      <c r="F587" s="287">
        <v>-8008.810143885387</v>
      </c>
      <c r="G587" s="235">
        <v>0.7047839397425559</v>
      </c>
      <c r="H587" s="235">
        <v>-36.56781723609856</v>
      </c>
      <c r="I587" s="287">
        <v>9705.99266391605</v>
      </c>
      <c r="J587" s="233">
        <v>223787.7013494299</v>
      </c>
    </row>
    <row r="588">
      <c r="A588" s="184">
        <v>43308.0</v>
      </c>
      <c r="B588" s="174">
        <v>0.019216218794107127</v>
      </c>
      <c r="C588" s="174">
        <v>0.041910383416241405</v>
      </c>
      <c r="D588" s="174">
        <v>0.049613072457693315</v>
      </c>
      <c r="E588" s="282">
        <v>-0.0012934830447381106</v>
      </c>
      <c r="F588" s="287">
        <v>-877.1024480066035</v>
      </c>
      <c r="G588" s="235">
        <v>63.906704740044525</v>
      </c>
      <c r="H588" s="235">
        <v>7972.242326649289</v>
      </c>
      <c r="I588" s="287">
        <v>9705.287879976308</v>
      </c>
      <c r="J588" s="233">
        <v>231796.51149331528</v>
      </c>
    </row>
    <row r="589">
      <c r="A589" s="184">
        <v>43307.0</v>
      </c>
      <c r="B589" s="174">
        <v>0.024803665019575004</v>
      </c>
      <c r="C589" s="174">
        <v>0.0421295584669636</v>
      </c>
      <c r="D589" s="174">
        <v>0.05535948243869032</v>
      </c>
      <c r="E589" s="282">
        <v>0.0051290261191175085</v>
      </c>
      <c r="F589" s="287">
        <v>3482.457966002221</v>
      </c>
      <c r="G589" s="235">
        <v>52.631250017060275</v>
      </c>
      <c r="H589" s="235">
        <v>8849.344774655892</v>
      </c>
      <c r="I589" s="287">
        <v>9641.381175236264</v>
      </c>
      <c r="J589" s="233">
        <v>232673.61394132188</v>
      </c>
    </row>
    <row r="590">
      <c r="A590" s="184">
        <v>43306.0</v>
      </c>
      <c r="B590" s="174">
        <v>0.0030341455079633626</v>
      </c>
      <c r="C590" s="174">
        <v>0.04235210152974889</v>
      </c>
      <c r="D590" s="174">
        <v>0.03375136944169217</v>
      </c>
      <c r="E590" s="282">
        <v>0.0066117204735128155</v>
      </c>
      <c r="F590" s="287">
        <v>4466.138809870006</v>
      </c>
      <c r="G590" s="235">
        <v>67.9407273327086</v>
      </c>
      <c r="H590" s="235">
        <v>5366.886808653671</v>
      </c>
      <c r="I590" s="287">
        <v>9588.749925219203</v>
      </c>
      <c r="J590" s="233">
        <v>229191.15597531965</v>
      </c>
    </row>
    <row r="591">
      <c r="A591" s="184">
        <v>43305.0</v>
      </c>
      <c r="B591" s="174">
        <v>-0.025183552040985158</v>
      </c>
      <c r="C591" s="174">
        <v>0.04257350580162005</v>
      </c>
      <c r="D591" s="174">
        <v>0.005694252462616292</v>
      </c>
      <c r="E591" s="282">
        <v>-0.001681382734395904</v>
      </c>
      <c r="F591" s="287">
        <v>-1128.2448186488252</v>
      </c>
      <c r="G591" s="235">
        <v>55.4436914036261</v>
      </c>
      <c r="H591" s="235">
        <v>900.7479987836655</v>
      </c>
      <c r="I591" s="287">
        <v>9520.809197886494</v>
      </c>
      <c r="J591" s="233">
        <v>224725.01716544965</v>
      </c>
    </row>
    <row r="592">
      <c r="A592" s="184">
        <v>43304.0</v>
      </c>
      <c r="B592" s="279">
        <v>-0.018144051514604864</v>
      </c>
      <c r="C592" s="279">
        <v>0.04279265011960528</v>
      </c>
      <c r="D592" s="279">
        <v>0.012892694454619677</v>
      </c>
      <c r="E592" s="282">
        <v>-0.0016785604318671227</v>
      </c>
      <c r="F592" s="287">
        <v>-1128.2448186488252</v>
      </c>
      <c r="G592" s="235">
        <v>3.8593901115902653</v>
      </c>
      <c r="H592" s="235">
        <v>2028.9928174324907</v>
      </c>
      <c r="I592" s="287">
        <v>9465.365506482867</v>
      </c>
      <c r="J592" s="233">
        <v>225853.26198409847</v>
      </c>
    </row>
    <row r="593">
      <c r="A593" s="184">
        <v>43301.0</v>
      </c>
      <c r="B593" s="174">
        <v>-0.01122050222785483</v>
      </c>
      <c r="C593" s="174">
        <v>0.04310162880368992</v>
      </c>
      <c r="D593" s="174">
        <v>0.020206679422172715</v>
      </c>
      <c r="E593" s="282">
        <v>-0.016749273808161422</v>
      </c>
      <c r="F593" s="287">
        <v>-7069.479014214974</v>
      </c>
      <c r="G593" s="235">
        <v>1.082918918450052</v>
      </c>
      <c r="H593" s="235">
        <v>3157.237636081316</v>
      </c>
      <c r="I593" s="287">
        <v>9461.506116371276</v>
      </c>
      <c r="J593" s="233">
        <v>226981.5068027473</v>
      </c>
    </row>
    <row r="594">
      <c r="A594" s="184">
        <v>43300.0</v>
      </c>
      <c r="B594" s="174">
        <v>0.03420418495302056</v>
      </c>
      <c r="C594" s="174">
        <v>0.04332865667091053</v>
      </c>
      <c r="D594" s="174">
        <v>0.06579690201831644</v>
      </c>
      <c r="E594" s="282">
        <v>0.0027177789544509624</v>
      </c>
      <c r="F594" s="287">
        <v>1166.324583172218</v>
      </c>
      <c r="G594" s="235">
        <v>38.74583464065666</v>
      </c>
      <c r="H594" s="235">
        <v>10226.71665029629</v>
      </c>
      <c r="I594" s="287">
        <v>9460.423197452827</v>
      </c>
      <c r="J594" s="233">
        <v>234050.98581696226</v>
      </c>
    </row>
    <row r="595">
      <c r="A595" s="184">
        <v>43299.0</v>
      </c>
      <c r="B595" s="174">
        <v>0.026846526025083185</v>
      </c>
      <c r="C595" s="174">
        <v>0.043566019095228434</v>
      </c>
      <c r="D595" s="174">
        <v>0.05861231385900141</v>
      </c>
      <c r="E595" s="282">
        <v>0.004648567910527185</v>
      </c>
      <c r="F595" s="287">
        <v>1989.4936390998</v>
      </c>
      <c r="G595" s="235">
        <v>41.723501110343655</v>
      </c>
      <c r="H595" s="235">
        <v>9060.392067124072</v>
      </c>
      <c r="I595" s="287">
        <v>9421.67736281217</v>
      </c>
      <c r="J595" s="233">
        <v>232884.66123379004</v>
      </c>
    </row>
    <row r="596">
      <c r="A596" s="184">
        <v>43298.0</v>
      </c>
      <c r="B596" s="174">
        <v>0.014052976339136602</v>
      </c>
      <c r="C596" s="174">
        <v>0.04380486766699569</v>
      </c>
      <c r="D596" s="174">
        <v>0.04599291855329803</v>
      </c>
      <c r="E596" s="282">
        <v>0.0040121183031470815</v>
      </c>
      <c r="F596" s="287">
        <v>1709.1239146191765</v>
      </c>
      <c r="G596" s="235">
        <v>13.591996051853652</v>
      </c>
      <c r="H596" s="235">
        <v>7070.898428024272</v>
      </c>
      <c r="I596" s="287">
        <v>9379.953861701826</v>
      </c>
      <c r="J596" s="233">
        <v>230895.16759469025</v>
      </c>
    </row>
    <row r="597">
      <c r="A597" s="184">
        <v>43297.0</v>
      </c>
      <c r="B597" s="174">
        <v>0.0029519632068763443</v>
      </c>
      <c r="C597" s="174">
        <v>0.04404428160815244</v>
      </c>
      <c r="D597" s="174">
        <v>0.035066472035504975</v>
      </c>
      <c r="E597" s="282">
        <v>-0.011014776235529057</v>
      </c>
      <c r="F597" s="287">
        <v>-4673.363409837996</v>
      </c>
      <c r="G597" s="235">
        <v>4.187760062050091</v>
      </c>
      <c r="H597" s="235">
        <v>5361.774513405096</v>
      </c>
      <c r="I597" s="287">
        <v>9366.361865649973</v>
      </c>
      <c r="J597" s="233">
        <v>229186.04368007107</v>
      </c>
    </row>
    <row r="598">
      <c r="A598" s="184">
        <v>43294.0</v>
      </c>
      <c r="B598" s="174">
        <v>0.033767015034111</v>
      </c>
      <c r="C598" s="174">
        <v>0.044373926542711384</v>
      </c>
      <c r="D598" s="174">
        <v>0.06612188162939342</v>
      </c>
      <c r="E598" s="282">
        <v>0.0041526054824371095</v>
      </c>
      <c r="F598" s="287">
        <v>1580.8162964674411</v>
      </c>
      <c r="G598" s="235">
        <v>58.95544990485899</v>
      </c>
      <c r="H598" s="235">
        <v>10035.137923243092</v>
      </c>
      <c r="I598" s="287">
        <v>9362.174105587923</v>
      </c>
      <c r="J598" s="233">
        <v>233859.40708990907</v>
      </c>
    </row>
    <row r="599">
      <c r="A599" s="184">
        <v>43293.0</v>
      </c>
      <c r="B599" s="174">
        <v>0.02348201708169015</v>
      </c>
      <c r="C599" s="174">
        <v>0.044622974698918516</v>
      </c>
      <c r="D599" s="174">
        <v>0.056018474996418384</v>
      </c>
      <c r="E599" s="282">
        <v>0.004640322068529213</v>
      </c>
      <c r="F599" s="287">
        <v>1759.1450364541115</v>
      </c>
      <c r="G599" s="235">
        <v>53.58956878000685</v>
      </c>
      <c r="H599" s="235">
        <v>8454.32162677565</v>
      </c>
      <c r="I599" s="287">
        <v>9303.218655683064</v>
      </c>
      <c r="J599" s="233">
        <v>232278.59079344163</v>
      </c>
    </row>
    <row r="600">
      <c r="A600" s="184">
        <v>43292.0</v>
      </c>
      <c r="B600" s="174">
        <v>0.011892198736383003</v>
      </c>
      <c r="C600" s="174">
        <v>0.04487316814784734</v>
      </c>
      <c r="D600" s="174">
        <v>0.0446110830508871</v>
      </c>
      <c r="E600" s="282">
        <v>0.0010490485127781762</v>
      </c>
      <c r="F600" s="287">
        <v>395.8486231353618</v>
      </c>
      <c r="G600" s="235">
        <v>40.88058573085892</v>
      </c>
      <c r="H600" s="235">
        <v>6695.176590321539</v>
      </c>
      <c r="I600" s="287">
        <v>9249.629086903056</v>
      </c>
      <c r="J600" s="233">
        <v>230519.44575698752</v>
      </c>
    </row>
    <row r="601">
      <c r="A601" s="184">
        <v>43291.0</v>
      </c>
      <c r="B601" s="174">
        <v>0.009306383358330252</v>
      </c>
      <c r="C601" s="174">
        <v>0.045124286150232666</v>
      </c>
      <c r="D601" s="174">
        <v>0.04220836820280505</v>
      </c>
      <c r="E601" s="282">
        <v>0.002009958599972282</v>
      </c>
      <c r="F601" s="287">
        <v>757.6433981897881</v>
      </c>
      <c r="G601" s="235">
        <v>6.727894297066528</v>
      </c>
      <c r="H601" s="235">
        <v>6299.327967186177</v>
      </c>
      <c r="I601" s="287">
        <v>9208.748501172196</v>
      </c>
      <c r="J601" s="233">
        <v>122123.59713385216</v>
      </c>
    </row>
    <row r="602">
      <c r="A602" s="184">
        <v>43290.0</v>
      </c>
      <c r="B602" s="174">
        <v>0.004241550605146482</v>
      </c>
      <c r="C602" s="174">
        <v>0.04524935165894248</v>
      </c>
      <c r="D602" s="174">
        <v>0.03723472588881043</v>
      </c>
      <c r="E602" s="282">
        <v>0.002610332857383871</v>
      </c>
      <c r="F602" s="287">
        <v>981.9736378905391</v>
      </c>
      <c r="G602" s="235">
        <v>57.65024813420201</v>
      </c>
      <c r="H602" s="235">
        <v>5541.684568996389</v>
      </c>
      <c r="I602" s="287">
        <v>9202.02060687513</v>
      </c>
      <c r="J602" s="233">
        <v>121365.95373566238</v>
      </c>
    </row>
    <row r="603">
      <c r="A603" s="184">
        <v>43287.0</v>
      </c>
      <c r="B603" s="174">
        <v>-0.002367664385063325</v>
      </c>
      <c r="C603" s="174">
        <v>0.04546650074701372</v>
      </c>
      <c r="D603" s="174">
        <v>0.030783843287082623</v>
      </c>
      <c r="E603" s="282">
        <v>-0.0019208632409521691</v>
      </c>
      <c r="F603" s="287">
        <v>-720.7178014481042</v>
      </c>
      <c r="G603" s="235">
        <v>68.95930526410321</v>
      </c>
      <c r="H603" s="235">
        <v>4559.71093110585</v>
      </c>
      <c r="I603" s="287">
        <v>9144.370358740929</v>
      </c>
      <c r="J603" s="233">
        <v>120383.98009777184</v>
      </c>
    </row>
    <row r="604">
      <c r="A604" s="184">
        <v>43286.0</v>
      </c>
      <c r="B604" s="174">
        <v>0.002504956551300839</v>
      </c>
      <c r="C604" s="174">
        <v>0.04559135378866549</v>
      </c>
      <c r="D604" s="174">
        <v>0.03574749974410935</v>
      </c>
      <c r="E604" s="282">
        <v>4.921582591060023E-4</v>
      </c>
      <c r="F604" s="287">
        <v>185.01502602990786</v>
      </c>
      <c r="G604" s="235">
        <v>50.83292375800308</v>
      </c>
      <c r="H604" s="235">
        <v>5280.428732553954</v>
      </c>
      <c r="I604" s="287">
        <v>9075.411053476826</v>
      </c>
      <c r="J604" s="233">
        <v>121104.69789921994</v>
      </c>
    </row>
    <row r="605">
      <c r="A605" s="184">
        <v>43285.0</v>
      </c>
      <c r="B605" s="174">
        <v>0.0041634002972783055</v>
      </c>
      <c r="C605" s="174">
        <v>0.042810349989581775</v>
      </c>
      <c r="D605" s="174">
        <v>0.03459068096546055</v>
      </c>
      <c r="E605" s="282">
        <v>-0.0014241894054903231</v>
      </c>
      <c r="F605" s="287">
        <v>-535.7361233810925</v>
      </c>
      <c r="G605" s="235">
        <v>44.0582498203756</v>
      </c>
      <c r="H605" s="235">
        <v>5095.413706524047</v>
      </c>
      <c r="I605" s="287">
        <v>9024.578129718822</v>
      </c>
      <c r="J605" s="233">
        <v>120919.68287319003</v>
      </c>
    </row>
    <row r="606">
      <c r="A606" s="184">
        <v>43284.0</v>
      </c>
      <c r="B606" s="174">
        <v>0.007821967529027396</v>
      </c>
      <c r="C606" s="174">
        <v>0.042929301561279186</v>
      </c>
      <c r="D606" s="174">
        <v>0.038333792538912975</v>
      </c>
      <c r="E606" s="282">
        <v>0.002409182761802351</v>
      </c>
      <c r="F606" s="287">
        <v>907.5509268648611</v>
      </c>
      <c r="G606" s="235">
        <v>6.547091468958986</v>
      </c>
      <c r="H606" s="235">
        <v>5631.149829905139</v>
      </c>
      <c r="I606" s="287">
        <v>8980.519879898447</v>
      </c>
      <c r="J606" s="233">
        <v>121455.41899657113</v>
      </c>
    </row>
    <row r="607">
      <c r="A607" s="184">
        <v>43283.0</v>
      </c>
      <c r="B607" s="174">
        <v>0.0016484628548871366</v>
      </c>
      <c r="C607" s="174">
        <v>0.043049596854481044</v>
      </c>
      <c r="D607" s="174">
        <v>0.032245787251024054</v>
      </c>
      <c r="E607" s="282">
        <v>7.153675417791672E-5</v>
      </c>
      <c r="F607" s="287">
        <v>26.883321853822054</v>
      </c>
      <c r="G607" s="235">
        <v>23.07792494360512</v>
      </c>
      <c r="H607" s="235">
        <v>4723.598903040278</v>
      </c>
      <c r="I607" s="287">
        <v>8973.972788429488</v>
      </c>
      <c r="J607" s="233">
        <v>120547.86806970627</v>
      </c>
    </row>
    <row r="608">
      <c r="A608" s="184">
        <v>43280.0</v>
      </c>
      <c r="B608" s="174">
        <v>-4.2251124352854844E-4</v>
      </c>
      <c r="C608" s="174">
        <v>0.04325795917046336</v>
      </c>
      <c r="D608" s="174">
        <v>0.0322174505244414</v>
      </c>
      <c r="E608" s="282">
        <v>-9.51655646751817E-4</v>
      </c>
      <c r="F608" s="287">
        <v>-357.34123816326246</v>
      </c>
      <c r="G608" s="235">
        <v>26.079416598712932</v>
      </c>
      <c r="H608" s="235">
        <v>4696.715581186456</v>
      </c>
      <c r="I608" s="287">
        <v>8950.894863485883</v>
      </c>
      <c r="J608" s="233">
        <v>120520.98474785245</v>
      </c>
    </row>
    <row r="609">
      <c r="A609" s="184">
        <v>43279.0</v>
      </c>
      <c r="B609" s="174">
        <v>0.002034097187740889</v>
      </c>
      <c r="C609" s="174">
        <v>0.043378994084356276</v>
      </c>
      <c r="D609" s="174">
        <v>0.03476566007347857</v>
      </c>
      <c r="E609" s="282">
        <v>-0.0022127718830899337</v>
      </c>
      <c r="F609" s="287">
        <v>-831.6737792731547</v>
      </c>
      <c r="G609" s="235">
        <v>46.576070434055</v>
      </c>
      <c r="H609" s="235">
        <v>5054.056819349718</v>
      </c>
      <c r="I609" s="287">
        <v>8924.815446887169</v>
      </c>
      <c r="J609" s="233">
        <v>120878.32598601571</v>
      </c>
    </row>
    <row r="610">
      <c r="A610" s="184">
        <v>43278.0</v>
      </c>
      <c r="B610" s="174">
        <v>0.0055027201002079</v>
      </c>
      <c r="C610" s="174">
        <v>0.04577530416269627</v>
      </c>
      <c r="D610" s="174">
        <v>0.04060059892066482</v>
      </c>
      <c r="E610" s="282">
        <v>0.019120285760596864</v>
      </c>
      <c r="F610" s="287">
        <v>7195.9878168666355</v>
      </c>
      <c r="G610" s="235">
        <v>11.88728613667646</v>
      </c>
      <c r="H610" s="235">
        <v>5885.730598622873</v>
      </c>
      <c r="I610" s="287">
        <v>8878.239376453113</v>
      </c>
      <c r="J610" s="233">
        <v>121709.99976528887</v>
      </c>
    </row>
    <row r="611">
      <c r="A611" s="184">
        <v>43277.0</v>
      </c>
      <c r="B611" s="174">
        <v>-0.027550442468144747</v>
      </c>
      <c r="C611" s="174">
        <v>0.02919419881671552</v>
      </c>
      <c r="D611" s="174">
        <v>-0.009064089923236327</v>
      </c>
      <c r="E611" s="282">
        <v>0.004908826084914013</v>
      </c>
      <c r="F611" s="287">
        <v>1823.9887702409983</v>
      </c>
      <c r="G611" s="235">
        <v>36.360972513615664</v>
      </c>
      <c r="H611" s="235">
        <v>-1310.257218243763</v>
      </c>
      <c r="I611" s="287">
        <v>8866.352090316437</v>
      </c>
      <c r="J611" s="233">
        <v>114514.01194842224</v>
      </c>
    </row>
    <row r="612">
      <c r="A612" s="184">
        <v>43276.0</v>
      </c>
      <c r="B612" s="174">
        <v>-0.040275402681793665</v>
      </c>
      <c r="C612" s="174">
        <v>0.029271952110289486</v>
      </c>
      <c r="D612" s="174">
        <v>-0.021739815191081105</v>
      </c>
      <c r="E612" s="282">
        <v>-0.012735985763684081</v>
      </c>
      <c r="F612" s="287">
        <v>-4709.12212674247</v>
      </c>
      <c r="G612" s="235">
        <v>17.727088761214134</v>
      </c>
      <c r="H612" s="235">
        <v>-3134.2459884847613</v>
      </c>
      <c r="I612" s="287">
        <v>8829.991117802821</v>
      </c>
      <c r="J612" s="233">
        <v>112690.02317818123</v>
      </c>
    </row>
    <row r="613">
      <c r="A613" s="184">
        <v>43273.0</v>
      </c>
      <c r="B613" s="174">
        <v>-0.0076475978677319496</v>
      </c>
      <c r="C613" s="174">
        <v>0.029409220844220256</v>
      </c>
      <c r="D613" s="174">
        <v>0.01097491093994391</v>
      </c>
      <c r="E613" s="282">
        <v>-0.0033414941069238586</v>
      </c>
      <c r="F613" s="287">
        <v>-1251.2506910588531</v>
      </c>
      <c r="G613" s="235">
        <v>37.7036561737493</v>
      </c>
      <c r="H613" s="235">
        <v>1574.8761382577086</v>
      </c>
      <c r="I613" s="287">
        <v>8812.264029041608</v>
      </c>
      <c r="J613" s="233">
        <v>117399.1453049237</v>
      </c>
    </row>
    <row r="614">
      <c r="A614" s="184">
        <v>43272.0</v>
      </c>
      <c r="B614" s="174">
        <v>0.001075009980551992</v>
      </c>
      <c r="C614" s="174">
        <v>0.02949042917538824</v>
      </c>
      <c r="D614" s="174">
        <v>0.019748941533170437</v>
      </c>
      <c r="E614" s="282">
        <v>-0.009009695865341578</v>
      </c>
      <c r="F614" s="287">
        <v>-3385.030102091831</v>
      </c>
      <c r="G614" s="235">
        <v>29.035374391590697</v>
      </c>
      <c r="H614" s="235">
        <v>2826.1268293165617</v>
      </c>
      <c r="I614" s="287">
        <v>8774.560372867858</v>
      </c>
      <c r="J614" s="233">
        <v>118650.39599598256</v>
      </c>
    </row>
    <row r="615">
      <c r="A615" s="184">
        <v>43271.0</v>
      </c>
      <c r="B615" s="174">
        <v>0.024798922895812477</v>
      </c>
      <c r="C615" s="174">
        <v>0.029573144307616414</v>
      </c>
      <c r="D615" s="174">
        <v>0.043525231330042526</v>
      </c>
      <c r="E615" s="282">
        <v>-5.698903891074047E-4</v>
      </c>
      <c r="F615" s="287">
        <v>-216.04244143950564</v>
      </c>
      <c r="G615" s="235">
        <v>15.782254330177562</v>
      </c>
      <c r="H615" s="235">
        <v>6211.156931408393</v>
      </c>
      <c r="I615" s="287">
        <v>8745.524998476267</v>
      </c>
      <c r="J615" s="233">
        <v>122035.42609807439</v>
      </c>
    </row>
    <row r="616">
      <c r="A616" s="184">
        <v>43270.0</v>
      </c>
      <c r="B616" s="174">
        <v>0.026389362126911453</v>
      </c>
      <c r="C616" s="174">
        <v>0.029659126070742028</v>
      </c>
      <c r="D616" s="174">
        <v>0.04517011593899043</v>
      </c>
      <c r="E616" s="282">
        <v>0.00455911916252161</v>
      </c>
      <c r="F616" s="287">
        <v>1729.3229971985656</v>
      </c>
      <c r="G616" s="235">
        <v>54.826549232594346</v>
      </c>
      <c r="H616" s="235">
        <v>6427.199372847898</v>
      </c>
      <c r="I616" s="287">
        <v>8729.74274414609</v>
      </c>
      <c r="J616" s="233">
        <v>122251.4685395139</v>
      </c>
    </row>
    <row r="617">
      <c r="A617" s="184">
        <v>43269.0</v>
      </c>
      <c r="B617" s="174">
        <v>0.014277363686194469</v>
      </c>
      <c r="C617" s="174">
        <v>0.029745835506331145</v>
      </c>
      <c r="D617" s="174">
        <v>0.03311302365292883</v>
      </c>
      <c r="E617" s="282">
        <v>-0.0019534849360426597</v>
      </c>
      <c r="F617" s="287">
        <v>-737.5996676240302</v>
      </c>
      <c r="G617" s="235">
        <v>8.971636991076497</v>
      </c>
      <c r="H617" s="235">
        <v>4697.876375649333</v>
      </c>
      <c r="I617" s="287">
        <v>8674.916194913496</v>
      </c>
      <c r="J617" s="233">
        <v>120522.14554231532</v>
      </c>
    </row>
    <row r="618">
      <c r="A618" s="184">
        <v>43266.0</v>
      </c>
      <c r="B618" s="174">
        <v>0.019573113728177625</v>
      </c>
      <c r="C618" s="174">
        <v>0.02989363377547082</v>
      </c>
      <c r="D618" s="174">
        <v>0.03850236252487086</v>
      </c>
      <c r="E618" s="282">
        <v>-0.002153670207365904</v>
      </c>
      <c r="F618" s="287">
        <v>-814.7744583424874</v>
      </c>
      <c r="G618" s="235">
        <v>50.05302481546515</v>
      </c>
      <c r="H618" s="235">
        <v>5435.476043273363</v>
      </c>
      <c r="I618" s="287">
        <v>8665.94455792242</v>
      </c>
      <c r="J618" s="233">
        <v>121259.74520993936</v>
      </c>
    </row>
    <row r="619">
      <c r="A619" s="184">
        <v>43265.0</v>
      </c>
      <c r="B619" s="174">
        <v>0.02541856288196898</v>
      </c>
      <c r="C619" s="174">
        <v>0.029980879409799443</v>
      </c>
      <c r="D619" s="174">
        <v>0.04440305736511961</v>
      </c>
      <c r="E619" s="282">
        <v>0.014421317400089355</v>
      </c>
      <c r="F619" s="287">
        <v>5467.609162562307</v>
      </c>
      <c r="G619" s="235">
        <v>14.932605943714947</v>
      </c>
      <c r="H619" s="235">
        <v>6250.25050161585</v>
      </c>
      <c r="I619" s="287">
        <v>8615.891533106955</v>
      </c>
      <c r="J619" s="233">
        <v>122074.51966828185</v>
      </c>
    </row>
    <row r="620">
      <c r="A620" s="184">
        <v>43264.0</v>
      </c>
      <c r="B620" s="174">
        <v>-0.013464072385838867</v>
      </c>
      <c r="C620" s="174">
        <v>0.030069367334858103</v>
      </c>
      <c r="D620" s="174">
        <v>0.005576454427189071</v>
      </c>
      <c r="E620" s="282">
        <v>0.0019970408348315943</v>
      </c>
      <c r="F620" s="287">
        <v>746.2266826409025</v>
      </c>
      <c r="G620" s="235">
        <v>31.615552166454542</v>
      </c>
      <c r="H620" s="235">
        <v>782.641339053544</v>
      </c>
      <c r="I620" s="287">
        <v>8600.95892716324</v>
      </c>
      <c r="J620" s="233">
        <v>116606.91050571954</v>
      </c>
    </row>
    <row r="621">
      <c r="A621" s="184">
        <v>43263.0</v>
      </c>
      <c r="B621" s="174">
        <v>-0.018833820156954006</v>
      </c>
      <c r="C621" s="174">
        <v>0.030153829037073664</v>
      </c>
      <c r="D621" s="174">
        <v>2.6018950085081343E-4</v>
      </c>
      <c r="E621" s="282">
        <v>0.001194963467866182</v>
      </c>
      <c r="F621" s="287">
        <v>445.6257581016302</v>
      </c>
      <c r="G621" s="235">
        <v>69.72569952715254</v>
      </c>
      <c r="H621" s="235">
        <v>36.41465641264148</v>
      </c>
      <c r="I621" s="287">
        <v>8569.343374996784</v>
      </c>
      <c r="J621" s="233">
        <v>115860.68382307864</v>
      </c>
    </row>
    <row r="622">
      <c r="A622" s="184">
        <v>43262.0</v>
      </c>
      <c r="B622" s="174">
        <v>-0.02207949286923959</v>
      </c>
      <c r="C622" s="174">
        <v>0.030238182480602782</v>
      </c>
      <c r="D622" s="174">
        <v>-0.0029320689182306212</v>
      </c>
      <c r="E622" s="282">
        <v>-0.002306939771467691</v>
      </c>
      <c r="F622" s="287">
        <v>-859.2759123944443</v>
      </c>
      <c r="G622" s="235">
        <v>32.745049480886884</v>
      </c>
      <c r="H622" s="235">
        <v>-409.2111016889887</v>
      </c>
      <c r="I622" s="287">
        <v>8499.617675469632</v>
      </c>
      <c r="J622" s="233">
        <v>115415.05806497701</v>
      </c>
    </row>
    <row r="623">
      <c r="A623" s="184">
        <v>43259.0</v>
      </c>
      <c r="B623" s="174">
        <v>-0.016000527812768294</v>
      </c>
      <c r="C623" s="174">
        <v>0.030386113783440766</v>
      </c>
      <c r="D623" s="174">
        <v>0.0032405692078069782</v>
      </c>
      <c r="E623" s="282">
        <v>0.005289768611997935</v>
      </c>
      <c r="F623" s="287">
        <v>1974.8485432247692</v>
      </c>
      <c r="G623" s="235">
        <v>67.27922327651468</v>
      </c>
      <c r="H623" s="235">
        <v>450.06481070545556</v>
      </c>
      <c r="I623" s="287">
        <v>8466.872625988744</v>
      </c>
      <c r="J623" s="233">
        <v>116274.33397737145</v>
      </c>
    </row>
    <row r="624">
      <c r="A624" s="184">
        <v>43258.0</v>
      </c>
      <c r="B624" s="174">
        <v>-0.030378271079526044</v>
      </c>
      <c r="C624" s="174">
        <v>0.03047211200458885</v>
      </c>
      <c r="D624" s="174">
        <v>-0.011009862346475857</v>
      </c>
      <c r="E624" s="282">
        <v>-4.531372240069039E-4</v>
      </c>
      <c r="F624" s="287">
        <v>-124.04957143718707</v>
      </c>
      <c r="G624" s="235">
        <v>14.25392311253389</v>
      </c>
      <c r="H624" s="235">
        <v>-1524.7837325193136</v>
      </c>
      <c r="I624" s="287">
        <v>8399.59340271223</v>
      </c>
      <c r="J624" s="233">
        <v>89299.48543414669</v>
      </c>
    </row>
    <row r="625">
      <c r="A625" s="184">
        <v>43257.0</v>
      </c>
      <c r="B625" s="174">
        <v>-0.029543752915545226</v>
      </c>
      <c r="C625" s="174">
        <v>0.030535360850901173</v>
      </c>
      <c r="D625" s="174">
        <v>-0.01013514252180653</v>
      </c>
      <c r="E625" s="282">
        <v>-0.006574600701830635</v>
      </c>
      <c r="F625" s="287">
        <v>-1800.6597653647905</v>
      </c>
      <c r="G625" s="235">
        <v>11.352696094930883</v>
      </c>
      <c r="H625" s="235">
        <v>-1400.7341610821265</v>
      </c>
      <c r="I625" s="287">
        <v>8385.339479599696</v>
      </c>
      <c r="J625" s="233">
        <v>89423.53500558388</v>
      </c>
    </row>
    <row r="626">
      <c r="A626" s="184">
        <v>43256.0</v>
      </c>
      <c r="B626" s="174">
        <v>-0.016549334941926203</v>
      </c>
      <c r="C626" s="174">
        <v>0.030599008453165388</v>
      </c>
      <c r="D626" s="174">
        <v>0.0028997305661592225</v>
      </c>
      <c r="E626" s="282">
        <v>-0.006190413100825623</v>
      </c>
      <c r="F626" s="287">
        <v>-1706.5848182091925</v>
      </c>
      <c r="G626" s="235">
        <v>33.844477484303184</v>
      </c>
      <c r="H626" s="235">
        <v>399.9256042826639</v>
      </c>
      <c r="I626" s="287">
        <v>8373.986783504764</v>
      </c>
      <c r="J626" s="233">
        <v>91224.19477094867</v>
      </c>
    </row>
    <row r="627">
      <c r="A627" s="184">
        <v>43255.0</v>
      </c>
      <c r="B627" s="174">
        <v>-0.004184382375024465</v>
      </c>
      <c r="C627" s="174">
        <v>0.030664518171275496</v>
      </c>
      <c r="D627" s="174">
        <v>0.01530632182867065</v>
      </c>
      <c r="E627" s="282">
        <v>-0.0057790880540842336</v>
      </c>
      <c r="F627" s="287">
        <v>-1595.7049209982379</v>
      </c>
      <c r="G627" s="235">
        <v>9.997069032523113</v>
      </c>
      <c r="H627" s="235">
        <v>2106.5104224918564</v>
      </c>
      <c r="I627" s="287">
        <v>8340.142306020462</v>
      </c>
      <c r="J627" s="233">
        <v>92930.77958915786</v>
      </c>
    </row>
    <row r="628">
      <c r="A628" s="184">
        <v>43252.0</v>
      </c>
      <c r="B628" s="174">
        <v>0.007392766894381394</v>
      </c>
      <c r="C628" s="174">
        <v>0.030796598959252915</v>
      </c>
      <c r="D628" s="174">
        <v>0.027016900116170278</v>
      </c>
      <c r="E628" s="282">
        <v>-0.004368926858634049</v>
      </c>
      <c r="F628" s="287">
        <v>-1070.9103263912489</v>
      </c>
      <c r="G628" s="235">
        <v>62.15333425187566</v>
      </c>
      <c r="H628" s="235">
        <v>3702.2153434900943</v>
      </c>
      <c r="I628" s="287">
        <v>8330.145236987939</v>
      </c>
      <c r="J628" s="233">
        <v>94526.4845101561</v>
      </c>
    </row>
    <row r="629">
      <c r="A629" s="184">
        <v>43251.0</v>
      </c>
      <c r="B629" s="174">
        <v>0.015241931155679036</v>
      </c>
      <c r="C629" s="174">
        <v>0.030865857876446183</v>
      </c>
      <c r="D629" s="174">
        <v>0.034910197374738036</v>
      </c>
      <c r="E629" s="282">
        <v>0.0036930042543780353</v>
      </c>
      <c r="F629" s="287">
        <v>909.1832126370746</v>
      </c>
      <c r="G629" s="235">
        <v>56.732592094422806</v>
      </c>
      <c r="H629" s="235">
        <v>4773.125669881343</v>
      </c>
      <c r="I629" s="287">
        <v>8267.991902736063</v>
      </c>
      <c r="J629" s="233">
        <v>95597.39483654735</v>
      </c>
    </row>
    <row r="630">
      <c r="A630" s="184">
        <v>43250.0</v>
      </c>
      <c r="B630" s="174">
        <v>0.010361343359535376</v>
      </c>
      <c r="C630" s="174">
        <v>0.027985027610950387</v>
      </c>
      <c r="D630" s="174">
        <v>0.02832511331956472</v>
      </c>
      <c r="E630" s="282">
        <v>-0.011262779969869349</v>
      </c>
      <c r="F630" s="287">
        <v>-2765.2393426669187</v>
      </c>
      <c r="G630" s="235">
        <v>9.111020088786168</v>
      </c>
      <c r="H630" s="235">
        <v>3863.9424572442686</v>
      </c>
      <c r="I630" s="287">
        <v>8211.25931064164</v>
      </c>
      <c r="J630" s="233">
        <v>94688.21162391028</v>
      </c>
    </row>
    <row r="631">
      <c r="A631" s="184">
        <v>43249.0</v>
      </c>
      <c r="B631" s="174">
        <v>0.03070168818531005</v>
      </c>
      <c r="C631" s="174">
        <v>0.02804844107027536</v>
      </c>
      <c r="D631" s="174">
        <v>0.04870616365442518</v>
      </c>
      <c r="E631" s="282">
        <v>0.014396805632821074</v>
      </c>
      <c r="F631" s="287">
        <v>3574.5163832440903</v>
      </c>
      <c r="G631" s="235">
        <v>2.023182165949472</v>
      </c>
      <c r="H631" s="235">
        <v>6629.181799911187</v>
      </c>
      <c r="I631" s="287">
        <v>8202.148290552854</v>
      </c>
      <c r="J631" s="233">
        <v>97453.45096657719</v>
      </c>
    </row>
    <row r="632">
      <c r="A632" s="184">
        <v>43248.0</v>
      </c>
      <c r="B632" s="174">
        <v>0.004449312663671438</v>
      </c>
      <c r="C632" s="174">
        <v>0.02811441078009612</v>
      </c>
      <c r="D632" s="174">
        <v>0.02249613451557471</v>
      </c>
      <c r="E632" s="282">
        <v>0.00416356541681534</v>
      </c>
      <c r="F632" s="287">
        <v>1018.8696963677876</v>
      </c>
      <c r="G632" s="235">
        <v>53.33152208491444</v>
      </c>
      <c r="H632" s="235">
        <v>3054.665416667097</v>
      </c>
      <c r="I632" s="287">
        <v>8200.125108386905</v>
      </c>
      <c r="J632" s="233">
        <v>93878.9345833331</v>
      </c>
    </row>
    <row r="633">
      <c r="A633" s="184">
        <v>43245.0</v>
      </c>
      <c r="B633" s="174">
        <v>-0.003067557401446078</v>
      </c>
      <c r="C633" s="174">
        <v>0.02823764295346247</v>
      </c>
      <c r="D633" s="174">
        <v>0.01505836797841517</v>
      </c>
      <c r="E633" s="282">
        <v>0.01328896518832849</v>
      </c>
      <c r="F633" s="287">
        <v>3238.4144478013513</v>
      </c>
      <c r="G633" s="235">
        <v>14.870823103427263</v>
      </c>
      <c r="H633" s="235">
        <v>2035.7957202993093</v>
      </c>
      <c r="I633" s="287">
        <v>8146.79358630199</v>
      </c>
      <c r="J633" s="233">
        <v>92860.06488696531</v>
      </c>
    </row>
    <row r="634">
      <c r="A634" s="184">
        <v>43244.0</v>
      </c>
      <c r="B634" s="174">
        <v>-0.02708182353808508</v>
      </c>
      <c r="C634" s="174">
        <v>0.02830073155361014</v>
      </c>
      <c r="D634" s="174">
        <v>-0.008915401178342003</v>
      </c>
      <c r="E634" s="282">
        <v>0.004559050175969573</v>
      </c>
      <c r="F634" s="287">
        <v>1096.2399420128954</v>
      </c>
      <c r="G634" s="235">
        <v>29.162229502070076</v>
      </c>
      <c r="H634" s="235">
        <v>-1202.618727502042</v>
      </c>
      <c r="I634" s="287">
        <v>8131.922763198563</v>
      </c>
      <c r="J634" s="233">
        <v>89621.65043916396</v>
      </c>
    </row>
    <row r="635">
      <c r="A635" s="184">
        <v>43243.0</v>
      </c>
      <c r="B635" s="174">
        <v>-0.03528416569656882</v>
      </c>
      <c r="C635" s="174">
        <v>0.02836146783456451</v>
      </c>
      <c r="D635" s="174">
        <v>-0.017078756325826155</v>
      </c>
      <c r="E635" s="282">
        <v>0.014210679052855278</v>
      </c>
      <c r="F635" s="287">
        <v>3401.4303565922532</v>
      </c>
      <c r="G635" s="235">
        <v>29.70149356503751</v>
      </c>
      <c r="H635" s="235">
        <v>-2298.8586695149374</v>
      </c>
      <c r="I635" s="287">
        <v>8102.760533696493</v>
      </c>
      <c r="J635" s="233">
        <v>88525.41049715107</v>
      </c>
    </row>
    <row r="636">
      <c r="A636" s="184">
        <v>43242.0</v>
      </c>
      <c r="B636" s="174">
        <v>-0.06068254348718529</v>
      </c>
      <c r="C636" s="174">
        <v>0.02842158703060847</v>
      </c>
      <c r="D636" s="174">
        <v>-0.04243854321623237</v>
      </c>
      <c r="E636" s="282">
        <v>-0.0013501086649987187</v>
      </c>
      <c r="F636" s="287">
        <v>-318.56611996351876</v>
      </c>
      <c r="G636" s="235">
        <v>8.484273076784145</v>
      </c>
      <c r="H636" s="235">
        <v>-5700.289026107191</v>
      </c>
      <c r="I636" s="287">
        <v>8073.059040131456</v>
      </c>
      <c r="J636" s="233">
        <v>85123.98014055881</v>
      </c>
    </row>
    <row r="637">
      <c r="A637" s="184">
        <v>43241.0</v>
      </c>
      <c r="B637" s="174">
        <v>-0.05842895196433301</v>
      </c>
      <c r="C637" s="174">
        <v>0.028479164019301936</v>
      </c>
      <c r="D637" s="174">
        <v>-0.04014799265248652</v>
      </c>
      <c r="E637" s="282">
        <v>0.008704646261448042</v>
      </c>
      <c r="F637" s="287">
        <v>2056.6857437106264</v>
      </c>
      <c r="G637" s="235">
        <v>38.35110112386801</v>
      </c>
      <c r="H637" s="235">
        <v>-5381.722906143672</v>
      </c>
      <c r="I637" s="287">
        <v>8064.574767054672</v>
      </c>
      <c r="J637" s="233">
        <v>85442.54626052233</v>
      </c>
    </row>
    <row r="638">
      <c r="A638" s="184">
        <v>43238.0</v>
      </c>
      <c r="B638" s="174">
        <v>-0.07408058563769403</v>
      </c>
      <c r="C638" s="174">
        <v>0.028598307834734358</v>
      </c>
      <c r="D638" s="174">
        <v>-0.05572314714125132</v>
      </c>
      <c r="E638" s="282">
        <v>0.005414082904999243</v>
      </c>
      <c r="F638" s="287">
        <v>1268.0745401955028</v>
      </c>
      <c r="G638" s="235">
        <v>51.83901947621597</v>
      </c>
      <c r="H638" s="235">
        <v>-7438.408649854298</v>
      </c>
      <c r="I638" s="287">
        <v>8026.223665930804</v>
      </c>
      <c r="J638" s="233">
        <v>83385.8605168117</v>
      </c>
    </row>
    <row r="639">
      <c r="A639" s="184">
        <v>43237.0</v>
      </c>
      <c r="B639" s="174">
        <v>-0.0837461599407462</v>
      </c>
      <c r="C639" s="174">
        <v>0.028655135611888694</v>
      </c>
      <c r="D639" s="174">
        <v>-0.06535224332713555</v>
      </c>
      <c r="E639" s="282">
        <v>-0.0040791889715979515</v>
      </c>
      <c r="F639" s="287">
        <v>-950.2459157480143</v>
      </c>
      <c r="G639" s="235">
        <v>16.54008357853479</v>
      </c>
      <c r="H639" s="235">
        <v>-8706.483190049801</v>
      </c>
      <c r="I639" s="287">
        <v>7974.384646454588</v>
      </c>
      <c r="J639" s="233">
        <v>82117.7859766162</v>
      </c>
    </row>
    <row r="640">
      <c r="A640" s="184">
        <v>43236.0</v>
      </c>
      <c r="B640" s="174">
        <v>-0.07676321017165096</v>
      </c>
      <c r="C640" s="174">
        <v>0.028711144218159616</v>
      </c>
      <c r="D640" s="174">
        <v>-0.0583333412719529</v>
      </c>
      <c r="E640" s="282">
        <v>0.0068863556402231655</v>
      </c>
      <c r="F640" s="287">
        <v>1610.7183275640991</v>
      </c>
      <c r="G640" s="235">
        <v>24.6696284593711</v>
      </c>
      <c r="H640" s="235">
        <v>-7756.237274301787</v>
      </c>
      <c r="I640" s="287">
        <v>7957.844562876053</v>
      </c>
      <c r="J640" s="233">
        <v>83068.03189236422</v>
      </c>
    </row>
    <row r="641">
      <c r="A641" s="184">
        <v>43235.0</v>
      </c>
      <c r="B641" s="174">
        <v>-0.08905376987044142</v>
      </c>
      <c r="C641" s="174">
        <v>0.028768200443521963</v>
      </c>
      <c r="D641" s="174">
        <v>-0.0705872762111953</v>
      </c>
      <c r="E641" s="282">
        <v>-0.0010193894779425157</v>
      </c>
      <c r="F641" s="287">
        <v>-236.79321157867525</v>
      </c>
      <c r="G641" s="235">
        <v>7.371815681400181</v>
      </c>
      <c r="H641" s="235">
        <v>-9366.955601865886</v>
      </c>
      <c r="I641" s="287">
        <v>7933.174934416682</v>
      </c>
      <c r="J641" s="233">
        <v>81457.31356480012</v>
      </c>
    </row>
    <row r="642">
      <c r="A642" s="184">
        <v>43234.0</v>
      </c>
      <c r="B642" s="174">
        <v>-0.08743903671163009</v>
      </c>
      <c r="C642" s="174">
        <v>0.028824137610390075</v>
      </c>
      <c r="D642" s="174">
        <v>-0.06893663662371062</v>
      </c>
      <c r="E642" s="282">
        <v>-0.003958272246722039</v>
      </c>
      <c r="F642" s="287">
        <v>-920.4013613107709</v>
      </c>
      <c r="G642" s="235">
        <v>49.82719632606491</v>
      </c>
      <c r="H642" s="235">
        <v>-9130.16239028721</v>
      </c>
      <c r="I642" s="287">
        <v>7925.803118735282</v>
      </c>
      <c r="J642" s="233">
        <v>81694.10677637879</v>
      </c>
    </row>
    <row r="643">
      <c r="A643" s="184">
        <v>43231.0</v>
      </c>
      <c r="B643" s="174">
        <v>-0.08082085992014479</v>
      </c>
      <c r="C643" s="174">
        <v>0.02894276073746067</v>
      </c>
      <c r="D643" s="174">
        <v>-0.06224231488085133</v>
      </c>
      <c r="E643" s="282">
        <v>-0.015169826418569734</v>
      </c>
      <c r="F643" s="287">
        <v>-3541.341957223658</v>
      </c>
      <c r="G643" s="235">
        <v>10.194541818010123</v>
      </c>
      <c r="H643" s="235">
        <v>-8209.76102897644</v>
      </c>
      <c r="I643" s="287">
        <v>7875.975922409217</v>
      </c>
      <c r="J643" s="233">
        <v>82614.50813768955</v>
      </c>
    </row>
    <row r="644">
      <c r="A644" s="184">
        <v>43230.0</v>
      </c>
      <c r="B644" s="174">
        <v>-0.05407959430102669</v>
      </c>
      <c r="C644" s="174">
        <v>0.029000366929214698</v>
      </c>
      <c r="D644" s="174">
        <v>-0.03546407147520649</v>
      </c>
      <c r="E644" s="282">
        <v>0.0017471113894791139</v>
      </c>
      <c r="F644" s="287">
        <v>414.0440512271216</v>
      </c>
      <c r="G644" s="235">
        <v>6.637452917740586</v>
      </c>
      <c r="H644" s="235">
        <v>-4668.419071752782</v>
      </c>
      <c r="I644" s="287">
        <v>7865.7813805912065</v>
      </c>
      <c r="J644" s="233">
        <v>86155.85009491321</v>
      </c>
    </row>
    <row r="645">
      <c r="A645" s="184">
        <v>43229.0</v>
      </c>
      <c r="B645" s="174">
        <v>-0.05734512903555342</v>
      </c>
      <c r="C645" s="174">
        <v>0.029061287459243877</v>
      </c>
      <c r="D645" s="174">
        <v>-0.038690500928062574</v>
      </c>
      <c r="E645" s="282">
        <v>8.040425097323864E-4</v>
      </c>
      <c r="F645" s="287">
        <v>190.21534113536836</v>
      </c>
      <c r="G645" s="235">
        <v>38.689676635670565</v>
      </c>
      <c r="H645" s="235">
        <v>-5082.463122979903</v>
      </c>
      <c r="I645" s="287">
        <v>7859.143927673465</v>
      </c>
      <c r="J645" s="233">
        <v>85741.8060436861</v>
      </c>
    </row>
    <row r="646">
      <c r="A646" s="184">
        <v>43228.0</v>
      </c>
      <c r="B646" s="174">
        <v>-0.058916246665023986</v>
      </c>
      <c r="C646" s="174">
        <v>0.02912213245877686</v>
      </c>
      <c r="D646" s="174">
        <v>-0.040222561759375795</v>
      </c>
      <c r="E646" s="282">
        <v>0.002871184475010123</v>
      </c>
      <c r="F646" s="287">
        <v>678.7006971820529</v>
      </c>
      <c r="G646" s="235">
        <v>56.114011017318276</v>
      </c>
      <c r="H646" s="235">
        <v>-5272.678464115272</v>
      </c>
      <c r="I646" s="287">
        <v>7820.454251037795</v>
      </c>
      <c r="J646" s="233">
        <v>85551.59070255073</v>
      </c>
    </row>
    <row r="647">
      <c r="A647" s="184">
        <v>43227.0</v>
      </c>
      <c r="B647" s="174">
        <v>-0.06422787471896799</v>
      </c>
      <c r="C647" s="174">
        <v>0.02918309423348026</v>
      </c>
      <c r="D647" s="174">
        <v>-0.045495058056426375</v>
      </c>
      <c r="E647" s="282">
        <v>0.00577932898976568</v>
      </c>
      <c r="F647" s="287">
        <v>1362.2157041006394</v>
      </c>
      <c r="G647" s="235">
        <v>9.82050408741025</v>
      </c>
      <c r="H647" s="235">
        <v>-5951.379161297325</v>
      </c>
      <c r="I647" s="287">
        <v>7764.340240020477</v>
      </c>
      <c r="J647" s="233">
        <v>84872.89000536868</v>
      </c>
    </row>
    <row r="648">
      <c r="A648" s="184">
        <v>43224.0</v>
      </c>
      <c r="B648" s="174">
        <v>-0.07495882191905101</v>
      </c>
      <c r="C648" s="174">
        <v>0.0293072488017989</v>
      </c>
      <c r="D648" s="174">
        <v>-0.056146309637274426</v>
      </c>
      <c r="E648" s="282">
        <v>-0.0010728358164876792</v>
      </c>
      <c r="F648" s="287">
        <v>-251.41114011743048</v>
      </c>
      <c r="G648" s="235">
        <v>51.913708578509834</v>
      </c>
      <c r="H648" s="235">
        <v>-7313.594865397964</v>
      </c>
      <c r="I648" s="287">
        <v>7754.519735933067</v>
      </c>
      <c r="J648" s="233">
        <v>83510.67430126804</v>
      </c>
    </row>
    <row r="649">
      <c r="A649" s="184">
        <v>43223.0</v>
      </c>
      <c r="B649" s="174">
        <v>-0.07302022498403771</v>
      </c>
      <c r="C649" s="174">
        <v>0.029036547222470212</v>
      </c>
      <c r="D649" s="174">
        <v>-0.054327097187989316</v>
      </c>
      <c r="E649" s="282">
        <v>-0.0010467508904131082</v>
      </c>
      <c r="F649" s="287">
        <v>-204.00525478655345</v>
      </c>
      <c r="G649" s="235">
        <v>40.792346104426</v>
      </c>
      <c r="H649" s="235">
        <v>-7062.1837252805335</v>
      </c>
      <c r="I649" s="287">
        <v>7702.606027354557</v>
      </c>
      <c r="J649" s="233">
        <v>83762.08544138547</v>
      </c>
    </row>
    <row r="650">
      <c r="A650" s="184">
        <v>43222.0</v>
      </c>
      <c r="B650" s="174">
        <v>-0.07165293057949212</v>
      </c>
      <c r="C650" s="174">
        <v>0.02909629121356751</v>
      </c>
      <c r="D650" s="174">
        <v>-0.052866302114442654</v>
      </c>
      <c r="E650" s="282">
        <v>0.004812597526156432</v>
      </c>
      <c r="F650" s="287">
        <v>922.0666947003474</v>
      </c>
      <c r="G650" s="235">
        <v>39.65371823567616</v>
      </c>
      <c r="H650" s="235">
        <v>-6858.17847049398</v>
      </c>
      <c r="I650" s="287">
        <v>7661.813681250132</v>
      </c>
      <c r="J650" s="233">
        <v>83966.09069617202</v>
      </c>
    </row>
    <row r="651">
      <c r="A651" s="184">
        <v>43220.0</v>
      </c>
      <c r="B651" s="174">
        <v>-0.07900969855038532</v>
      </c>
      <c r="C651" s="174">
        <v>0.02918828300180713</v>
      </c>
      <c r="D651" s="174">
        <v>-0.06016367366485022</v>
      </c>
      <c r="E651" s="282">
        <v>0.003356073972964289</v>
      </c>
      <c r="F651" s="287">
        <v>639.9104267426837</v>
      </c>
      <c r="G651" s="235">
        <v>60.405100969480735</v>
      </c>
      <c r="H651" s="235">
        <v>-7780.2451651943275</v>
      </c>
      <c r="I651" s="287">
        <v>7622.159963014456</v>
      </c>
      <c r="J651" s="233">
        <v>83044.02400147167</v>
      </c>
    </row>
    <row r="652">
      <c r="A652" s="184">
        <v>43217.0</v>
      </c>
      <c r="B652" s="174">
        <v>-0.08540875085318211</v>
      </c>
      <c r="C652" s="174">
        <v>0.029312040078813797</v>
      </c>
      <c r="D652" s="174">
        <v>-0.06538809405593372</v>
      </c>
      <c r="E652" s="282">
        <v>0.013637480276005092</v>
      </c>
      <c r="F652" s="287">
        <v>3038.9982575378926</v>
      </c>
      <c r="G652" s="235">
        <v>14.762362916746513</v>
      </c>
      <c r="H652" s="235">
        <v>-8420.155591937011</v>
      </c>
      <c r="I652" s="287">
        <v>7561.754862044975</v>
      </c>
      <c r="J652" s="233">
        <v>82404.11357472898</v>
      </c>
    </row>
    <row r="653">
      <c r="A653" s="184">
        <v>43216.0</v>
      </c>
      <c r="B653" s="174">
        <v>-0.10923045648351795</v>
      </c>
      <c r="C653" s="174">
        <v>0.02937169966078624</v>
      </c>
      <c r="D653" s="174">
        <v>-0.08916905110609137</v>
      </c>
      <c r="E653" s="282">
        <v>0.002784754980520447</v>
      </c>
      <c r="F653" s="287">
        <v>612.0964579041483</v>
      </c>
      <c r="G653" s="235">
        <v>18.05729091873741</v>
      </c>
      <c r="H653" s="235">
        <v>-11459.153849474904</v>
      </c>
      <c r="I653" s="287">
        <v>7546.992499128229</v>
      </c>
      <c r="J653" s="233">
        <v>79365.11531719108</v>
      </c>
    </row>
    <row r="654">
      <c r="A654" s="184">
        <v>43215.0</v>
      </c>
      <c r="B654" s="174">
        <v>-0.11421549424091884</v>
      </c>
      <c r="C654" s="174">
        <v>0.02942890770246566</v>
      </c>
      <c r="D654" s="174">
        <v>-0.0941150147299476</v>
      </c>
      <c r="E654" s="282">
        <v>-0.009766962338176373</v>
      </c>
      <c r="F654" s="287">
        <v>-2140.825648392758</v>
      </c>
      <c r="G654" s="235">
        <v>59.348512372041945</v>
      </c>
      <c r="H654" s="235">
        <v>-12071.250307379052</v>
      </c>
      <c r="I654" s="287">
        <v>7528.935208209491</v>
      </c>
      <c r="J654" s="233">
        <v>78753.01885928694</v>
      </c>
    </row>
    <row r="655">
      <c r="A655" s="184">
        <v>43214.0</v>
      </c>
      <c r="B655" s="174">
        <v>-0.09771285431709774</v>
      </c>
      <c r="C655" s="174">
        <v>0.029485812162085758</v>
      </c>
      <c r="D655" s="174">
        <v>-0.07757350802465296</v>
      </c>
      <c r="E655" s="282">
        <v>0.0026378977643346764</v>
      </c>
      <c r="F655" s="287">
        <v>583.8494874312237</v>
      </c>
      <c r="G655" s="235">
        <v>57.59145195743054</v>
      </c>
      <c r="H655" s="235">
        <v>-9930.424658986294</v>
      </c>
      <c r="I655" s="287">
        <v>7469.586695837449</v>
      </c>
      <c r="J655" s="233">
        <v>80893.84450767969</v>
      </c>
    </row>
    <row r="656">
      <c r="A656" s="184">
        <v>43213.0</v>
      </c>
      <c r="B656" s="174">
        <v>-0.10247863977529201</v>
      </c>
      <c r="C656" s="174">
        <v>0.02954489346322783</v>
      </c>
      <c r="D656" s="174">
        <v>-0.0822989398789998</v>
      </c>
      <c r="E656" s="282">
        <v>-9.77797811998431E-4</v>
      </c>
      <c r="F656" s="287">
        <v>-215.84642822774367</v>
      </c>
      <c r="G656" s="235">
        <v>54.09915608891186</v>
      </c>
      <c r="H656" s="235">
        <v>-10514.274146417518</v>
      </c>
      <c r="I656" s="287">
        <v>7411.995243880018</v>
      </c>
      <c r="J656" s="233">
        <v>80309.99502024846</v>
      </c>
    </row>
    <row r="657">
      <c r="A657" s="184">
        <v>43210.0</v>
      </c>
      <c r="B657" s="174">
        <v>-0.10121246089370053</v>
      </c>
      <c r="C657" s="174">
        <v>0.029668985838151318</v>
      </c>
      <c r="D657" s="174">
        <v>-0.08094800364709022</v>
      </c>
      <c r="E657" s="282">
        <v>-0.0022194792938218513</v>
      </c>
      <c r="F657" s="287">
        <v>-490.4235850829409</v>
      </c>
      <c r="G657" s="235">
        <v>56.527190245313136</v>
      </c>
      <c r="H657" s="235">
        <v>-10298.427718189774</v>
      </c>
      <c r="I657" s="287">
        <v>7357.896087791107</v>
      </c>
      <c r="J657" s="233">
        <v>80525.8414484762</v>
      </c>
    </row>
    <row r="658">
      <c r="A658" s="184">
        <v>43209.0</v>
      </c>
      <c r="B658" s="174">
        <v>-0.09755277785085736</v>
      </c>
      <c r="C658" s="174">
        <v>0.029728458983991225</v>
      </c>
      <c r="D658" s="174">
        <v>-0.07724769936334017</v>
      </c>
      <c r="E658" s="282">
        <v>-0.00224583204248213</v>
      </c>
      <c r="F658" s="287">
        <v>-497.34798577052425</v>
      </c>
      <c r="G658" s="235">
        <v>46.12115334906652</v>
      </c>
      <c r="H658" s="235">
        <v>-9808.004133106833</v>
      </c>
      <c r="I658" s="287">
        <v>7301.3688975457935</v>
      </c>
      <c r="J658" s="233">
        <v>81016.26503355915</v>
      </c>
    </row>
    <row r="659">
      <c r="A659" s="184">
        <v>43208.0</v>
      </c>
      <c r="B659" s="174">
        <v>-0.09382524358133082</v>
      </c>
      <c r="C659" s="174">
        <v>0.029788646118722156</v>
      </c>
      <c r="D659" s="174">
        <v>-0.07347905618550093</v>
      </c>
      <c r="E659" s="282">
        <v>0.005527103249974472</v>
      </c>
      <c r="F659" s="287">
        <v>1226.7467779815433</v>
      </c>
      <c r="G659" s="235">
        <v>36.85211402412775</v>
      </c>
      <c r="H659" s="235">
        <v>-9310.656147336309</v>
      </c>
      <c r="I659" s="287">
        <v>7255.247744196727</v>
      </c>
      <c r="J659" s="233">
        <v>81513.61301932967</v>
      </c>
    </row>
    <row r="660">
      <c r="A660" s="184">
        <v>43207.0</v>
      </c>
      <c r="B660" s="174">
        <v>-0.10371830768461952</v>
      </c>
      <c r="C660" s="174">
        <v>0.02984956161165635</v>
      </c>
      <c r="D660" s="174">
        <v>-0.0833305138985694</v>
      </c>
      <c r="E660" s="282">
        <v>0.0017802072993406064</v>
      </c>
      <c r="F660" s="287">
        <v>392.93514721075735</v>
      </c>
      <c r="G660" s="235">
        <v>51.31999874031511</v>
      </c>
      <c r="H660" s="235">
        <v>-10537.402925317852</v>
      </c>
      <c r="I660" s="287">
        <v>7218.395630172599</v>
      </c>
      <c r="J660" s="233">
        <v>80286.86624134812</v>
      </c>
    </row>
    <row r="661">
      <c r="A661" s="184">
        <v>43206.0</v>
      </c>
      <c r="B661" s="174">
        <v>-0.10704059490181328</v>
      </c>
      <c r="C661" s="174">
        <v>0.029909617687051186</v>
      </c>
      <c r="D661" s="174">
        <v>-0.08661178172336204</v>
      </c>
      <c r="E661" s="282">
        <v>-4.252444763698678E-4</v>
      </c>
      <c r="F661" s="287">
        <v>-93.69472865026546</v>
      </c>
      <c r="G661" s="235">
        <v>32.24273430198221</v>
      </c>
      <c r="H661" s="235">
        <v>-10930.33807252861</v>
      </c>
      <c r="I661" s="287">
        <v>7167.075631432284</v>
      </c>
      <c r="J661" s="233">
        <v>79893.93109413737</v>
      </c>
    </row>
    <row r="662">
      <c r="A662" s="184">
        <v>43203.0</v>
      </c>
      <c r="B662" s="174">
        <v>-0.10674794280418298</v>
      </c>
      <c r="C662" s="174">
        <v>0.03003617528428199</v>
      </c>
      <c r="D662" s="174">
        <v>-0.08623268848371539</v>
      </c>
      <c r="E662" s="282">
        <v>7.089842192627226E-4</v>
      </c>
      <c r="F662" s="287">
        <v>156.27794341801928</v>
      </c>
      <c r="G662" s="235">
        <v>30.46301372475719</v>
      </c>
      <c r="H662" s="235">
        <v>-10836.643343878344</v>
      </c>
      <c r="I662" s="287">
        <v>7134.832897130302</v>
      </c>
      <c r="J662" s="233">
        <v>79987.62582278764</v>
      </c>
    </row>
    <row r="663">
      <c r="A663" s="184">
        <v>43202.0</v>
      </c>
      <c r="B663" s="174">
        <v>-0.10820912113001815</v>
      </c>
      <c r="C663" s="174">
        <v>0.03009669601845442</v>
      </c>
      <c r="D663" s="174">
        <v>-0.08765253004674844</v>
      </c>
      <c r="E663" s="282">
        <v>0.005482936615331969</v>
      </c>
      <c r="F663" s="287">
        <v>1207.7201906532664</v>
      </c>
      <c r="G663" s="235">
        <v>34.6466328320844</v>
      </c>
      <c r="H663" s="235">
        <v>-10992.921287296364</v>
      </c>
      <c r="I663" s="287">
        <v>7104.369883405545</v>
      </c>
      <c r="J663" s="233">
        <v>79831.34787936963</v>
      </c>
    </row>
    <row r="664">
      <c r="A664" s="184">
        <v>43201.0</v>
      </c>
      <c r="B664" s="174">
        <v>-0.1180763718996706</v>
      </c>
      <c r="C664" s="174">
        <v>0.030157339970140234</v>
      </c>
      <c r="D664" s="174">
        <v>-0.09747835989379483</v>
      </c>
      <c r="E664" s="282">
        <v>-0.007375750159965724</v>
      </c>
      <c r="F664" s="287">
        <v>-1615.740227496286</v>
      </c>
      <c r="G664" s="235">
        <v>65.8330453438901</v>
      </c>
      <c r="H664" s="235">
        <v>-12200.64147794963</v>
      </c>
      <c r="I664" s="287">
        <v>7069.72325057346</v>
      </c>
      <c r="J664" s="233">
        <v>78623.62768871635</v>
      </c>
    </row>
    <row r="665">
      <c r="A665" s="184">
        <v>43200.0</v>
      </c>
      <c r="B665" s="174">
        <v>-0.10537568756869257</v>
      </c>
      <c r="C665" s="174">
        <v>0.030217113974099277</v>
      </c>
      <c r="D665" s="174">
        <v>-0.08473684883033951</v>
      </c>
      <c r="E665" s="282">
        <v>0.003732583026895078</v>
      </c>
      <c r="F665" s="287">
        <v>823.6947720487406</v>
      </c>
      <c r="G665" s="235">
        <v>9.821736165485673</v>
      </c>
      <c r="H665" s="235">
        <v>-10584.901250453344</v>
      </c>
      <c r="I665" s="287">
        <v>7003.89020522957</v>
      </c>
      <c r="J665" s="233">
        <v>80239.36791621264</v>
      </c>
    </row>
    <row r="666">
      <c r="A666" s="184">
        <v>43199.0</v>
      </c>
      <c r="B666" s="174">
        <v>-0.11219787668559994</v>
      </c>
      <c r="C666" s="174">
        <v>0.030278683308755088</v>
      </c>
      <c r="D666" s="174">
        <v>-0.09151698497123208</v>
      </c>
      <c r="E666" s="282">
        <v>7.421356492138757E-4</v>
      </c>
      <c r="F666" s="287">
        <v>163.16088542287798</v>
      </c>
      <c r="G666" s="235">
        <v>66.38617879800216</v>
      </c>
      <c r="H666" s="235">
        <v>-11408.596022502084</v>
      </c>
      <c r="I666" s="287">
        <v>6994.068469064084</v>
      </c>
      <c r="J666" s="233">
        <v>79415.6731441639</v>
      </c>
    </row>
    <row r="667">
      <c r="A667" s="184">
        <v>43196.0</v>
      </c>
      <c r="B667" s="174">
        <v>-0.11399034734186864</v>
      </c>
      <c r="C667" s="174">
        <v>0.030407695863356565</v>
      </c>
      <c r="D667" s="174">
        <v>-0.09322133770492468</v>
      </c>
      <c r="E667" s="282">
        <v>-0.0029790523571017564</v>
      </c>
      <c r="F667" s="287">
        <v>-654.4680811241851</v>
      </c>
      <c r="G667" s="235">
        <v>66.41522885858275</v>
      </c>
      <c r="H667" s="235">
        <v>-11571.756907924962</v>
      </c>
      <c r="I667" s="287">
        <v>6927.6822902660815</v>
      </c>
      <c r="J667" s="233">
        <v>79252.51225874102</v>
      </c>
    </row>
    <row r="668">
      <c r="A668" s="184">
        <v>43195.0</v>
      </c>
      <c r="B668" s="174">
        <v>-0.10963630392820589</v>
      </c>
      <c r="C668" s="174">
        <v>0.031167898824286604</v>
      </c>
      <c r="D668" s="174">
        <v>-0.08812655163740273</v>
      </c>
      <c r="E668" s="282">
        <v>0.012794199664717903</v>
      </c>
      <c r="F668" s="287">
        <v>2818.0238212256063</v>
      </c>
      <c r="G668" s="235">
        <v>28.8470848442282</v>
      </c>
      <c r="H668" s="235">
        <v>-10917.288826800777</v>
      </c>
      <c r="I668" s="287">
        <v>6861.267061407499</v>
      </c>
      <c r="J668" s="233">
        <v>79906.9803398652</v>
      </c>
    </row>
    <row r="669">
      <c r="A669" s="184">
        <v>43194.0</v>
      </c>
      <c r="B669" s="174">
        <v>-0.13223952255091867</v>
      </c>
      <c r="C669" s="174">
        <v>0.030816513170009108</v>
      </c>
      <c r="D669" s="174">
        <v>-0.11110090322170016</v>
      </c>
      <c r="E669" s="282">
        <v>-0.004300897400127467</v>
      </c>
      <c r="F669" s="287">
        <v>-935.4074112596609</v>
      </c>
      <c r="G669" s="235">
        <v>34.1589961937732</v>
      </c>
      <c r="H669" s="235">
        <v>-13735.312648026384</v>
      </c>
      <c r="I669" s="287">
        <v>6832.41997656327</v>
      </c>
      <c r="J669" s="233">
        <v>77088.95651863959</v>
      </c>
    </row>
    <row r="670">
      <c r="A670" s="184">
        <v>43193.0</v>
      </c>
      <c r="B670" s="174">
        <v>-0.12151166507668329</v>
      </c>
      <c r="C670" s="174">
        <v>0.02747081939642453</v>
      </c>
      <c r="D670" s="174">
        <v>-0.10373763037883117</v>
      </c>
      <c r="E670" s="282">
        <v>-3.560785697502815E-4</v>
      </c>
      <c r="F670" s="287">
        <v>-77.92668572079674</v>
      </c>
      <c r="G670" s="235">
        <v>32.19069799824438</v>
      </c>
      <c r="H670" s="235">
        <v>-12799.905236766723</v>
      </c>
      <c r="I670" s="287">
        <v>6798.260980369497</v>
      </c>
      <c r="J670" s="233">
        <v>78024.36392989925</v>
      </c>
    </row>
    <row r="671">
      <c r="A671" s="184">
        <v>43188.0</v>
      </c>
      <c r="B671" s="174">
        <v>-0.12293739198283093</v>
      </c>
      <c r="C671" s="174">
        <v>0.02765002568305323</v>
      </c>
      <c r="D671" s="174">
        <v>-0.10377868262031012</v>
      </c>
      <c r="E671" s="282">
        <v>0.008220594375227663</v>
      </c>
      <c r="F671" s="287">
        <v>1798.4135245518682</v>
      </c>
      <c r="G671" s="235">
        <v>46.91488643567398</v>
      </c>
      <c r="H671" s="235">
        <v>-12721.978551045926</v>
      </c>
      <c r="I671" s="287">
        <v>6766.070282371253</v>
      </c>
      <c r="J671" s="233">
        <v>78102.29061562005</v>
      </c>
    </row>
    <row r="672">
      <c r="A672" s="184">
        <v>43187.0</v>
      </c>
      <c r="B672" s="174">
        <v>-0.13788402650550455</v>
      </c>
      <c r="C672" s="174">
        <v>0.02770552299964317</v>
      </c>
      <c r="D672" s="174">
        <v>-0.11868686303913825</v>
      </c>
      <c r="E672" s="282">
        <v>-3.913634629211056E-4</v>
      </c>
      <c r="F672" s="287">
        <v>-84.91447022389184</v>
      </c>
      <c r="G672" s="235">
        <v>59.67011334335534</v>
      </c>
      <c r="H672" s="235">
        <v>-14520.392075597794</v>
      </c>
      <c r="I672" s="287">
        <v>6719.155395935579</v>
      </c>
      <c r="J672" s="233">
        <v>76303.87709106818</v>
      </c>
    </row>
    <row r="673">
      <c r="A673" s="184">
        <v>43186.0</v>
      </c>
      <c r="B673" s="174">
        <v>-0.13745809762906755</v>
      </c>
      <c r="C673" s="174">
        <v>0.027759675007456353</v>
      </c>
      <c r="D673" s="174">
        <v>-0.11822341222362667</v>
      </c>
      <c r="E673" s="282">
        <v>-0.0038917413450254867</v>
      </c>
      <c r="F673" s="287">
        <v>-844.7249625220211</v>
      </c>
      <c r="G673" s="235">
        <v>51.744426469330385</v>
      </c>
      <c r="H673" s="235">
        <v>-14435.477605373902</v>
      </c>
      <c r="I673" s="287">
        <v>6659.4852825922235</v>
      </c>
      <c r="J673" s="233">
        <v>76388.79156129208</v>
      </c>
    </row>
    <row r="674">
      <c r="A674" s="184">
        <v>43185.0</v>
      </c>
      <c r="B674" s="174">
        <v>-0.13079608988360572</v>
      </c>
      <c r="C674" s="174">
        <v>0.02781413650328293</v>
      </c>
      <c r="D674" s="174">
        <v>-0.1115236680947723</v>
      </c>
      <c r="E674" s="282">
        <v>-0.0019124724218381622</v>
      </c>
      <c r="F674" s="287">
        <v>-416.72871102508907</v>
      </c>
      <c r="G674" s="235">
        <v>43.87796429114992</v>
      </c>
      <c r="H674" s="235">
        <v>-13590.752642851881</v>
      </c>
      <c r="I674" s="287">
        <v>6607.740856122893</v>
      </c>
      <c r="J674" s="233">
        <v>77233.51652381409</v>
      </c>
    </row>
    <row r="675">
      <c r="A675" s="184">
        <v>43182.0</v>
      </c>
      <c r="B675" s="174">
        <v>-0.12792082187816556</v>
      </c>
      <c r="C675" s="174">
        <v>0.027933000570097358</v>
      </c>
      <c r="D675" s="174">
        <v>-0.10856603914920683</v>
      </c>
      <c r="E675" s="282">
        <v>-0.002116273414948618</v>
      </c>
      <c r="F675" s="287">
        <v>-462.01896271613623</v>
      </c>
      <c r="G675" s="235">
        <v>12.495930562324629</v>
      </c>
      <c r="H675" s="235">
        <v>-13174.023931826792</v>
      </c>
      <c r="I675" s="287">
        <v>6563.862891831744</v>
      </c>
      <c r="J675" s="233">
        <v>77650.24523483918</v>
      </c>
    </row>
    <row r="676">
      <c r="A676" s="184">
        <v>43181.0</v>
      </c>
      <c r="B676" s="174">
        <v>-0.12436338548857008</v>
      </c>
      <c r="C676" s="174">
        <v>0.02798927097297442</v>
      </c>
      <c r="D676" s="174">
        <v>-0.10496961298409391</v>
      </c>
      <c r="E676" s="282">
        <v>-0.0056654621798542006</v>
      </c>
      <c r="F676" s="287">
        <v>-1239.48559511418</v>
      </c>
      <c r="G676" s="235">
        <v>33.41059937187721</v>
      </c>
      <c r="H676" s="235">
        <v>-12712.004969110656</v>
      </c>
      <c r="I676" s="287">
        <v>6551.366961269419</v>
      </c>
      <c r="J676" s="233">
        <v>78112.26419755531</v>
      </c>
    </row>
    <row r="677">
      <c r="A677" s="184">
        <v>43180.0</v>
      </c>
      <c r="B677" s="174">
        <v>-0.11510483859319173</v>
      </c>
      <c r="C677" s="174">
        <v>0.028790566882302113</v>
      </c>
      <c r="D677" s="174">
        <v>-0.09492725594855377</v>
      </c>
      <c r="E677" s="282">
        <v>5.775408021649954E-4</v>
      </c>
      <c r="F677" s="287">
        <v>127.01784438191135</v>
      </c>
      <c r="G677" s="235">
        <v>30.15746182293546</v>
      </c>
      <c r="H677" s="235">
        <v>-11472.519373996476</v>
      </c>
      <c r="I677" s="287">
        <v>6517.956361897542</v>
      </c>
      <c r="J677" s="233">
        <v>79351.74979266949</v>
      </c>
    </row>
    <row r="678">
      <c r="A678" s="184">
        <v>43179.0</v>
      </c>
      <c r="B678" s="174">
        <v>-0.11175236515897602</v>
      </c>
      <c r="C678" s="174">
        <v>0.024205440379033157</v>
      </c>
      <c r="D678" s="174">
        <v>-0.09617781884829725</v>
      </c>
      <c r="E678" s="282">
        <v>-0.0059200893283369495</v>
      </c>
      <c r="F678" s="287">
        <v>-1304.5625634357548</v>
      </c>
      <c r="G678" s="235">
        <v>18.398634705334754</v>
      </c>
      <c r="H678" s="235">
        <v>-11599.537218378387</v>
      </c>
      <c r="I678" s="287">
        <v>6487.7989000746065</v>
      </c>
      <c r="J678" s="233">
        <v>79224.73194828758</v>
      </c>
    </row>
    <row r="679">
      <c r="A679" s="184">
        <v>43178.0</v>
      </c>
      <c r="B679" s="174">
        <v>-0.10114555434754285</v>
      </c>
      <c r="C679" s="174">
        <v>0.024255800289601948</v>
      </c>
      <c r="D679" s="174">
        <v>-0.0855386048767863</v>
      </c>
      <c r="E679" s="282">
        <v>-0.00382392070223404</v>
      </c>
      <c r="F679" s="287">
        <v>-847.635253498458</v>
      </c>
      <c r="G679" s="235">
        <v>62.446470027568346</v>
      </c>
      <c r="H679" s="235">
        <v>-10294.974654942633</v>
      </c>
      <c r="I679" s="287">
        <v>6469.400265369271</v>
      </c>
      <c r="J679" s="233">
        <v>80529.29451172333</v>
      </c>
    </row>
    <row r="680">
      <c r="A680" s="184">
        <v>43175.0</v>
      </c>
      <c r="B680" s="174">
        <v>-0.09451930543381884</v>
      </c>
      <c r="C680" s="174">
        <v>0.024363172192795504</v>
      </c>
      <c r="D680" s="174">
        <v>-0.07884326948280959</v>
      </c>
      <c r="E680" s="282">
        <v>0.0029817267463333238</v>
      </c>
      <c r="F680" s="287">
        <v>663.4764539118896</v>
      </c>
      <c r="G680" s="235">
        <v>24.550128378205407</v>
      </c>
      <c r="H680" s="235">
        <v>-9447.339401444175</v>
      </c>
      <c r="I680" s="287">
        <v>6406.953795341703</v>
      </c>
      <c r="J680" s="233">
        <v>81376.9297652218</v>
      </c>
    </row>
    <row r="681">
      <c r="A681" s="184">
        <v>43174.0</v>
      </c>
      <c r="B681" s="174">
        <v>-0.10027290085597691</v>
      </c>
      <c r="C681" s="174">
        <v>0.02441589303898232</v>
      </c>
      <c r="D681" s="174">
        <v>-0.08456294264420244</v>
      </c>
      <c r="E681" s="282">
        <v>8.790236124314432E-4</v>
      </c>
      <c r="F681" s="287">
        <v>195.01199858744803</v>
      </c>
      <c r="G681" s="235">
        <v>54.793871243768386</v>
      </c>
      <c r="H681" s="235">
        <v>-10110.815855356064</v>
      </c>
      <c r="I681" s="287">
        <v>6382.403666963498</v>
      </c>
      <c r="J681" s="233">
        <v>80713.4533113099</v>
      </c>
    </row>
    <row r="682">
      <c r="A682" s="184">
        <v>43173.0</v>
      </c>
      <c r="B682" s="174">
        <v>-0.10212278960648062</v>
      </c>
      <c r="C682" s="174">
        <v>0.024468337043764242</v>
      </c>
      <c r="D682" s="174">
        <v>-0.08637908726246135</v>
      </c>
      <c r="E682" s="282">
        <v>-0.002943070579045508</v>
      </c>
      <c r="F682" s="287">
        <v>-652.3483168023213</v>
      </c>
      <c r="G682" s="235">
        <v>21.218440969487855</v>
      </c>
      <c r="H682" s="235">
        <v>-10305.827853943512</v>
      </c>
      <c r="I682" s="287">
        <v>6327.60979571973</v>
      </c>
      <c r="J682" s="233">
        <v>80518.44131272245</v>
      </c>
    </row>
    <row r="683">
      <c r="A683" s="184">
        <v>43172.0</v>
      </c>
      <c r="B683" s="174">
        <v>-0.09686261500061995</v>
      </c>
      <c r="C683" s="174">
        <v>0.02452087421541318</v>
      </c>
      <c r="D683" s="174">
        <v>-0.08108510857784544</v>
      </c>
      <c r="E683" s="282">
        <v>4.843721298276743E-4</v>
      </c>
      <c r="F683" s="287">
        <v>107.67981419309035</v>
      </c>
      <c r="G683" s="235">
        <v>27.49889239698536</v>
      </c>
      <c r="H683" s="235">
        <v>-9653.479537141191</v>
      </c>
      <c r="I683" s="287">
        <v>6306.391354750242</v>
      </c>
      <c r="J683" s="233">
        <v>81170.78962952478</v>
      </c>
    </row>
    <row r="684">
      <c r="A684" s="184">
        <v>43171.0</v>
      </c>
      <c r="B684" s="174">
        <v>-0.09797964289797256</v>
      </c>
      <c r="C684" s="174">
        <v>0.02457418705501717</v>
      </c>
      <c r="D684" s="174">
        <v>-0.08216783330713483</v>
      </c>
      <c r="E684" s="282">
        <v>0.0036090362939583433</v>
      </c>
      <c r="F684" s="287">
        <v>801.9291300213044</v>
      </c>
      <c r="G684" s="235">
        <v>27.369794405669083</v>
      </c>
      <c r="H684" s="235">
        <v>-9761.159351334281</v>
      </c>
      <c r="I684" s="287">
        <v>6278.892462353257</v>
      </c>
      <c r="J684" s="233">
        <v>81063.10981533169</v>
      </c>
    </row>
    <row r="685">
      <c r="A685" s="184">
        <v>43168.0</v>
      </c>
      <c r="B685" s="174">
        <v>-0.10520075974676461</v>
      </c>
      <c r="C685" s="174">
        <v>0.024684612209168243</v>
      </c>
      <c r="D685" s="174">
        <v>-0.0893178991173893</v>
      </c>
      <c r="E685" s="282">
        <v>0.011333437665152043</v>
      </c>
      <c r="F685" s="287">
        <v>2509.2052094446117</v>
      </c>
      <c r="G685" s="235">
        <v>60.816588618264454</v>
      </c>
      <c r="H685" s="235">
        <v>-10563.088481355586</v>
      </c>
      <c r="I685" s="287">
        <v>6251.522667947587</v>
      </c>
      <c r="J685" s="233">
        <v>80261.18068531038</v>
      </c>
    </row>
    <row r="686">
      <c r="A686" s="184">
        <v>43167.0</v>
      </c>
      <c r="B686" s="174">
        <v>-0.12675135496894566</v>
      </c>
      <c r="C686" s="174">
        <v>0.024798647012910235</v>
      </c>
      <c r="D686" s="174">
        <v>-0.11077345637824672</v>
      </c>
      <c r="E686" s="282">
        <v>0.006200493840630569</v>
      </c>
      <c r="F686" s="287">
        <v>1357.1767799648078</v>
      </c>
      <c r="G686" s="235">
        <v>15.91764439520161</v>
      </c>
      <c r="H686" s="235">
        <v>-13072.293690800198</v>
      </c>
      <c r="I686" s="287">
        <v>6190.706079329323</v>
      </c>
      <c r="J686" s="233">
        <v>77751.97547586577</v>
      </c>
    </row>
    <row r="687">
      <c r="A687" s="184">
        <v>43166.0</v>
      </c>
      <c r="B687" s="174">
        <v>-0.13853962980685877</v>
      </c>
      <c r="C687" s="174">
        <v>0.02485024886544663</v>
      </c>
      <c r="D687" s="174">
        <v>-0.12252848387139582</v>
      </c>
      <c r="E687" s="282">
        <v>-0.010306867113348401</v>
      </c>
      <c r="F687" s="287">
        <v>-2241.9999240862726</v>
      </c>
      <c r="G687" s="235">
        <v>17.996871907684366</v>
      </c>
      <c r="H687" s="235">
        <v>-14429.470470765005</v>
      </c>
      <c r="I687" s="287">
        <v>6174.788434934121</v>
      </c>
      <c r="J687" s="233">
        <v>76394.79869590096</v>
      </c>
    </row>
    <row r="688">
      <c r="A688" s="184">
        <v>43165.0</v>
      </c>
      <c r="B688" s="174">
        <v>-0.11974549276236643</v>
      </c>
      <c r="C688" s="174">
        <v>0.024900968491563112</v>
      </c>
      <c r="D688" s="174">
        <v>-0.10370166790525807</v>
      </c>
      <c r="E688" s="282">
        <v>0.002024272797490211</v>
      </c>
      <c r="F688" s="287">
        <v>444.86809562394046</v>
      </c>
      <c r="G688" s="235">
        <v>21.66385909072938</v>
      </c>
      <c r="H688" s="235">
        <v>-12187.470546678733</v>
      </c>
      <c r="I688" s="287">
        <v>6156.791563026437</v>
      </c>
      <c r="J688" s="233">
        <v>78636.79861998722</v>
      </c>
    </row>
    <row r="689">
      <c r="A689" s="184">
        <v>43164.0</v>
      </c>
      <c r="B689" s="174">
        <v>-0.12341069955740361</v>
      </c>
      <c r="C689" s="174">
        <v>0.024571684504220457</v>
      </c>
      <c r="D689" s="174">
        <v>-0.10771494196717653</v>
      </c>
      <c r="E689" s="282">
        <v>-0.002330978241457151</v>
      </c>
      <c r="F689" s="287">
        <v>-511.33926417262774</v>
      </c>
      <c r="G689" s="235">
        <v>25.6952664441176</v>
      </c>
      <c r="H689" s="235">
        <v>-12632.338642302673</v>
      </c>
      <c r="I689" s="287">
        <v>6135.127703935707</v>
      </c>
      <c r="J689" s="233">
        <v>78191.93052436328</v>
      </c>
    </row>
    <row r="690">
      <c r="A690" s="184">
        <v>43161.0</v>
      </c>
      <c r="B690" s="174">
        <v>-0.1195799945615617</v>
      </c>
      <c r="C690" s="174">
        <v>0.02468096020168113</v>
      </c>
      <c r="D690" s="174">
        <v>-0.10381443447742947</v>
      </c>
      <c r="E690" s="282">
        <v>-0.011397739325197146</v>
      </c>
      <c r="F690" s="287">
        <v>-2506.113844094507</v>
      </c>
      <c r="G690" s="235">
        <v>52.709808400986496</v>
      </c>
      <c r="H690" s="235">
        <v>-12120.999378130045</v>
      </c>
      <c r="I690" s="287">
        <v>6109.43243749159</v>
      </c>
      <c r="J690" s="233">
        <v>78703.26978853591</v>
      </c>
    </row>
    <row r="691">
      <c r="A691" s="184">
        <v>43160.0</v>
      </c>
      <c r="B691" s="174">
        <v>-0.09832515491873885</v>
      </c>
      <c r="C691" s="174">
        <v>0.024733691968040344</v>
      </c>
      <c r="D691" s="174">
        <v>-0.08252591114385531</v>
      </c>
      <c r="E691" s="282">
        <v>-0.0011148072045943677</v>
      </c>
      <c r="F691" s="287">
        <v>-247.91558021507626</v>
      </c>
      <c r="G691" s="235">
        <v>12.063179778785422</v>
      </c>
      <c r="H691" s="235">
        <v>-9614.885534035539</v>
      </c>
      <c r="I691" s="287">
        <v>6056.722629090603</v>
      </c>
      <c r="J691" s="233">
        <v>81209.38363263042</v>
      </c>
    </row>
    <row r="692">
      <c r="A692" s="184">
        <v>43159.0</v>
      </c>
      <c r="B692" s="174">
        <v>-0.09641141265789192</v>
      </c>
      <c r="C692" s="174">
        <v>0.02478875349487174</v>
      </c>
      <c r="D692" s="174">
        <v>-0.08057699700142473</v>
      </c>
      <c r="E692" s="282">
        <v>0.001972839257257201</v>
      </c>
      <c r="F692" s="287">
        <v>439.2175047238561</v>
      </c>
      <c r="G692" s="235">
        <v>0.5629035086671164</v>
      </c>
      <c r="H692" s="235">
        <v>-9366.969953820462</v>
      </c>
      <c r="I692" s="287">
        <v>6044.659449311817</v>
      </c>
      <c r="J692" s="233">
        <v>81457.2992128455</v>
      </c>
    </row>
    <row r="693">
      <c r="A693" s="184">
        <v>43158.0</v>
      </c>
      <c r="B693" s="174">
        <v>-0.10184842513134378</v>
      </c>
      <c r="C693" s="174">
        <v>0.02484429353275797</v>
      </c>
      <c r="D693" s="174">
        <v>-0.08454425562256648</v>
      </c>
      <c r="E693" s="282">
        <v>0.005490257010890161</v>
      </c>
      <c r="F693" s="287">
        <v>1218.9831112073498</v>
      </c>
      <c r="G693" s="235">
        <v>53.50976397520393</v>
      </c>
      <c r="H693" s="235">
        <v>-9806.187458544318</v>
      </c>
      <c r="I693" s="287">
        <v>6044.096545803151</v>
      </c>
      <c r="J693" s="233">
        <v>81018.08170812164</v>
      </c>
    </row>
    <row r="694">
      <c r="A694" s="184">
        <v>43157.0</v>
      </c>
      <c r="B694" s="174">
        <v>-0.11260867530397119</v>
      </c>
      <c r="C694" s="174">
        <v>0.02489974118761999</v>
      </c>
      <c r="D694" s="174">
        <v>-0.09526588623785644</v>
      </c>
      <c r="E694" s="282">
        <v>0.0092538770229224</v>
      </c>
      <c r="F694" s="287">
        <v>2043.3265559317679</v>
      </c>
      <c r="G694" s="235">
        <v>57.8730110935267</v>
      </c>
      <c r="H694" s="235">
        <v>-11025.170569751668</v>
      </c>
      <c r="I694" s="287">
        <v>5990.586781827947</v>
      </c>
      <c r="J694" s="233">
        <v>79799.0985969143</v>
      </c>
    </row>
    <row r="695">
      <c r="A695" s="184">
        <v>43154.0</v>
      </c>
      <c r="B695" s="174">
        <v>-0.13085753317378396</v>
      </c>
      <c r="C695" s="174">
        <v>0.02501308346413549</v>
      </c>
      <c r="D695" s="174">
        <v>-0.11343580066889727</v>
      </c>
      <c r="E695" s="282">
        <v>0.0010379082477063367</v>
      </c>
      <c r="F695" s="287">
        <v>227.05726387789764</v>
      </c>
      <c r="G695" s="235">
        <v>15.387845834687212</v>
      </c>
      <c r="H695" s="235">
        <v>-13068.497125683436</v>
      </c>
      <c r="I695" s="287">
        <v>5932.71377073442</v>
      </c>
      <c r="J695" s="233">
        <v>77755.77204098253</v>
      </c>
    </row>
    <row r="696">
      <c r="A696" s="184">
        <v>43153.0</v>
      </c>
      <c r="B696" s="174">
        <v>-0.13311212120682925</v>
      </c>
      <c r="C696" s="174">
        <v>0.025066509122993966</v>
      </c>
      <c r="D696" s="174">
        <v>-0.11565317747451179</v>
      </c>
      <c r="E696" s="282">
        <v>-0.001559101294152043</v>
      </c>
      <c r="F696" s="287">
        <v>-340.7216868606447</v>
      </c>
      <c r="G696" s="235">
        <v>26.61481724311859</v>
      </c>
      <c r="H696" s="235">
        <v>-13295.554389561334</v>
      </c>
      <c r="I696" s="287">
        <v>5917.325924899733</v>
      </c>
      <c r="J696" s="233">
        <v>77528.71477710463</v>
      </c>
    </row>
    <row r="697">
      <c r="A697" s="184">
        <v>43152.0</v>
      </c>
      <c r="B697" s="174">
        <v>-0.13042600672486762</v>
      </c>
      <c r="C697" s="174">
        <v>0.025119993867562276</v>
      </c>
      <c r="D697" s="174">
        <v>-0.1129298106116393</v>
      </c>
      <c r="E697" s="282">
        <v>-0.0034334060262477474</v>
      </c>
      <c r="F697" s="287">
        <v>-751.4968975973443</v>
      </c>
      <c r="G697" s="235">
        <v>26.44085715621057</v>
      </c>
      <c r="H697" s="235">
        <v>-12954.832702700689</v>
      </c>
      <c r="I697" s="287">
        <v>5890.711107656614</v>
      </c>
      <c r="J697" s="233">
        <v>77869.43646396528</v>
      </c>
    </row>
    <row r="698">
      <c r="A698" s="184">
        <v>43151.0</v>
      </c>
      <c r="B698" s="174">
        <v>-0.1241414980239581</v>
      </c>
      <c r="C698" s="174">
        <v>0.025174023220841658</v>
      </c>
      <c r="D698" s="174">
        <v>-0.10660767020724167</v>
      </c>
      <c r="E698" s="282">
        <v>0.003153682124853739</v>
      </c>
      <c r="F698" s="287">
        <v>692.6414837858283</v>
      </c>
      <c r="G698" s="235">
        <v>57.13149896742166</v>
      </c>
      <c r="H698" s="235">
        <v>-12203.335805103345</v>
      </c>
      <c r="I698" s="287">
        <v>5864.270250500404</v>
      </c>
      <c r="J698" s="233">
        <v>78620.93336156262</v>
      </c>
    </row>
    <row r="699">
      <c r="A699" s="184">
        <v>43150.0</v>
      </c>
      <c r="B699" s="174">
        <v>-0.13047647626038902</v>
      </c>
      <c r="C699" s="174">
        <v>0.025228956918206175</v>
      </c>
      <c r="D699" s="174">
        <v>-0.11290438686019524</v>
      </c>
      <c r="E699" s="282">
        <v>0.008616423338789614</v>
      </c>
      <c r="F699" s="287">
        <v>1886.4522627642255</v>
      </c>
      <c r="G699" s="235">
        <v>18.97303999922772</v>
      </c>
      <c r="H699" s="235">
        <v>-12895.977288889173</v>
      </c>
      <c r="I699" s="287">
        <v>5807.138751532982</v>
      </c>
      <c r="J699" s="233">
        <v>77928.29187777679</v>
      </c>
    </row>
    <row r="700">
      <c r="A700" s="184">
        <v>43147.0</v>
      </c>
      <c r="B700" s="174">
        <v>-0.14765957739759142</v>
      </c>
      <c r="C700" s="174">
        <v>0.02534347075831842</v>
      </c>
      <c r="D700" s="174">
        <v>-0.130007728558966</v>
      </c>
      <c r="E700" s="282">
        <v>0.005084083238091815</v>
      </c>
      <c r="F700" s="287">
        <v>1103.502099377225</v>
      </c>
      <c r="G700" s="235">
        <v>2.5357151943504164</v>
      </c>
      <c r="H700" s="235">
        <v>-14782.429551653398</v>
      </c>
      <c r="I700" s="287">
        <v>5788.165711533754</v>
      </c>
      <c r="J700" s="233">
        <v>76041.83961501256</v>
      </c>
    </row>
    <row r="701">
      <c r="A701" s="184">
        <v>43146.0</v>
      </c>
      <c r="B701" s="174">
        <v>-0.1576962973529759</v>
      </c>
      <c r="C701" s="174">
        <v>0.02539689053603766</v>
      </c>
      <c r="D701" s="174">
        <v>-0.14000724138316134</v>
      </c>
      <c r="E701" s="282">
        <v>-0.005238095485340439</v>
      </c>
      <c r="F701" s="287">
        <v>-1131.1502637911872</v>
      </c>
      <c r="G701" s="235">
        <v>31.557015126673594</v>
      </c>
      <c r="H701" s="235">
        <v>-15885.931651030623</v>
      </c>
      <c r="I701" s="287">
        <v>5785.629996339403</v>
      </c>
      <c r="J701" s="233">
        <v>74938.33751563534</v>
      </c>
    </row>
    <row r="702">
      <c r="A702" s="184">
        <v>43145.0</v>
      </c>
      <c r="B702" s="174">
        <v>-0.1480337082887553</v>
      </c>
      <c r="C702" s="174">
        <v>0.02544959366244308</v>
      </c>
      <c r="D702" s="174">
        <v>-0.13030794433882617</v>
      </c>
      <c r="E702" s="282">
        <v>0.006109226797285813</v>
      </c>
      <c r="F702" s="287">
        <v>1326.1787873185167</v>
      </c>
      <c r="G702" s="235">
        <v>23.008247516650037</v>
      </c>
      <c r="H702" s="235">
        <v>-14754.781387239436</v>
      </c>
      <c r="I702" s="287">
        <v>5754.072981212729</v>
      </c>
      <c r="J702" s="233">
        <v>76069.48777942653</v>
      </c>
    </row>
    <row r="703">
      <c r="A703" s="184">
        <v>43144.0</v>
      </c>
      <c r="B703" s="174">
        <v>-0.16008453184469254</v>
      </c>
      <c r="C703" s="174">
        <v>0.025503533414808786</v>
      </c>
      <c r="D703" s="174">
        <v>-0.14232119859874104</v>
      </c>
      <c r="E703" s="282">
        <v>-0.005069870387869084</v>
      </c>
      <c r="F703" s="287">
        <v>-1093.8338131605778</v>
      </c>
      <c r="G703" s="235">
        <v>29.325355393010817</v>
      </c>
      <c r="H703" s="235">
        <v>-16080.960174557953</v>
      </c>
      <c r="I703" s="287">
        <v>5731.064733696079</v>
      </c>
      <c r="J703" s="233">
        <v>74743.30899210801</v>
      </c>
    </row>
    <row r="704">
      <c r="A704" s="184">
        <v>43143.0</v>
      </c>
      <c r="B704" s="174">
        <v>-0.15071646823752283</v>
      </c>
      <c r="C704" s="174">
        <v>0.025556554572759835</v>
      </c>
      <c r="D704" s="174">
        <v>-0.1329162055009611</v>
      </c>
      <c r="E704" s="282">
        <v>0.0020382807128759943</v>
      </c>
      <c r="F704" s="287">
        <v>441.9923338653589</v>
      </c>
      <c r="G704" s="235">
        <v>14.243957134678574</v>
      </c>
      <c r="H704" s="235">
        <v>-14987.126361397375</v>
      </c>
      <c r="I704" s="287">
        <v>5701.739378303068</v>
      </c>
      <c r="J704" s="233">
        <v>75837.14280526858</v>
      </c>
    </row>
    <row r="705">
      <c r="A705" s="184">
        <v>43140.0</v>
      </c>
      <c r="B705" s="174">
        <v>-0.1553348164505606</v>
      </c>
      <c r="C705" s="174">
        <v>0.02567198724195917</v>
      </c>
      <c r="D705" s="174">
        <v>-0.13745415430670468</v>
      </c>
      <c r="E705" s="282">
        <v>-0.01090034035755441</v>
      </c>
      <c r="F705" s="287">
        <v>-2425.846998053834</v>
      </c>
      <c r="G705" s="235">
        <v>62.129077988130625</v>
      </c>
      <c r="H705" s="235">
        <v>-15429.118695262734</v>
      </c>
      <c r="I705" s="287">
        <v>5687.49542116839</v>
      </c>
      <c r="J705" s="233">
        <v>75395.15047140322</v>
      </c>
    </row>
    <row r="706">
      <c r="A706" s="184">
        <v>43139.0</v>
      </c>
      <c r="B706" s="174">
        <v>-0.13400639454086302</v>
      </c>
      <c r="C706" s="174">
        <v>0.025726286593375555</v>
      </c>
      <c r="D706" s="174">
        <v>-0.11608791263852264</v>
      </c>
      <c r="E706" s="282">
        <v>0.0011870692933030266</v>
      </c>
      <c r="F706" s="287">
        <v>267.05933344398363</v>
      </c>
      <c r="G706" s="235">
        <v>19.0887857783493</v>
      </c>
      <c r="H706" s="235">
        <v>-13003.2716972089</v>
      </c>
      <c r="I706" s="287">
        <v>5625.366343180259</v>
      </c>
      <c r="J706" s="233">
        <v>77820.99746945706</v>
      </c>
    </row>
    <row r="707">
      <c r="A707" s="184">
        <v>43138.0</v>
      </c>
      <c r="B707" s="174">
        <v>-0.1366913661677954</v>
      </c>
      <c r="C707" s="174">
        <v>0.02578301936176043</v>
      </c>
      <c r="D707" s="174">
        <v>-0.11873336962039018</v>
      </c>
      <c r="E707" s="282">
        <v>0.009400886522718184</v>
      </c>
      <c r="F707" s="287">
        <v>2112.4413318256393</v>
      </c>
      <c r="G707" s="235">
        <v>17.177921998040212</v>
      </c>
      <c r="H707" s="235">
        <v>-13270.331030652884</v>
      </c>
      <c r="I707" s="287">
        <v>5606.27755740191</v>
      </c>
      <c r="J707" s="233">
        <v>77553.93813601308</v>
      </c>
    </row>
    <row r="708">
      <c r="A708" s="184">
        <v>43137.0</v>
      </c>
      <c r="B708" s="174">
        <v>-0.15599749995146917</v>
      </c>
      <c r="C708" s="174">
        <v>0.025902736408203737</v>
      </c>
      <c r="D708" s="174">
        <v>-0.13793701543012127</v>
      </c>
      <c r="E708" s="282">
        <v>-0.012654266896409206</v>
      </c>
      <c r="F708" s="287">
        <v>-2816.6771739156356</v>
      </c>
      <c r="G708" s="235">
        <v>65.92920582628379</v>
      </c>
      <c r="H708" s="235">
        <v>-15382.772362478523</v>
      </c>
      <c r="I708" s="287">
        <v>5589.09963540387</v>
      </c>
      <c r="J708" s="233">
        <v>75441.49680418744</v>
      </c>
    </row>
    <row r="709">
      <c r="A709" s="184">
        <v>43136.0</v>
      </c>
      <c r="B709" s="174">
        <v>-0.1306188359128994</v>
      </c>
      <c r="C709" s="174">
        <v>0.02555748906663124</v>
      </c>
      <c r="D709" s="174">
        <v>-0.11292033022349468</v>
      </c>
      <c r="E709" s="282">
        <v>-0.015178359235971516</v>
      </c>
      <c r="F709" s="287">
        <v>-3421.936725621128</v>
      </c>
      <c r="G709" s="235">
        <v>62.26528486213435</v>
      </c>
      <c r="H709" s="235">
        <v>-12566.095188562887</v>
      </c>
      <c r="I709" s="287">
        <v>5523.170429577586</v>
      </c>
      <c r="J709" s="233">
        <v>78258.17397810308</v>
      </c>
    </row>
    <row r="710">
      <c r="A710" s="184">
        <v>43133.0</v>
      </c>
      <c r="B710" s="174">
        <v>-0.10037210178912365</v>
      </c>
      <c r="C710" s="174">
        <v>0.02567641346844271</v>
      </c>
      <c r="D710" s="174">
        <v>-0.08255278224662627</v>
      </c>
      <c r="E710" s="282">
        <v>-0.015617057626430519</v>
      </c>
      <c r="F710" s="287">
        <v>-3971.894254833789</v>
      </c>
      <c r="G710" s="235">
        <v>42.99408054965552</v>
      </c>
      <c r="H710" s="235">
        <v>-9144.15846294176</v>
      </c>
      <c r="I710" s="287">
        <v>5460.905144715452</v>
      </c>
      <c r="J710" s="233">
        <v>81680.1107037242</v>
      </c>
    </row>
    <row r="711">
      <c r="A711" s="184">
        <v>43132.0</v>
      </c>
      <c r="B711" s="174">
        <v>-0.064666905130271</v>
      </c>
      <c r="C711" s="174">
        <v>0.02573721508706547</v>
      </c>
      <c r="D711" s="174">
        <v>-0.04680538952825496</v>
      </c>
      <c r="E711" s="282">
        <v>0.003401847646384685</v>
      </c>
      <c r="F711" s="287">
        <v>878.7054311986494</v>
      </c>
      <c r="G711" s="235">
        <v>35.85412386405636</v>
      </c>
      <c r="H711" s="235">
        <v>-5172.264208107971</v>
      </c>
      <c r="I711" s="287">
        <v>5417.911064165796</v>
      </c>
      <c r="J711" s="233">
        <v>85652.004958558</v>
      </c>
    </row>
    <row r="712">
      <c r="A712" s="184">
        <v>43131.0</v>
      </c>
      <c r="B712" s="174">
        <v>-0.07280124877483621</v>
      </c>
      <c r="C712" s="174">
        <v>0.025801956811172703</v>
      </c>
      <c r="D712" s="174">
        <v>-0.05489480269719058</v>
      </c>
      <c r="E712" s="282">
        <v>-0.007256695600352472</v>
      </c>
      <c r="F712" s="287">
        <v>-1868.045433833896</v>
      </c>
      <c r="G712" s="235">
        <v>59.984540946138125</v>
      </c>
      <c r="H712" s="235">
        <v>-6050.969639306621</v>
      </c>
      <c r="I712" s="287">
        <v>5382.05694030174</v>
      </c>
      <c r="J712" s="233">
        <v>84773.29952735936</v>
      </c>
    </row>
    <row r="713">
      <c r="A713" s="184">
        <v>43130.0</v>
      </c>
      <c r="B713" s="174">
        <v>-0.05782352270175266</v>
      </c>
      <c r="C713" s="174">
        <v>0.025866254118301586</v>
      </c>
      <c r="D713" s="174">
        <v>-0.03804233326290202</v>
      </c>
      <c r="E713" s="282">
        <v>-0.009755412077634735</v>
      </c>
      <c r="F713" s="287">
        <v>-2527.5347469825438</v>
      </c>
      <c r="G713" s="235">
        <v>61.65711054307148</v>
      </c>
      <c r="H713" s="235">
        <v>-4182.924205472725</v>
      </c>
      <c r="I713" s="287">
        <v>5322.072399355602</v>
      </c>
      <c r="J713" s="233">
        <v>86641.34496119324</v>
      </c>
    </row>
    <row r="714">
      <c r="A714" s="184">
        <v>43129.0</v>
      </c>
      <c r="B714" s="174">
        <v>-0.03492581040744399</v>
      </c>
      <c r="C714" s="174">
        <v>0.025932628975592426</v>
      </c>
      <c r="D714" s="174">
        <v>-0.015093860869352006</v>
      </c>
      <c r="E714" s="282">
        <v>0.0073049083015588575</v>
      </c>
      <c r="F714" s="287">
        <v>1911.0958692383194</v>
      </c>
      <c r="G714" s="235">
        <v>54.655196517173586</v>
      </c>
      <c r="H714" s="235">
        <v>-1655.3894584901811</v>
      </c>
      <c r="I714" s="287">
        <v>5260.415288812531</v>
      </c>
      <c r="J714" s="233">
        <v>89168.8797081758</v>
      </c>
    </row>
    <row r="715">
      <c r="A715" s="184">
        <v>43126.0</v>
      </c>
      <c r="B715" s="174">
        <v>-0.05261825232683989</v>
      </c>
      <c r="C715" s="174">
        <v>0.026064913020879286</v>
      </c>
      <c r="D715" s="174">
        <v>-0.032685138710347186</v>
      </c>
      <c r="E715" s="282">
        <v>1.0329298821339677E-4</v>
      </c>
      <c r="F715" s="287">
        <v>26.825907407900104</v>
      </c>
      <c r="G715" s="235">
        <v>38.85146464044319</v>
      </c>
      <c r="H715" s="235">
        <v>-3566.4853277285006</v>
      </c>
      <c r="I715" s="287">
        <v>5205.760092295357</v>
      </c>
      <c r="J715" s="233">
        <v>87257.78383893748</v>
      </c>
    </row>
    <row r="716">
      <c r="A716" s="184">
        <v>43125.0</v>
      </c>
      <c r="B716" s="174">
        <v>-0.05300194119322108</v>
      </c>
      <c r="C716" s="174">
        <v>0.02613287682234136</v>
      </c>
      <c r="D716" s="174">
        <v>-0.033016852334176554</v>
      </c>
      <c r="E716" s="282">
        <v>-0.007197255299153327</v>
      </c>
      <c r="F716" s="287">
        <v>-1504.171721465732</v>
      </c>
      <c r="G716" s="235">
        <v>48.643415279447545</v>
      </c>
      <c r="H716" s="235">
        <v>-3593.3112351364007</v>
      </c>
      <c r="I716" s="287">
        <v>5166.908627654914</v>
      </c>
      <c r="J716" s="233">
        <v>87230.95793152959</v>
      </c>
    </row>
    <row r="717">
      <c r="A717" s="184">
        <v>43124.0</v>
      </c>
      <c r="B717" s="174">
        <v>-0.03928342914724242</v>
      </c>
      <c r="C717" s="174">
        <v>0.02620120830416699</v>
      </c>
      <c r="D717" s="174">
        <v>-0.019246083862491718</v>
      </c>
      <c r="E717" s="282">
        <v>-0.0031521724780616362</v>
      </c>
      <c r="F717" s="287">
        <v>-663.5215277350931</v>
      </c>
      <c r="G717" s="235">
        <v>43.66192242871016</v>
      </c>
      <c r="H717" s="235">
        <v>-2089.1395136706687</v>
      </c>
      <c r="I717" s="287">
        <v>5118.265212375467</v>
      </c>
      <c r="J717" s="233">
        <v>88735.12965299531</v>
      </c>
    </row>
    <row r="718">
      <c r="A718" s="184">
        <v>43123.0</v>
      </c>
      <c r="B718" s="174">
        <v>-0.03325967603583754</v>
      </c>
      <c r="C718" s="174">
        <v>0.026271358618279617</v>
      </c>
      <c r="D718" s="174">
        <v>-0.013168591004280082</v>
      </c>
      <c r="E718" s="282">
        <v>0.006468876815992592</v>
      </c>
      <c r="F718" s="287">
        <v>1365.9686236926432</v>
      </c>
      <c r="G718" s="235">
        <v>57.214854988472354</v>
      </c>
      <c r="H718" s="235">
        <v>-1425.6179859355757</v>
      </c>
      <c r="I718" s="287">
        <v>5074.603289946756</v>
      </c>
      <c r="J718" s="233">
        <v>89398.6511807304</v>
      </c>
    </row>
    <row r="719">
      <c r="A719" s="184">
        <v>43122.0</v>
      </c>
      <c r="B719" s="174">
        <v>-0.04600161140509312</v>
      </c>
      <c r="C719" s="174">
        <v>0.026342556688217205</v>
      </c>
      <c r="D719" s="174">
        <v>-0.025856077477382885</v>
      </c>
      <c r="E719" s="282">
        <v>-8.104143865150647E-4</v>
      </c>
      <c r="F719" s="287">
        <v>-170.02017580187385</v>
      </c>
      <c r="G719" s="235">
        <v>18.12844786677118</v>
      </c>
      <c r="H719" s="235">
        <v>-2791.586609628219</v>
      </c>
      <c r="I719" s="287">
        <v>5017.388434958284</v>
      </c>
      <c r="J719" s="233">
        <v>88032.68255703776</v>
      </c>
    </row>
    <row r="720">
      <c r="A720" s="184">
        <v>43119.0</v>
      </c>
      <c r="B720" s="174">
        <v>-0.0446546326672882</v>
      </c>
      <c r="C720" s="174">
        <v>0.02647761267627049</v>
      </c>
      <c r="D720" s="174">
        <v>-0.024405814346127847</v>
      </c>
      <c r="E720" s="282">
        <v>-0.009958459291845167</v>
      </c>
      <c r="F720" s="287">
        <v>-2090.9193764508736</v>
      </c>
      <c r="G720" s="235">
        <v>39.114321137670444</v>
      </c>
      <c r="H720" s="235">
        <v>-2621.566433826345</v>
      </c>
      <c r="I720" s="287">
        <v>4999.259987091513</v>
      </c>
      <c r="J720" s="233">
        <v>88202.70273283962</v>
      </c>
    </row>
    <row r="721">
      <c r="A721" s="184">
        <v>43118.0</v>
      </c>
      <c r="B721" s="174">
        <v>-0.025256635298332282</v>
      </c>
      <c r="C721" s="174">
        <v>0.026548764692697985</v>
      </c>
      <c r="D721" s="174">
        <v>-0.004953403300552367</v>
      </c>
      <c r="E721" s="282">
        <v>0.003007305445389342</v>
      </c>
      <c r="F721" s="287">
        <v>637.7143455097341</v>
      </c>
      <c r="G721" s="235">
        <v>24.821513696012136</v>
      </c>
      <c r="H721" s="235">
        <v>-530.6470573754711</v>
      </c>
      <c r="I721" s="287">
        <v>4960.145665953843</v>
      </c>
      <c r="J721" s="233">
        <v>90293.62210929049</v>
      </c>
    </row>
    <row r="722">
      <c r="A722" s="184">
        <v>43117.0</v>
      </c>
      <c r="B722" s="174">
        <v>-0.03129600155676698</v>
      </c>
      <c r="C722" s="174">
        <v>0.026622370532836864</v>
      </c>
      <c r="D722" s="174">
        <v>-0.010936479314750497</v>
      </c>
      <c r="E722" s="282">
        <v>-0.0018829653184831258</v>
      </c>
      <c r="F722" s="287">
        <v>-398.09153513402407</v>
      </c>
      <c r="G722" s="235">
        <v>14.550957426805196</v>
      </c>
      <c r="H722" s="235">
        <v>-1168.3614028852053</v>
      </c>
      <c r="I722" s="287">
        <v>4935.32415225783</v>
      </c>
      <c r="J722" s="233">
        <v>89655.90776378075</v>
      </c>
    </row>
    <row r="723">
      <c r="A723" s="184">
        <v>43116.0</v>
      </c>
      <c r="B723" s="174">
        <v>-0.027645702863991713</v>
      </c>
      <c r="C723" s="174">
        <v>0.026695805705679962</v>
      </c>
      <c r="D723" s="174">
        <v>-0.007230020895965815</v>
      </c>
      <c r="E723" s="282">
        <v>0.006346159885549465</v>
      </c>
      <c r="F723" s="287">
        <v>1344.214649307281</v>
      </c>
      <c r="G723" s="235">
        <v>69.91908581729656</v>
      </c>
      <c r="H723" s="235">
        <v>-770.2698677511812</v>
      </c>
      <c r="I723" s="287">
        <v>4920.773194831025</v>
      </c>
      <c r="J723" s="233">
        <v>90053.99929891477</v>
      </c>
    </row>
    <row r="724">
      <c r="A724" s="184">
        <v>43115.0</v>
      </c>
      <c r="B724" s="174">
        <v>-0.04037499231407607</v>
      </c>
      <c r="C724" s="174">
        <v>0.026770081143896125</v>
      </c>
      <c r="D724" s="174">
        <v>-0.019902508025064804</v>
      </c>
      <c r="E724" s="282">
        <v>-0.008431036053535094</v>
      </c>
      <c r="F724" s="287">
        <v>-1774.4904902783935</v>
      </c>
      <c r="G724" s="235">
        <v>69.89475938655974</v>
      </c>
      <c r="H724" s="235">
        <v>-2114.484517058462</v>
      </c>
      <c r="I724" s="287">
        <v>4850.854109013728</v>
      </c>
      <c r="J724" s="233">
        <v>88709.78464960749</v>
      </c>
    </row>
    <row r="725">
      <c r="A725" s="184">
        <v>43112.0</v>
      </c>
      <c r="B725" s="174">
        <v>-0.023796260664786725</v>
      </c>
      <c r="C725" s="174">
        <v>0.026909847818629488</v>
      </c>
      <c r="D725" s="174">
        <v>-0.0032168894732955786</v>
      </c>
      <c r="E725" s="282">
        <v>-0.009160129132395995</v>
      </c>
      <c r="F725" s="287">
        <v>-1641.246680937466</v>
      </c>
      <c r="G725" s="235">
        <v>7.2261257847020754</v>
      </c>
      <c r="H725" s="235">
        <v>-339.9940267800687</v>
      </c>
      <c r="I725" s="287">
        <v>4780.959349627168</v>
      </c>
      <c r="J725" s="233">
        <v>90484.27513988588</v>
      </c>
    </row>
    <row r="726">
      <c r="A726" s="184">
        <v>43111.0</v>
      </c>
      <c r="B726" s="174">
        <v>-0.008290745484819777</v>
      </c>
      <c r="C726" s="174">
        <v>0.02698573314550868</v>
      </c>
      <c r="D726" s="174">
        <v>0.012346659193904744</v>
      </c>
      <c r="E726" s="282">
        <v>0.0047704597663921775</v>
      </c>
      <c r="F726" s="287">
        <v>862.5664973171581</v>
      </c>
      <c r="G726" s="235">
        <v>52.024547548354924</v>
      </c>
      <c r="H726" s="235">
        <v>1301.2526541573973</v>
      </c>
      <c r="I726" s="287">
        <v>4773.733223842466</v>
      </c>
      <c r="J726" s="233">
        <v>92125.52182082334</v>
      </c>
    </row>
    <row r="727">
      <c r="A727" s="184">
        <v>43110.0</v>
      </c>
      <c r="B727" s="174">
        <v>-0.016522647918936834</v>
      </c>
      <c r="C727" s="174">
        <v>0.02706373954701105</v>
      </c>
      <c r="D727" s="174">
        <v>0.004174412343968227</v>
      </c>
      <c r="E727" s="282">
        <v>-0.023603166817167197</v>
      </c>
      <c r="F727" s="287">
        <v>-4247.42659897873</v>
      </c>
      <c r="G727" s="235">
        <v>23.67900839543309</v>
      </c>
      <c r="H727" s="235">
        <v>438.68615684023916</v>
      </c>
      <c r="I727" s="287">
        <v>4721.708676294111</v>
      </c>
      <c r="J727" s="233">
        <v>91262.95532350619</v>
      </c>
    </row>
    <row r="728">
      <c r="A728" s="184">
        <v>43109.0</v>
      </c>
      <c r="B728" s="174">
        <v>0.023963196109519674</v>
      </c>
      <c r="C728" s="174">
        <v>0.027141374350508632</v>
      </c>
      <c r="D728" s="174">
        <v>0.04471962777613253</v>
      </c>
      <c r="E728" s="282">
        <v>0.008922249583135639</v>
      </c>
      <c r="F728" s="287">
        <v>1643.469297107114</v>
      </c>
      <c r="G728" s="235">
        <v>62.77227577759513</v>
      </c>
      <c r="H728" s="235">
        <v>4686.112755818969</v>
      </c>
      <c r="I728" s="287">
        <v>4698.029667898678</v>
      </c>
      <c r="J728" s="233">
        <v>95510.38192248491</v>
      </c>
    </row>
    <row r="729">
      <c r="A729" s="184">
        <v>43108.0</v>
      </c>
      <c r="B729" s="174">
        <v>0.007898847083686</v>
      </c>
      <c r="C729" s="174">
        <v>0.02762967224000913</v>
      </c>
      <c r="D729" s="174">
        <v>0.029124181626745214</v>
      </c>
      <c r="E729" s="282">
        <v>0.009122605990966206</v>
      </c>
      <c r="F729" s="287">
        <v>1664.9952222683391</v>
      </c>
      <c r="G729" s="235">
        <v>6.8816170793513365</v>
      </c>
      <c r="H729" s="235">
        <v>3042.6434587118556</v>
      </c>
      <c r="I729" s="287">
        <v>4635.257392121082</v>
      </c>
      <c r="J729" s="233">
        <v>93866.9126253778</v>
      </c>
    </row>
    <row r="730">
      <c r="A730" s="184">
        <v>43105.0</v>
      </c>
      <c r="B730" s="174">
        <v>-0.005581283533509255</v>
      </c>
      <c r="C730" s="174">
        <v>0.025279990295042753</v>
      </c>
      <c r="D730" s="174">
        <v>0.013259220613288127</v>
      </c>
      <c r="E730" s="282">
        <v>0.0010032544436583356</v>
      </c>
      <c r="F730" s="287">
        <v>181.69741404532238</v>
      </c>
      <c r="G730" s="235">
        <v>65.59961680132528</v>
      </c>
      <c r="H730" s="235">
        <v>1377.6482364435162</v>
      </c>
      <c r="I730" s="287">
        <v>4628.375775041731</v>
      </c>
      <c r="J730" s="233">
        <v>62201.91740310946</v>
      </c>
    </row>
    <row r="731">
      <c r="A731" s="184">
        <v>43104.0</v>
      </c>
      <c r="B731" s="174">
        <v>-0.007343289701970744</v>
      </c>
      <c r="C731" s="174">
        <v>0.025325699087184336</v>
      </c>
      <c r="D731" s="174">
        <v>0.011531279991444252</v>
      </c>
      <c r="E731" s="282">
        <v>9.353188327286638E-4</v>
      </c>
      <c r="F731" s="287">
        <v>169.22378584830892</v>
      </c>
      <c r="G731" s="235">
        <v>41.98390508325616</v>
      </c>
      <c r="H731" s="235">
        <v>1195.9508223981938</v>
      </c>
      <c r="I731" s="287">
        <v>4562.7761582404055</v>
      </c>
      <c r="J731" s="233">
        <v>62020.219989064135</v>
      </c>
    </row>
    <row r="732">
      <c r="A732" s="184">
        <v>43103.0</v>
      </c>
      <c r="B732" s="174">
        <v>-0.008991135242833345</v>
      </c>
      <c r="C732" s="174">
        <v>0.025371414950912493</v>
      </c>
      <c r="D732" s="174">
        <v>0.009917505267464585</v>
      </c>
      <c r="E732" s="282">
        <v>9.96282615668293E-4</v>
      </c>
      <c r="F732" s="287">
        <v>180.0851434733553</v>
      </c>
      <c r="G732" s="235">
        <v>62.78395989343706</v>
      </c>
      <c r="H732" s="235">
        <v>1026.7270365498848</v>
      </c>
      <c r="I732" s="287">
        <v>4520.792253157149</v>
      </c>
      <c r="J732" s="233">
        <v>61850.99620321583</v>
      </c>
    </row>
    <row r="733">
      <c r="A733" s="184">
        <v>43102.0</v>
      </c>
      <c r="B733" s="174">
        <v>-0.010749981608760775</v>
      </c>
      <c r="C733" s="174">
        <v>0.02541714883276876</v>
      </c>
      <c r="D733" s="174">
        <v>0.008192743146851563</v>
      </c>
      <c r="E733" s="282">
        <v>-0.005761429828829065</v>
      </c>
      <c r="F733" s="287">
        <v>-1040.3817251072937</v>
      </c>
      <c r="G733" s="235">
        <v>21.422967328472062</v>
      </c>
      <c r="H733" s="235">
        <v>846.6418930765294</v>
      </c>
      <c r="I733" s="287">
        <v>4458.008293263712</v>
      </c>
      <c r="J733" s="233">
        <v>61670.91105974247</v>
      </c>
    </row>
    <row r="734">
      <c r="A734" s="184">
        <v>43098.0</v>
      </c>
      <c r="B734" s="174">
        <v>-0.0032110141311214807</v>
      </c>
      <c r="C734" s="174">
        <v>0.026846548267107945</v>
      </c>
      <c r="D734" s="174">
        <v>0.01836215019056039</v>
      </c>
      <c r="E734" s="282">
        <v>-0.0026687025854259115</v>
      </c>
      <c r="F734" s="287">
        <v>-483.9903596473223</v>
      </c>
      <c r="G734" s="235">
        <v>18.964565669492004</v>
      </c>
      <c r="H734" s="235">
        <v>1887.0236181838231</v>
      </c>
      <c r="I734" s="287">
        <v>4436.585325935241</v>
      </c>
      <c r="J734" s="233">
        <v>62711.292784849764</v>
      </c>
    </row>
    <row r="735">
      <c r="A735" s="184">
        <v>43097.0</v>
      </c>
      <c r="B735" s="174">
        <v>0.009916443598633813</v>
      </c>
      <c r="C735" s="174">
        <v>0.018481051192659283</v>
      </c>
      <c r="D735" s="174">
        <v>0.023114367319784425</v>
      </c>
      <c r="E735" s="282">
        <v>0.006147068146114493</v>
      </c>
      <c r="F735" s="287">
        <v>1123.1007862653437</v>
      </c>
      <c r="G735" s="235">
        <v>44.85532030900128</v>
      </c>
      <c r="H735" s="235">
        <v>2371.0139778311454</v>
      </c>
      <c r="I735" s="287">
        <v>4417.620760265749</v>
      </c>
      <c r="J735" s="233">
        <v>63195.28314449709</v>
      </c>
    </row>
    <row r="736">
      <c r="A736" s="184">
        <v>43096.0</v>
      </c>
      <c r="B736" s="174">
        <v>-0.0010342897148380428</v>
      </c>
      <c r="C736" s="174">
        <v>0.018515613577017673</v>
      </c>
      <c r="D736" s="174">
        <v>0.012188316136545741</v>
      </c>
      <c r="E736" s="282">
        <v>-0.004081366278283504</v>
      </c>
      <c r="F736" s="287">
        <v>-741.102705382887</v>
      </c>
      <c r="G736" s="235">
        <v>7.107035932941339</v>
      </c>
      <c r="H736" s="235">
        <v>1247.9131915658018</v>
      </c>
      <c r="I736" s="287">
        <v>4372.765439956747</v>
      </c>
      <c r="J736" s="233">
        <v>62072.182358231745</v>
      </c>
    </row>
    <row r="737">
      <c r="A737" s="184">
        <v>43091.0</v>
      </c>
      <c r="B737" s="174">
        <v>0.006246942075032285</v>
      </c>
      <c r="C737" s="174">
        <v>0.018643683923920372</v>
      </c>
      <c r="D737" s="174">
        <v>0.0195610071541268</v>
      </c>
      <c r="E737" s="282">
        <v>0.011485605894012816</v>
      </c>
      <c r="F737" s="287">
        <v>2094.0914545607757</v>
      </c>
      <c r="G737" s="235">
        <v>49.14037783114782</v>
      </c>
      <c r="H737" s="235">
        <v>1989.0158969486888</v>
      </c>
      <c r="I737" s="287">
        <v>4365.658404023806</v>
      </c>
      <c r="J737" s="233">
        <v>62813.28506361463</v>
      </c>
    </row>
    <row r="738">
      <c r="A738" s="184">
        <v>43090.0</v>
      </c>
      <c r="B738" s="174">
        <v>-0.01437426471904775</v>
      </c>
      <c r="C738" s="174">
        <v>0.018678551210754558</v>
      </c>
      <c r="D738" s="174">
        <v>-0.0010352997688796754</v>
      </c>
      <c r="E738" s="282">
        <v>-0.01921213157753672</v>
      </c>
      <c r="F738" s="287">
        <v>-3462.5837316782386</v>
      </c>
      <c r="G738" s="235">
        <v>68.7050727126926</v>
      </c>
      <c r="H738" s="235">
        <v>-105.07555761208687</v>
      </c>
      <c r="I738" s="287">
        <v>4316.518026192658</v>
      </c>
      <c r="J738" s="233">
        <v>60719.19360905386</v>
      </c>
    </row>
    <row r="739">
      <c r="A739" s="184">
        <v>43089.0</v>
      </c>
      <c r="B739" s="174">
        <v>0.01975575877719178</v>
      </c>
      <c r="C739" s="174">
        <v>0.01871206123031931</v>
      </c>
      <c r="D739" s="174">
        <v>0.03314056702629234</v>
      </c>
      <c r="E739" s="282">
        <v>-0.019229823065335598</v>
      </c>
      <c r="F739" s="287">
        <v>-3553.737417952978</v>
      </c>
      <c r="G739" s="235">
        <v>21.080662922392175</v>
      </c>
      <c r="H739" s="235">
        <v>3357.5081740661517</v>
      </c>
      <c r="I739" s="287">
        <v>4247.8129534799655</v>
      </c>
      <c r="J739" s="233">
        <v>64181.7773407321</v>
      </c>
    </row>
    <row r="740">
      <c r="A740" s="184">
        <v>43088.0</v>
      </c>
      <c r="B740" s="174">
        <v>0.05493910065791525</v>
      </c>
      <c r="C740" s="174">
        <v>0.01874819238894402</v>
      </c>
      <c r="D740" s="174">
        <v>0.06834975366158651</v>
      </c>
      <c r="E740" s="282">
        <v>-0.004379136232737028</v>
      </c>
      <c r="F740" s="287">
        <v>-820.050519378784</v>
      </c>
      <c r="G740" s="235">
        <v>63.49177916669854</v>
      </c>
      <c r="H740" s="235">
        <v>6911.24559201913</v>
      </c>
      <c r="I740" s="287">
        <v>4226.732290557573</v>
      </c>
      <c r="J740" s="233">
        <v>67735.51475868508</v>
      </c>
    </row>
    <row r="741">
      <c r="A741" s="184">
        <v>43087.0</v>
      </c>
      <c r="B741" s="174">
        <v>0.06317976460252916</v>
      </c>
      <c r="C741" s="174">
        <v>0.01878704431387821</v>
      </c>
      <c r="D741" s="174">
        <v>0.07661820853521417</v>
      </c>
      <c r="E741" s="282">
        <v>0.007322169048565731</v>
      </c>
      <c r="F741" s="287">
        <v>1377.176444570363</v>
      </c>
      <c r="G741" s="235">
        <v>58.344747096141965</v>
      </c>
      <c r="H741" s="235">
        <v>7731.296111397914</v>
      </c>
      <c r="I741" s="287">
        <v>4163.240511390874</v>
      </c>
      <c r="J741" s="233">
        <v>68555.56527806386</v>
      </c>
    </row>
    <row r="742">
      <c r="A742" s="184">
        <v>43084.0</v>
      </c>
      <c r="B742" s="174">
        <v>0.04976333592577029</v>
      </c>
      <c r="C742" s="174">
        <v>0.01887488075174917</v>
      </c>
      <c r="D742" s="174">
        <v>0.0632646095950469</v>
      </c>
      <c r="E742" s="282">
        <v>0.005771142936370136</v>
      </c>
      <c r="F742" s="287">
        <v>1077.5067225979901</v>
      </c>
      <c r="G742" s="235">
        <v>13.935531988298896</v>
      </c>
      <c r="H742" s="235">
        <v>6354.119666827551</v>
      </c>
      <c r="I742" s="287">
        <v>4104.8957642947325</v>
      </c>
      <c r="J742" s="233">
        <v>67178.3888334935</v>
      </c>
    </row>
    <row r="743">
      <c r="A743" s="184">
        <v>43083.0</v>
      </c>
      <c r="B743" s="174">
        <v>0.039115756230157527</v>
      </c>
      <c r="C743" s="174">
        <v>0.01891384642809305</v>
      </c>
      <c r="D743" s="174">
        <v>0.05264490219526193</v>
      </c>
      <c r="E743" s="282">
        <v>-0.0012745975957758713</v>
      </c>
      <c r="F743" s="287">
        <v>-236.6015670843335</v>
      </c>
      <c r="G743" s="235">
        <v>1.6235366890175473</v>
      </c>
      <c r="H743" s="235">
        <v>5276.6129442295605</v>
      </c>
      <c r="I743" s="287">
        <v>4090.9602323064337</v>
      </c>
      <c r="J743" s="233">
        <v>66100.88211089552</v>
      </c>
    </row>
    <row r="744">
      <c r="A744" s="184">
        <v>43082.0</v>
      </c>
      <c r="B744" s="174">
        <v>0.04156043641619583</v>
      </c>
      <c r="C744" s="174">
        <v>0.018952197458933052</v>
      </c>
      <c r="D744" s="174">
        <v>0.05511701501887181</v>
      </c>
      <c r="E744" s="282">
        <v>0.0025563210675282584</v>
      </c>
      <c r="F744" s="287">
        <v>475.1307290013492</v>
      </c>
      <c r="G744" s="235">
        <v>9.424224831081114</v>
      </c>
      <c r="H744" s="235">
        <v>5513.214511313894</v>
      </c>
      <c r="I744" s="287">
        <v>4089.3366956174164</v>
      </c>
      <c r="J744" s="233">
        <v>66337.48367797985</v>
      </c>
    </row>
    <row r="745">
      <c r="A745" s="184">
        <v>43081.0</v>
      </c>
      <c r="B745" s="174">
        <v>0.03688559269761169</v>
      </c>
      <c r="C745" s="174">
        <v>0.018990894113625107</v>
      </c>
      <c r="D745" s="174">
        <v>0.05046985116390932</v>
      </c>
      <c r="E745" s="282">
        <v>0.002819784769021548</v>
      </c>
      <c r="F745" s="287">
        <v>522.7596552135828</v>
      </c>
      <c r="G745" s="235">
        <v>41.59738110183866</v>
      </c>
      <c r="H745" s="235">
        <v>5038.083782312545</v>
      </c>
      <c r="I745" s="287">
        <v>4079.9124707863352</v>
      </c>
      <c r="J745" s="233">
        <v>65862.3529489785</v>
      </c>
    </row>
    <row r="746">
      <c r="A746" s="184">
        <v>43080.0</v>
      </c>
      <c r="B746" s="174">
        <v>0.0317129513588069</v>
      </c>
      <c r="C746" s="174">
        <v>0.019029412264362233</v>
      </c>
      <c r="D746" s="174">
        <v>0.0453247620041713</v>
      </c>
      <c r="E746" s="282">
        <v>-0.007170695729055642</v>
      </c>
      <c r="F746" s="287">
        <v>-1325.6261125418596</v>
      </c>
      <c r="G746" s="235">
        <v>69.09115590353099</v>
      </c>
      <c r="H746" s="235">
        <v>4515.324127098962</v>
      </c>
      <c r="I746" s="287">
        <v>4038.315089684497</v>
      </c>
      <c r="J746" s="233">
        <v>65339.59329376492</v>
      </c>
    </row>
    <row r="747">
      <c r="A747" s="184">
        <v>43077.0</v>
      </c>
      <c r="B747" s="174">
        <v>0.045196490418460335</v>
      </c>
      <c r="C747" s="174">
        <v>0.019116983383166673</v>
      </c>
      <c r="D747" s="174">
        <v>0.058901193556667585</v>
      </c>
      <c r="E747" s="282">
        <v>-0.0028404932440001555</v>
      </c>
      <c r="F747" s="287">
        <v>-443.75847214387977</v>
      </c>
      <c r="G747" s="235">
        <v>6.187330240850603</v>
      </c>
      <c r="H747" s="235">
        <v>5840.950239640822</v>
      </c>
      <c r="I747" s="287">
        <v>3969.223933780966</v>
      </c>
      <c r="J747" s="233">
        <v>66665.21940630677</v>
      </c>
    </row>
    <row r="748">
      <c r="A748" s="184">
        <v>43076.0</v>
      </c>
      <c r="B748" s="174">
        <v>0.04977439537421055</v>
      </c>
      <c r="C748" s="174">
        <v>0.019156611262718157</v>
      </c>
      <c r="D748" s="174">
        <v>0.06350750719564802</v>
      </c>
      <c r="E748" s="282">
        <v>0.012236148256134439</v>
      </c>
      <c r="F748" s="287">
        <v>1917.0325594279693</v>
      </c>
      <c r="G748" s="235">
        <v>4.719758631780843</v>
      </c>
      <c r="H748" s="235">
        <v>6284.708711784701</v>
      </c>
      <c r="I748" s="287">
        <v>3963.0366035401153</v>
      </c>
      <c r="J748" s="233">
        <v>67108.97787845065</v>
      </c>
    </row>
    <row r="749">
      <c r="A749" s="184">
        <v>43075.0</v>
      </c>
      <c r="B749" s="174">
        <v>0.030416104265046907</v>
      </c>
      <c r="C749" s="174">
        <v>0.01924698069111337</v>
      </c>
      <c r="D749" s="174">
        <v>0.044228220429024245</v>
      </c>
      <c r="E749" s="282">
        <v>0.005263529601806594</v>
      </c>
      <c r="F749" s="287">
        <v>814.5186584269336</v>
      </c>
      <c r="G749" s="235">
        <v>63.264311288032346</v>
      </c>
      <c r="H749" s="235">
        <v>4367.676152356732</v>
      </c>
      <c r="I749" s="287">
        <v>3958.3168449083346</v>
      </c>
      <c r="J749" s="233">
        <v>65191.94531902268</v>
      </c>
    </row>
    <row r="750">
      <c r="A750" s="184">
        <v>43074.0</v>
      </c>
      <c r="B750" s="174">
        <v>0.022541624888516205</v>
      </c>
      <c r="C750" s="174">
        <v>0.018957305093628394</v>
      </c>
      <c r="D750" s="174">
        <v>0.03605305899884884</v>
      </c>
      <c r="E750" s="282">
        <v>-0.005536571337111377</v>
      </c>
      <c r="F750" s="287">
        <v>-852.4409049632718</v>
      </c>
      <c r="G750" s="235">
        <v>16.815230569765593</v>
      </c>
      <c r="H750" s="235">
        <v>3553.1574939297984</v>
      </c>
      <c r="I750" s="287">
        <v>3895.0525336203023</v>
      </c>
      <c r="J750" s="233">
        <v>64377.426660595745</v>
      </c>
    </row>
    <row r="751">
      <c r="A751" s="184">
        <v>43073.0</v>
      </c>
      <c r="B751" s="174">
        <v>0.031253458592319656</v>
      </c>
      <c r="C751" s="174">
        <v>0.018995178801538434</v>
      </c>
      <c r="D751" s="174">
        <v>0.04479188641860576</v>
      </c>
      <c r="E751" s="282">
        <v>0.026398523205364885</v>
      </c>
      <c r="F751" s="287">
        <v>4086.964675444697</v>
      </c>
      <c r="G751" s="235">
        <v>53.39929032212993</v>
      </c>
      <c r="H751" s="235">
        <v>4405.59839889307</v>
      </c>
      <c r="I751" s="287">
        <v>3878.237303050537</v>
      </c>
      <c r="J751" s="233">
        <v>65229.86756555902</v>
      </c>
    </row>
    <row r="752">
      <c r="A752" s="184">
        <v>43070.0</v>
      </c>
      <c r="B752" s="174">
        <v>-0.010346748948098412</v>
      </c>
      <c r="C752" s="174">
        <v>0.01908349268351632</v>
      </c>
      <c r="D752" s="174">
        <v>0.0032546228035757402</v>
      </c>
      <c r="E752" s="282">
        <v>-0.014185988354964952</v>
      </c>
      <c r="F752" s="287">
        <v>-2138.267696113483</v>
      </c>
      <c r="G752" s="235">
        <v>42.69988599607971</v>
      </c>
      <c r="H752" s="235">
        <v>318.6337234483731</v>
      </c>
      <c r="I752" s="287">
        <v>3824.8380127284067</v>
      </c>
      <c r="J752" s="233">
        <v>61142.902890114325</v>
      </c>
    </row>
    <row r="753">
      <c r="A753" s="184">
        <v>43069.0</v>
      </c>
      <c r="B753" s="174">
        <v>0.011515810193886318</v>
      </c>
      <c r="C753" s="174">
        <v>0.01911941366937651</v>
      </c>
      <c r="D753" s="174">
        <v>0.02514278389854013</v>
      </c>
      <c r="E753" s="282">
        <v>-0.011995579702150353</v>
      </c>
      <c r="F753" s="287">
        <v>-1833.7550494998209</v>
      </c>
      <c r="G753" s="235">
        <v>11.228665076077847</v>
      </c>
      <c r="H753" s="235">
        <v>2456.901419561856</v>
      </c>
      <c r="I753" s="287">
        <v>3782.1381267323272</v>
      </c>
      <c r="J753" s="233">
        <v>53281.17058622781</v>
      </c>
    </row>
    <row r="754">
      <c r="A754" s="184">
        <v>43068.0</v>
      </c>
      <c r="B754" s="174">
        <v>0.029282965653685114</v>
      </c>
      <c r="C754" s="174">
        <v>0.01914949533287715</v>
      </c>
      <c r="D754" s="174">
        <v>0.043977662180942</v>
      </c>
      <c r="E754" s="282">
        <v>0.01038693938791028</v>
      </c>
      <c r="F754" s="287">
        <v>1605.830244810129</v>
      </c>
      <c r="G754" s="235">
        <v>32.04598579500684</v>
      </c>
      <c r="H754" s="235">
        <v>4290.656469061677</v>
      </c>
      <c r="I754" s="287">
        <v>3770.9094616562493</v>
      </c>
      <c r="J754" s="233">
        <v>55114.92563572763</v>
      </c>
    </row>
    <row r="755">
      <c r="A755" s="184">
        <v>43067.0</v>
      </c>
      <c r="B755" s="174">
        <v>0.012844942286314703</v>
      </c>
      <c r="C755" s="174">
        <v>0.019181078644345297</v>
      </c>
      <c r="D755" s="174">
        <v>0.02756387481401351</v>
      </c>
      <c r="E755" s="282">
        <v>0.009200591973286968</v>
      </c>
      <c r="F755" s="287">
        <v>1407.645270261276</v>
      </c>
      <c r="G755" s="235">
        <v>27.924093602258548</v>
      </c>
      <c r="H755" s="235">
        <v>2684.826224251548</v>
      </c>
      <c r="I755" s="287">
        <v>3738.8634758612425</v>
      </c>
      <c r="J755" s="233">
        <v>53509.0953909175</v>
      </c>
    </row>
    <row r="756">
      <c r="A756" s="184">
        <v>43066.0</v>
      </c>
      <c r="B756" s="174">
        <v>-0.001609255389826961</v>
      </c>
      <c r="C756" s="174">
        <v>0.01921154162933828</v>
      </c>
      <c r="D756" s="174">
        <v>0.013133053436411567</v>
      </c>
      <c r="E756" s="282">
        <v>-0.013945674225978998</v>
      </c>
      <c r="F756" s="287">
        <v>-2113.988928837432</v>
      </c>
      <c r="G756" s="235">
        <v>38.49312993064673</v>
      </c>
      <c r="H756" s="235">
        <v>1277.180953990272</v>
      </c>
      <c r="I756" s="287">
        <v>3710.939382258984</v>
      </c>
      <c r="J756" s="233">
        <v>52101.45012065623</v>
      </c>
    </row>
    <row r="757">
      <c r="A757" s="184">
        <v>43063.0</v>
      </c>
      <c r="B757" s="174">
        <v>0.02021250502719267</v>
      </c>
      <c r="C757" s="174">
        <v>0.019291657953707138</v>
      </c>
      <c r="D757" s="174">
        <v>0.035016292500936776</v>
      </c>
      <c r="E757" s="282">
        <v>-0.0033561747466650136</v>
      </c>
      <c r="F757" s="287">
        <v>-512.4403264263365</v>
      </c>
      <c r="G757" s="235">
        <v>64.40506082028263</v>
      </c>
      <c r="H757" s="235">
        <v>3391.169882827704</v>
      </c>
      <c r="I757" s="287">
        <v>3672.4462523283373</v>
      </c>
      <c r="J757" s="233">
        <v>54215.43904949366</v>
      </c>
    </row>
    <row r="758">
      <c r="A758" s="184">
        <v>43062.0</v>
      </c>
      <c r="B758" s="174">
        <v>0.02554528174226389</v>
      </c>
      <c r="C758" s="174">
        <v>0.01932301777316341</v>
      </c>
      <c r="D758" s="174">
        <v>0.040373133715988226</v>
      </c>
      <c r="E758" s="282">
        <v>-0.009062435305139806</v>
      </c>
      <c r="F758" s="287">
        <v>-1388.3494126306914</v>
      </c>
      <c r="G758" s="235">
        <v>8.514907946304586</v>
      </c>
      <c r="H758" s="235">
        <v>3903.6102092540405</v>
      </c>
      <c r="I758" s="287">
        <v>3608.041191508055</v>
      </c>
      <c r="J758" s="233">
        <v>54727.87937592</v>
      </c>
    </row>
    <row r="759">
      <c r="A759" s="184">
        <v>43061.0</v>
      </c>
      <c r="B759" s="174">
        <v>0.039970110791338366</v>
      </c>
      <c r="C759" s="174">
        <v>0.0193548848219784</v>
      </c>
      <c r="D759" s="174">
        <v>0.05482241649626634</v>
      </c>
      <c r="E759" s="282">
        <v>0.004526301559831185</v>
      </c>
      <c r="F759" s="287">
        <v>699.7056575235665</v>
      </c>
      <c r="G759" s="235">
        <v>14.095248565592886</v>
      </c>
      <c r="H759" s="235">
        <v>5291.959621884732</v>
      </c>
      <c r="I759" s="287">
        <v>3599.5262835617505</v>
      </c>
      <c r="J759" s="233">
        <v>56116.22878855069</v>
      </c>
    </row>
    <row r="760">
      <c r="A760" s="184">
        <v>43060.0</v>
      </c>
      <c r="B760" s="174">
        <v>0.03277735954334147</v>
      </c>
      <c r="C760" s="174">
        <v>0.01938794826380011</v>
      </c>
      <c r="D760" s="174">
        <v>0.047655037052344223</v>
      </c>
      <c r="E760" s="282">
        <v>0.008901196385823552</v>
      </c>
      <c r="F760" s="287">
        <v>1369.7776424051112</v>
      </c>
      <c r="G760" s="235">
        <v>57.32717886726153</v>
      </c>
      <c r="H760" s="235">
        <v>4592.253964361165</v>
      </c>
      <c r="I760" s="287">
        <v>3585.4310349961575</v>
      </c>
      <c r="J760" s="233">
        <v>55416.52313102712</v>
      </c>
    </row>
    <row r="761">
      <c r="A761" s="184">
        <v>43059.0</v>
      </c>
      <c r="B761" s="174">
        <v>0.01859406114270195</v>
      </c>
      <c r="C761" s="174">
        <v>0.019420584639582524</v>
      </c>
      <c r="D761" s="174">
        <v>0.03349678273926605</v>
      </c>
      <c r="E761" s="282">
        <v>0.011996159584490237</v>
      </c>
      <c r="F761" s="287">
        <v>1829.6199066876366</v>
      </c>
      <c r="G761" s="235">
        <v>16.948070302571523</v>
      </c>
      <c r="H761" s="235">
        <v>3222.4763219560546</v>
      </c>
      <c r="I761" s="287">
        <v>3528.103856128896</v>
      </c>
      <c r="J761" s="233">
        <v>54046.74548862201</v>
      </c>
    </row>
    <row r="762">
      <c r="A762" s="184">
        <v>43056.0</v>
      </c>
      <c r="B762" s="174">
        <v>-4.261713595744999E-4</v>
      </c>
      <c r="C762" s="174">
        <v>0.01950392690994312</v>
      </c>
      <c r="D762" s="174">
        <v>0.014540504369960345</v>
      </c>
      <c r="E762" s="282">
        <v>-0.016001076572856803</v>
      </c>
      <c r="F762" s="287">
        <v>-2411.1624887343255</v>
      </c>
      <c r="G762" s="235">
        <v>54.91327401016216</v>
      </c>
      <c r="H762" s="235">
        <v>1392.856415268418</v>
      </c>
      <c r="I762" s="287">
        <v>3511.1557858263245</v>
      </c>
      <c r="J762" s="233">
        <v>51217.12558193437</v>
      </c>
    </row>
    <row r="763">
      <c r="A763" s="184">
        <v>43055.0</v>
      </c>
      <c r="B763" s="174">
        <v>0.024782457260755675</v>
      </c>
      <c r="C763" s="174">
        <v>0.019533625612208585</v>
      </c>
      <c r="D763" s="174">
        <v>0.039771922803257295</v>
      </c>
      <c r="E763" s="282">
        <v>0.02970251561019701</v>
      </c>
      <c r="F763" s="287">
        <v>4547.41590004668</v>
      </c>
      <c r="G763" s="235">
        <v>65.36941449931986</v>
      </c>
      <c r="H763" s="235">
        <v>3804.0189040027435</v>
      </c>
      <c r="I763" s="287">
        <v>3456.2425118161623</v>
      </c>
      <c r="J763" s="233">
        <v>53628.2880706687</v>
      </c>
    </row>
    <row r="764">
      <c r="A764" s="184">
        <v>43054.0</v>
      </c>
      <c r="B764" s="174">
        <v>-0.022798808428194463</v>
      </c>
      <c r="C764" s="174">
        <v>0.01956533547131393</v>
      </c>
      <c r="D764" s="174">
        <v>-0.00778500977673226</v>
      </c>
      <c r="E764" s="282">
        <v>-0.015749794388537863</v>
      </c>
      <c r="F764" s="287">
        <v>-2339.6518484699186</v>
      </c>
      <c r="G764" s="235">
        <v>50.94309934177744</v>
      </c>
      <c r="H764" s="235">
        <v>-743.3969960439363</v>
      </c>
      <c r="I764" s="287">
        <v>3390.8730973168426</v>
      </c>
      <c r="J764" s="233">
        <v>49080.87217062202</v>
      </c>
    </row>
    <row r="765">
      <c r="A765" s="184">
        <v>43053.0</v>
      </c>
      <c r="B765" s="174">
        <v>0.0017049712155518806</v>
      </c>
      <c r="C765" s="174">
        <v>0.01959352706888044</v>
      </c>
      <c r="D765" s="174">
        <v>0.016740403177117415</v>
      </c>
      <c r="E765" s="282">
        <v>-0.010137209882044296</v>
      </c>
      <c r="F765" s="287">
        <v>-1529.6128731527165</v>
      </c>
      <c r="G765" s="235">
        <v>37.73231018782497</v>
      </c>
      <c r="H765" s="235">
        <v>1596.2548524259823</v>
      </c>
      <c r="I765" s="287">
        <v>3339.9299979750654</v>
      </c>
      <c r="J765" s="233">
        <v>51420.524019091936</v>
      </c>
    </row>
    <row r="766">
      <c r="A766" s="184">
        <v>43052.0</v>
      </c>
      <c r="B766" s="174">
        <v>0.017773786033725484</v>
      </c>
      <c r="C766" s="174">
        <v>0.019623675129373398</v>
      </c>
      <c r="D766" s="174">
        <v>0.03283235263106749</v>
      </c>
      <c r="E766" s="282">
        <v>-0.019367631547367366</v>
      </c>
      <c r="F766" s="287">
        <v>-2952.024621244299</v>
      </c>
      <c r="G766" s="235">
        <v>69.96612435547526</v>
      </c>
      <c r="H766" s="235">
        <v>3125.867725578699</v>
      </c>
      <c r="I766" s="287">
        <v>3302.1976877872403</v>
      </c>
      <c r="J766" s="233">
        <v>52950.13689224465</v>
      </c>
    </row>
    <row r="767">
      <c r="A767" s="184">
        <v>43049.0</v>
      </c>
      <c r="B767" s="174">
        <v>0.04898941514113995</v>
      </c>
      <c r="C767" s="174">
        <v>0.019707844380749517</v>
      </c>
      <c r="D767" s="174">
        <v>0.06411257046964162</v>
      </c>
      <c r="E767" s="282">
        <v>-0.011133478269878419</v>
      </c>
      <c r="F767" s="287">
        <v>-1729.8369352889003</v>
      </c>
      <c r="G767" s="235">
        <v>22.063088364226267</v>
      </c>
      <c r="H767" s="235">
        <v>6077.892346822998</v>
      </c>
      <c r="I767" s="287">
        <v>3232.231563431765</v>
      </c>
      <c r="J767" s="233">
        <v>55902.16151348895</v>
      </c>
    </row>
    <row r="768">
      <c r="A768" s="184">
        <v>43048.0</v>
      </c>
      <c r="B768" s="174">
        <v>0.06735300031516585</v>
      </c>
      <c r="C768" s="174">
        <v>0.01974196910776542</v>
      </c>
      <c r="D768" s="174">
        <v>0.08250234184329615</v>
      </c>
      <c r="E768" s="282">
        <v>-0.003462884455399951</v>
      </c>
      <c r="F768" s="287">
        <v>-544.0274217512169</v>
      </c>
      <c r="G768" s="235">
        <v>26.463554046861365</v>
      </c>
      <c r="H768" s="235">
        <v>7807.729282111898</v>
      </c>
      <c r="I768" s="287">
        <v>3210.168475067539</v>
      </c>
      <c r="J768" s="233">
        <v>57631.99844877785</v>
      </c>
    </row>
    <row r="769">
      <c r="A769" s="184">
        <v>43047.0</v>
      </c>
      <c r="B769" s="174">
        <v>0.07323363523355977</v>
      </c>
      <c r="C769" s="174">
        <v>0.019777625906750758</v>
      </c>
      <c r="D769" s="174">
        <v>0.08841033862324908</v>
      </c>
      <c r="E769" s="282">
        <v>-0.005363050828134902</v>
      </c>
      <c r="F769" s="287">
        <v>-845.4657456561526</v>
      </c>
      <c r="G769" s="235">
        <v>39.80479356701118</v>
      </c>
      <c r="H769" s="235">
        <v>8351.756703863115</v>
      </c>
      <c r="I769" s="287">
        <v>3183.704921020678</v>
      </c>
      <c r="J769" s="233">
        <v>58176.02587052907</v>
      </c>
    </row>
    <row r="770">
      <c r="A770" s="184">
        <v>43046.0</v>
      </c>
      <c r="B770" s="174">
        <v>0.08233418882192838</v>
      </c>
      <c r="C770" s="174">
        <v>0.019813865811659486</v>
      </c>
      <c r="D770" s="174">
        <v>0.09753870152959465</v>
      </c>
      <c r="E770" s="282">
        <v>0.013654143169095037</v>
      </c>
      <c r="F770" s="287">
        <v>2164.0708541051163</v>
      </c>
      <c r="G770" s="235">
        <v>63.572757375408685</v>
      </c>
      <c r="H770" s="235">
        <v>9197.222449519268</v>
      </c>
      <c r="I770" s="287">
        <v>3143.9001274536668</v>
      </c>
      <c r="J770" s="233">
        <v>59021.49161618522</v>
      </c>
    </row>
    <row r="771">
      <c r="A771" s="184">
        <v>43045.0</v>
      </c>
      <c r="B771" s="174">
        <v>0.05942863666510941</v>
      </c>
      <c r="C771" s="174">
        <v>0.019892592609398855</v>
      </c>
      <c r="D771" s="174">
        <v>0.07472779490111647</v>
      </c>
      <c r="E771" s="282">
        <v>0.009416225124307885</v>
      </c>
      <c r="F771" s="287">
        <v>1395.7065188713868</v>
      </c>
      <c r="G771" s="235">
        <v>16.42282888029826</v>
      </c>
      <c r="H771" s="235">
        <v>7033.151595414151</v>
      </c>
      <c r="I771" s="287">
        <v>3080.327370078258</v>
      </c>
      <c r="J771" s="233">
        <v>56857.42076208011</v>
      </c>
    </row>
    <row r="772">
      <c r="A772" s="184">
        <v>43042.0</v>
      </c>
      <c r="B772" s="174">
        <v>0.045104195911139316</v>
      </c>
      <c r="C772" s="174">
        <v>0.019677549799918717</v>
      </c>
      <c r="D772" s="174">
        <v>0.06016765538752337</v>
      </c>
      <c r="E772" s="282">
        <v>0.00971475359230937</v>
      </c>
      <c r="F772" s="287">
        <v>1426.6736916234477</v>
      </c>
      <c r="G772" s="235">
        <v>59.185698964240785</v>
      </c>
      <c r="H772" s="235">
        <v>5637.445076542765</v>
      </c>
      <c r="I772" s="287">
        <v>3063.9045411979596</v>
      </c>
      <c r="J772" s="233">
        <v>55461.71424320872</v>
      </c>
    </row>
    <row r="773">
      <c r="A773" s="184">
        <v>43041.0</v>
      </c>
      <c r="B773" s="174">
        <v>0.029929347386032305</v>
      </c>
      <c r="C773" s="174">
        <v>0.01971169093142657</v>
      </c>
      <c r="D773" s="174">
        <v>0.04501894241060074</v>
      </c>
      <c r="E773" s="282">
        <v>0.0024053556166714514</v>
      </c>
      <c r="F773" s="287">
        <v>349.81019716417995</v>
      </c>
      <c r="G773" s="235">
        <v>29.070707253556</v>
      </c>
      <c r="H773" s="235">
        <v>4210.771384919317</v>
      </c>
      <c r="I773" s="287">
        <v>3004.718842233719</v>
      </c>
      <c r="J773" s="233">
        <v>54035.040551585276</v>
      </c>
    </row>
    <row r="774">
      <c r="A774" s="184">
        <v>43040.0</v>
      </c>
      <c r="B774" s="174">
        <v>0.026233369085359153</v>
      </c>
      <c r="C774" s="174">
        <v>0.0197447885477113</v>
      </c>
      <c r="D774" s="174">
        <v>0.04134830083155906</v>
      </c>
      <c r="E774" s="282">
        <v>0.001384774518228932</v>
      </c>
      <c r="F774" s="287">
        <v>200.90296411971985</v>
      </c>
      <c r="G774" s="235">
        <v>45.03032370961847</v>
      </c>
      <c r="H774" s="235">
        <v>3860.9611877551374</v>
      </c>
      <c r="I774" s="287">
        <v>2975.648134980163</v>
      </c>
      <c r="J774" s="233">
        <v>53685.230354421095</v>
      </c>
    </row>
    <row r="775">
      <c r="A775" s="184">
        <v>43039.0</v>
      </c>
      <c r="B775" s="174">
        <v>0.024121994135336514</v>
      </c>
      <c r="C775" s="174">
        <v>0.019777716580284963</v>
      </c>
      <c r="D775" s="174">
        <v>0.03926213278429382</v>
      </c>
      <c r="E775" s="282">
        <v>0.01241537680761898</v>
      </c>
      <c r="F775" s="287">
        <v>1798.7274786105625</v>
      </c>
      <c r="G775" s="235">
        <v>14.109556724833908</v>
      </c>
      <c r="H775" s="235">
        <v>3660.0582236354176</v>
      </c>
      <c r="I775" s="287">
        <v>2930.6178112705443</v>
      </c>
      <c r="J775" s="233">
        <v>53484.327390301376</v>
      </c>
    </row>
    <row r="776">
      <c r="A776" s="184">
        <v>43038.0</v>
      </c>
      <c r="B776" s="174">
        <v>0.0038273845319971374</v>
      </c>
      <c r="C776" s="174">
        <v>0.019810595458329878</v>
      </c>
      <c r="D776" s="174">
        <v>0.020000038186168665</v>
      </c>
      <c r="E776" s="282">
        <v>0.00877427081326117</v>
      </c>
      <c r="F776" s="287">
        <v>1254.6025434055423</v>
      </c>
      <c r="G776" s="235">
        <v>18.845561128768118</v>
      </c>
      <c r="H776" s="235">
        <v>1861.3307450248553</v>
      </c>
      <c r="I776" s="287">
        <v>2916.5082545457103</v>
      </c>
      <c r="J776" s="233">
        <v>51685.59991169081</v>
      </c>
    </row>
    <row r="777">
      <c r="A777" s="184">
        <v>43035.0</v>
      </c>
      <c r="B777" s="174">
        <v>-0.009695113911766475</v>
      </c>
      <c r="C777" s="174">
        <v>0.019896310928297568</v>
      </c>
      <c r="D777" s="174">
        <v>0.006547514752066316</v>
      </c>
      <c r="E777" s="282">
        <v>0.029508118408379157</v>
      </c>
      <c r="F777" s="287">
        <v>4182.242519621275</v>
      </c>
      <c r="G777" s="235">
        <v>64.47183410554636</v>
      </c>
      <c r="H777" s="235">
        <v>606.728201619313</v>
      </c>
      <c r="I777" s="287">
        <v>2897.662693416942</v>
      </c>
      <c r="J777" s="233">
        <v>50430.99736828527</v>
      </c>
    </row>
    <row r="778">
      <c r="A778" s="184">
        <v>43034.0</v>
      </c>
      <c r="B778" s="174">
        <v>-0.0549124897283242</v>
      </c>
      <c r="C778" s="174">
        <v>0.019927031095915468</v>
      </c>
      <c r="D778" s="174">
        <v>-0.03864478223068617</v>
      </c>
      <c r="E778" s="282">
        <v>-0.015223559024327735</v>
      </c>
      <c r="F778" s="287">
        <v>-2093.9957587576246</v>
      </c>
      <c r="G778" s="235">
        <v>49.151955140633916</v>
      </c>
      <c r="H778" s="235">
        <v>-3575.5143180019622</v>
      </c>
      <c r="I778" s="287">
        <v>2833.190859311396</v>
      </c>
      <c r="J778" s="233">
        <v>46248.754848664</v>
      </c>
    </row>
    <row r="779">
      <c r="A779" s="184">
        <v>43033.0</v>
      </c>
      <c r="B779" s="174">
        <v>-0.03232446385681442</v>
      </c>
      <c r="C779" s="174">
        <v>0.01995434442005038</v>
      </c>
      <c r="D779" s="174">
        <v>-0.016034458749177378</v>
      </c>
      <c r="E779" s="282">
        <v>-0.012267473052966155</v>
      </c>
      <c r="F779" s="287">
        <v>-1713.0750990914598</v>
      </c>
      <c r="G779" s="235">
        <v>44.644200348513216</v>
      </c>
      <c r="H779" s="235">
        <v>-1481.518559244338</v>
      </c>
      <c r="I779" s="287">
        <v>2784.0389041707617</v>
      </c>
      <c r="J779" s="233">
        <v>48342.75060742162</v>
      </c>
    </row>
    <row r="780">
      <c r="A780" s="184">
        <v>43032.0</v>
      </c>
      <c r="B780" s="174">
        <v>-0.013804006776742485</v>
      </c>
      <c r="C780" s="174">
        <v>0.01998349376032466</v>
      </c>
      <c r="D780" s="174">
        <v>0.0025097947980676515</v>
      </c>
      <c r="E780" s="282">
        <v>-0.004038310277955466</v>
      </c>
      <c r="F780" s="287">
        <v>-570.8424427933131</v>
      </c>
      <c r="G780" s="235">
        <v>47.91436609287745</v>
      </c>
      <c r="H780" s="235">
        <v>231.55653984712194</v>
      </c>
      <c r="I780" s="287">
        <v>2739.3947038222486</v>
      </c>
      <c r="J780" s="233">
        <v>50055.82570651308</v>
      </c>
    </row>
    <row r="781">
      <c r="A781" s="184">
        <v>43031.0</v>
      </c>
      <c r="B781" s="174">
        <v>-0.0076284550285373905</v>
      </c>
      <c r="C781" s="174">
        <v>0.02001417638993725</v>
      </c>
      <c r="D781" s="174">
        <v>0.008710394735408073</v>
      </c>
      <c r="E781" s="282">
        <v>2.2175745055823658E-4</v>
      </c>
      <c r="F781" s="287">
        <v>31.473502514242114</v>
      </c>
      <c r="G781" s="235">
        <v>3.352382072988415</v>
      </c>
      <c r="H781" s="235">
        <v>802.3989826404351</v>
      </c>
      <c r="I781" s="287">
        <v>2691.480337729371</v>
      </c>
      <c r="J781" s="233">
        <v>50626.668149306395</v>
      </c>
    </row>
    <row r="782">
      <c r="A782" s="184">
        <v>43028.0</v>
      </c>
      <c r="B782" s="174">
        <v>-0.008004584847447309</v>
      </c>
      <c r="C782" s="174">
        <v>0.02010073853233044</v>
      </c>
      <c r="D782" s="174">
        <v>0.008404931118906498</v>
      </c>
      <c r="E782" s="282">
        <v>0.008312128180167482</v>
      </c>
      <c r="F782" s="287">
        <v>1179.458783259938</v>
      </c>
      <c r="G782" s="235">
        <v>6.82332551288776</v>
      </c>
      <c r="H782" s="235">
        <v>770.925480126193</v>
      </c>
      <c r="I782" s="287">
        <v>2688.1279556563827</v>
      </c>
      <c r="J782" s="233">
        <v>50595.19464679215</v>
      </c>
    </row>
    <row r="783">
      <c r="A783" s="184">
        <v>43027.0</v>
      </c>
      <c r="B783" s="174">
        <v>-0.020896203997741322</v>
      </c>
      <c r="C783" s="174">
        <v>0.020132241260804012</v>
      </c>
      <c r="D783" s="174">
        <v>-0.004460970343202112</v>
      </c>
      <c r="E783" s="282">
        <v>-0.025002893375656008</v>
      </c>
      <c r="F783" s="287">
        <v>-3518.3238135994716</v>
      </c>
      <c r="G783" s="235">
        <v>50.26632185194192</v>
      </c>
      <c r="H783" s="235">
        <v>-408.533303133745</v>
      </c>
      <c r="I783" s="287">
        <v>2681.304630143495</v>
      </c>
      <c r="J783" s="233">
        <v>49415.735863532216</v>
      </c>
    </row>
    <row r="784">
      <c r="A784" s="184">
        <v>43026.0</v>
      </c>
      <c r="B784" s="174">
        <v>0.017548684441488823</v>
      </c>
      <c r="C784" s="174">
        <v>0.020162837742783712</v>
      </c>
      <c r="D784" s="174">
        <v>0.034008895957351515</v>
      </c>
      <c r="E784" s="282">
        <v>0.0050519123858075235</v>
      </c>
      <c r="F784" s="287">
        <v>728.6625350266522</v>
      </c>
      <c r="G784" s="235">
        <v>20.4385111645029</v>
      </c>
      <c r="H784" s="235">
        <v>3109.7905104657266</v>
      </c>
      <c r="I784" s="287">
        <v>2631.038308291553</v>
      </c>
      <c r="J784" s="233">
        <v>52934.059677131685</v>
      </c>
    </row>
    <row r="785">
      <c r="A785" s="184">
        <v>43025.0</v>
      </c>
      <c r="B785" s="174">
        <v>0.009595996951453021</v>
      </c>
      <c r="C785" s="174">
        <v>0.020196553046285457</v>
      </c>
      <c r="D785" s="174">
        <v>0.026083732421733234</v>
      </c>
      <c r="E785" s="282">
        <v>0.0037456894936991154</v>
      </c>
      <c r="F785" s="287">
        <v>537.5301449769415</v>
      </c>
      <c r="G785" s="235">
        <v>5.580025432414525</v>
      </c>
      <c r="H785" s="235">
        <v>2381.1279754390744</v>
      </c>
      <c r="I785" s="287">
        <v>2610.5997971270504</v>
      </c>
      <c r="J785" s="233">
        <v>52205.39714210503</v>
      </c>
    </row>
    <row r="786">
      <c r="A786" s="184">
        <v>43024.0</v>
      </c>
      <c r="B786" s="174">
        <v>0.0037137944454552745</v>
      </c>
      <c r="C786" s="174">
        <v>0.02022975953057947</v>
      </c>
      <c r="D786" s="174">
        <v>0.020228638488553975</v>
      </c>
      <c r="E786" s="282">
        <v>0.0197349111550067</v>
      </c>
      <c r="F786" s="287">
        <v>2821.476523122284</v>
      </c>
      <c r="G786" s="235">
        <v>28.211445419140308</v>
      </c>
      <c r="H786" s="235">
        <v>1843.597830462133</v>
      </c>
      <c r="I786" s="287">
        <v>2605.019771694636</v>
      </c>
      <c r="J786" s="233">
        <v>51667.86699712809</v>
      </c>
    </row>
    <row r="787">
      <c r="A787" s="184">
        <v>43021.0</v>
      </c>
      <c r="B787" s="174">
        <v>-0.027364754197233374</v>
      </c>
      <c r="C787" s="174">
        <v>0.02031905786821367</v>
      </c>
      <c r="D787" s="174">
        <v>-0.010777010220889916</v>
      </c>
      <c r="E787" s="282">
        <v>0.009095765458878123</v>
      </c>
      <c r="F787" s="287">
        <v>1274.7471643015956</v>
      </c>
      <c r="G787" s="235">
        <v>32.99908855967962</v>
      </c>
      <c r="H787" s="235">
        <v>-977.878692660151</v>
      </c>
      <c r="I787" s="287">
        <v>2576.808326275496</v>
      </c>
      <c r="J787" s="233">
        <v>48846.390474005806</v>
      </c>
    </row>
    <row r="788">
      <c r="A788" s="184">
        <v>43020.0</v>
      </c>
      <c r="B788" s="174">
        <v>-0.04147602632001792</v>
      </c>
      <c r="C788" s="174">
        <v>0.020349738683674012</v>
      </c>
      <c r="D788" s="174">
        <v>-0.02486323563554742</v>
      </c>
      <c r="E788" s="282">
        <v>-0.00434461572507692</v>
      </c>
      <c r="F788" s="287">
        <v>-603.3479694037544</v>
      </c>
      <c r="G788" s="235">
        <v>60.82346879880767</v>
      </c>
      <c r="H788" s="235">
        <v>-2252.6258569617466</v>
      </c>
      <c r="I788" s="287">
        <v>2543.8092377158164</v>
      </c>
      <c r="J788" s="233">
        <v>47571.64330970421</v>
      </c>
    </row>
    <row r="789">
      <c r="A789" s="184">
        <v>43019.0</v>
      </c>
      <c r="B789" s="174">
        <v>-0.03486735425184733</v>
      </c>
      <c r="C789" s="174">
        <v>0.020379400294962356</v>
      </c>
      <c r="D789" s="174">
        <v>-0.01823034890067486</v>
      </c>
      <c r="E789" s="282">
        <v>0.003641264998987746</v>
      </c>
      <c r="F789" s="287">
        <v>507.868793389576</v>
      </c>
      <c r="G789" s="235">
        <v>28.30052441687303</v>
      </c>
      <c r="H789" s="235">
        <v>-1649.2778875579922</v>
      </c>
      <c r="I789" s="287">
        <v>2482.9857689170085</v>
      </c>
      <c r="J789" s="233">
        <v>48174.99127910796</v>
      </c>
    </row>
    <row r="790">
      <c r="A790" s="184">
        <v>43018.0</v>
      </c>
      <c r="B790" s="174">
        <v>-0.04054124475259201</v>
      </c>
      <c r="C790" s="174">
        <v>0.020409679404947177</v>
      </c>
      <c r="D790" s="174">
        <v>-0.023879520631114464</v>
      </c>
      <c r="E790" s="282">
        <v>-0.007051326043924953</v>
      </c>
      <c r="F790" s="287">
        <v>-979.9090536421859</v>
      </c>
      <c r="G790" s="235">
        <v>54.44692134030805</v>
      </c>
      <c r="H790" s="235">
        <v>-2157.1466809475683</v>
      </c>
      <c r="I790" s="287">
        <v>2454.6852445001355</v>
      </c>
      <c r="J790" s="233">
        <v>47667.122485718384</v>
      </c>
    </row>
    <row r="791">
      <c r="A791" s="184">
        <v>43017.0</v>
      </c>
      <c r="B791" s="174">
        <v>-0.02973722982881522</v>
      </c>
      <c r="C791" s="174">
        <v>0.020439603459747813</v>
      </c>
      <c r="D791" s="174">
        <v>-0.013051076791243912</v>
      </c>
      <c r="E791" s="282">
        <v>-0.009626307937313162</v>
      </c>
      <c r="F791" s="287">
        <v>-1347.1821809990738</v>
      </c>
      <c r="G791" s="235">
        <v>53.4932985047802</v>
      </c>
      <c r="H791" s="235">
        <v>-1177.2376273053824</v>
      </c>
      <c r="I791" s="287">
        <v>2400.2383231598274</v>
      </c>
      <c r="J791" s="233">
        <v>48647.03153936057</v>
      </c>
    </row>
    <row r="792">
      <c r="A792" s="184">
        <v>43014.0</v>
      </c>
      <c r="B792" s="174">
        <v>-0.014866178840906475</v>
      </c>
      <c r="C792" s="174">
        <v>0.020528065224799753</v>
      </c>
      <c r="D792" s="174">
        <v>0.001892191182309258</v>
      </c>
      <c r="E792" s="282">
        <v>0.007601190338436693</v>
      </c>
      <c r="F792" s="287">
        <v>1074.0112876495523</v>
      </c>
      <c r="G792" s="235">
        <v>13.788160800036007</v>
      </c>
      <c r="H792" s="235">
        <v>169.94455369369132</v>
      </c>
      <c r="I792" s="287">
        <v>2346.745024655047</v>
      </c>
      <c r="J792" s="233">
        <v>49994.21372035964</v>
      </c>
    </row>
    <row r="793">
      <c r="A793" s="184">
        <v>43013.0</v>
      </c>
      <c r="B793" s="174">
        <v>-0.026916845826640834</v>
      </c>
      <c r="C793" s="174">
        <v>0.020610590285410447</v>
      </c>
      <c r="D793" s="174">
        <v>-0.01008188997090868</v>
      </c>
      <c r="E793" s="282">
        <v>0.0034377355078609824</v>
      </c>
      <c r="F793" s="287">
        <v>482.02769897140126</v>
      </c>
      <c r="G793" s="235">
        <v>59.95232441140949</v>
      </c>
      <c r="H793" s="235">
        <v>-904.066733955861</v>
      </c>
      <c r="I793" s="287">
        <v>2332.956863855011</v>
      </c>
      <c r="J793" s="233">
        <v>48920.20243271009</v>
      </c>
    </row>
    <row r="794">
      <c r="A794" s="184">
        <v>43012.0</v>
      </c>
      <c r="B794" s="174">
        <v>-0.03229482754107801</v>
      </c>
      <c r="C794" s="174">
        <v>0.020595247720407522</v>
      </c>
      <c r="D794" s="174">
        <v>-0.015480996860094772</v>
      </c>
      <c r="E794" s="282">
        <v>0.002805778392811383</v>
      </c>
      <c r="F794" s="287">
        <v>392.07612129736367</v>
      </c>
      <c r="G794" s="235">
        <v>47.1458279462146</v>
      </c>
      <c r="H794" s="235">
        <v>-1386.0944329272622</v>
      </c>
      <c r="I794" s="287">
        <v>2273.0045394436015</v>
      </c>
      <c r="J794" s="233">
        <v>48438.174733738684</v>
      </c>
    </row>
    <row r="795">
      <c r="A795" s="184">
        <v>43011.0</v>
      </c>
      <c r="B795" s="174">
        <v>-0.03476042855516114</v>
      </c>
      <c r="C795" s="174">
        <v>0.01863312016432509</v>
      </c>
      <c r="D795" s="174">
        <v>-0.019890062198062195</v>
      </c>
      <c r="E795" s="282">
        <v>-4.230985925138934E-4</v>
      </c>
      <c r="F795" s="287">
        <v>-55.48989212300239</v>
      </c>
      <c r="G795" s="235">
        <v>42.439945713676146</v>
      </c>
      <c r="H795" s="235">
        <v>-1778.170554224626</v>
      </c>
      <c r="I795" s="287">
        <v>2225.858711497387</v>
      </c>
      <c r="J795" s="233">
        <v>48046.09861244132</v>
      </c>
    </row>
    <row r="796">
      <c r="A796" s="184">
        <v>43010.0</v>
      </c>
      <c r="B796" s="174">
        <v>-0.03479627088899824</v>
      </c>
      <c r="C796" s="174">
        <v>0.019266420197933325</v>
      </c>
      <c r="D796" s="174">
        <v>-0.01929824257076465</v>
      </c>
      <c r="E796" s="282">
        <v>0.015987718918450022</v>
      </c>
      <c r="F796" s="287">
        <v>2096.8318529015487</v>
      </c>
      <c r="G796" s="235">
        <v>49.4799469654101</v>
      </c>
      <c r="H796" s="235">
        <v>-1722.6806621016235</v>
      </c>
      <c r="I796" s="287">
        <v>2183.418765783711</v>
      </c>
      <c r="J796" s="233">
        <v>48101.58850456432</v>
      </c>
    </row>
    <row r="797">
      <c r="A797" s="184">
        <v>43007.0</v>
      </c>
      <c r="B797" s="174">
        <v>-0.055467578287146484</v>
      </c>
      <c r="C797" s="174">
        <v>0.01530956765143022</v>
      </c>
      <c r="D797" s="174">
        <v>-0.04297395127832193</v>
      </c>
      <c r="E797" s="282">
        <v>-0.008963895207072586</v>
      </c>
      <c r="F797" s="287">
        <v>-1159.2902361069846</v>
      </c>
      <c r="G797" s="235">
        <v>17.353071139589535</v>
      </c>
      <c r="H797" s="235">
        <v>-3819.512515003172</v>
      </c>
      <c r="I797" s="287">
        <v>2133.938818818301</v>
      </c>
      <c r="J797" s="233">
        <v>46004.75665166277</v>
      </c>
    </row>
    <row r="798">
      <c r="A798" s="184">
        <v>43006.0</v>
      </c>
      <c r="B798" s="174">
        <v>-0.0424843638368989</v>
      </c>
      <c r="C798" s="174">
        <v>0.015331272798622937</v>
      </c>
      <c r="D798" s="174">
        <v>-0.029973023982135673</v>
      </c>
      <c r="E798" s="282">
        <v>-0.03156530518810617</v>
      </c>
      <c r="F798" s="287">
        <v>-4118.897890594271</v>
      </c>
      <c r="G798" s="235">
        <v>14.619762926588558</v>
      </c>
      <c r="H798" s="235">
        <v>-2660.2222788961876</v>
      </c>
      <c r="I798" s="287">
        <v>2116.5857476787114</v>
      </c>
      <c r="J798" s="233">
        <v>47164.04688776976</v>
      </c>
    </row>
    <row r="799">
      <c r="A799" s="184">
        <v>43005.0</v>
      </c>
      <c r="B799" s="174">
        <v>0.003929492829921644</v>
      </c>
      <c r="C799" s="174">
        <v>0.01535381928441428</v>
      </c>
      <c r="D799" s="174">
        <v>0.016459232118963503</v>
      </c>
      <c r="E799" s="282">
        <v>0.00745695738810961</v>
      </c>
      <c r="F799" s="287">
        <v>1003.7589286961855</v>
      </c>
      <c r="G799" s="235">
        <v>65.99511887922543</v>
      </c>
      <c r="H799" s="235">
        <v>1458.6756116980837</v>
      </c>
      <c r="I799" s="287">
        <v>2101.965984752123</v>
      </c>
      <c r="J799" s="233">
        <v>51282.94477836403</v>
      </c>
    </row>
    <row r="800">
      <c r="A800" s="184">
        <v>43004.0</v>
      </c>
      <c r="B800" s="174">
        <v>-0.007408837755484629</v>
      </c>
      <c r="C800" s="174">
        <v>0.015379214061481348</v>
      </c>
      <c r="D800" s="174">
        <v>0.005141625363248041</v>
      </c>
      <c r="E800" s="282">
        <v>0.023505301212816354</v>
      </c>
      <c r="F800" s="287">
        <v>3140.3852614532034</v>
      </c>
      <c r="G800" s="235">
        <v>1.441601024036565</v>
      </c>
      <c r="H800" s="235">
        <v>454.91668300189804</v>
      </c>
      <c r="I800" s="287">
        <v>2035.9708658728975</v>
      </c>
      <c r="J800" s="233">
        <v>50279.18584966784</v>
      </c>
    </row>
    <row r="801">
      <c r="A801" s="184">
        <v>43003.0</v>
      </c>
      <c r="B801" s="174">
        <v>-0.04297174645271889</v>
      </c>
      <c r="C801" s="174">
        <v>0.015404016705719059</v>
      </c>
      <c r="D801" s="174">
        <v>-0.030401042724127487</v>
      </c>
      <c r="E801" s="282">
        <v>0.02354052184528393</v>
      </c>
      <c r="F801" s="287">
        <v>3071.164545507873</v>
      </c>
      <c r="G801" s="235">
        <v>53.29307118489122</v>
      </c>
      <c r="H801" s="235">
        <v>-2685.4685784513053</v>
      </c>
      <c r="I801" s="287">
        <v>2034.529264848861</v>
      </c>
      <c r="J801" s="233">
        <v>47138.80058821464</v>
      </c>
    </row>
    <row r="802">
      <c r="A802" s="184">
        <v>43000.0</v>
      </c>
      <c r="B802" s="174">
        <v>-0.0780772947777686</v>
      </c>
      <c r="C802" s="174">
        <v>0.015471032355357899</v>
      </c>
      <c r="D802" s="174">
        <v>-0.06545190181500646</v>
      </c>
      <c r="E802" s="282">
        <v>-0.01612837321917412</v>
      </c>
      <c r="F802" s="287">
        <v>-2054.621316091881</v>
      </c>
      <c r="G802" s="235">
        <v>9.042582239145787</v>
      </c>
      <c r="H802" s="235">
        <v>-5756.633123959178</v>
      </c>
      <c r="I802" s="287">
        <v>1981.2361936639697</v>
      </c>
      <c r="J802" s="233">
        <v>44067.63604270676</v>
      </c>
    </row>
    <row r="803">
      <c r="A803" s="184">
        <v>42999.0</v>
      </c>
      <c r="B803" s="174">
        <v>-0.05479033350158892</v>
      </c>
      <c r="C803" s="174">
        <v>0.015491876613877778</v>
      </c>
      <c r="D803" s="174">
        <v>-0.04214793023539091</v>
      </c>
      <c r="E803" s="282">
        <v>0.011607576344593667</v>
      </c>
      <c r="F803" s="287">
        <v>1502.558369169035</v>
      </c>
      <c r="G803" s="235">
        <v>50.75280318711397</v>
      </c>
      <c r="H803" s="235">
        <v>-3702.011807867297</v>
      </c>
      <c r="I803" s="287">
        <v>1972.193611424824</v>
      </c>
      <c r="J803" s="233">
        <v>46122.25735879864</v>
      </c>
    </row>
    <row r="804">
      <c r="A804" s="184">
        <v>42998.0</v>
      </c>
      <c r="B804" s="174">
        <v>-0.0720007138279795</v>
      </c>
      <c r="C804" s="174">
        <v>0.015514186629658797</v>
      </c>
      <c r="D804" s="174">
        <v>-0.059340104102783085</v>
      </c>
      <c r="E804" s="282">
        <v>-0.00590491484671946</v>
      </c>
      <c r="F804" s="287">
        <v>-755.4971840711723</v>
      </c>
      <c r="G804" s="235">
        <v>49.76026123848384</v>
      </c>
      <c r="H804" s="235">
        <v>-5204.570177036332</v>
      </c>
      <c r="I804" s="287">
        <v>1921.44080823771</v>
      </c>
      <c r="J804" s="233">
        <v>44619.69898962961</v>
      </c>
    </row>
    <row r="805">
      <c r="A805" s="184">
        <v>42997.0</v>
      </c>
      <c r="B805" s="174">
        <v>-0.06347406858837615</v>
      </c>
      <c r="C805" s="174">
        <v>0.015535525383866017</v>
      </c>
      <c r="D805" s="174">
        <v>-0.0507960450183235</v>
      </c>
      <c r="E805" s="282">
        <v>-0.01690028077322635</v>
      </c>
      <c r="F805" s="287">
        <v>-2175.054085732931</v>
      </c>
      <c r="G805" s="235">
        <v>24.13119836193059</v>
      </c>
      <c r="H805" s="235">
        <v>-4449.07299296516</v>
      </c>
      <c r="I805" s="287">
        <v>1871.6805469992262</v>
      </c>
      <c r="J805" s="233">
        <v>45375.19617370078</v>
      </c>
    </row>
    <row r="806">
      <c r="A806" s="184">
        <v>42996.0</v>
      </c>
      <c r="B806" s="174">
        <v>-0.03869551545577255</v>
      </c>
      <c r="C806" s="174">
        <v>0.015557444144985992</v>
      </c>
      <c r="D806" s="174">
        <v>-0.025999604716587278</v>
      </c>
      <c r="E806" s="282">
        <v>0.001354895146515241</v>
      </c>
      <c r="F806" s="287">
        <v>177.32100954997122</v>
      </c>
      <c r="G806" s="235">
        <v>60.19973125934899</v>
      </c>
      <c r="H806" s="235">
        <v>-2274.0189072322287</v>
      </c>
      <c r="I806" s="287">
        <v>1847.5493486372957</v>
      </c>
      <c r="J806" s="233">
        <v>47550.25025943371</v>
      </c>
    </row>
    <row r="807">
      <c r="A807" s="184">
        <v>42993.0</v>
      </c>
      <c r="B807" s="174">
        <v>-0.04090258629434094</v>
      </c>
      <c r="C807" s="174">
        <v>0.015626095872822217</v>
      </c>
      <c r="D807" s="174">
        <v>-0.02815065117219296</v>
      </c>
      <c r="E807" s="282">
        <v>0.002470541345548894</v>
      </c>
      <c r="F807" s="287">
        <v>315.7802468408845</v>
      </c>
      <c r="G807" s="235">
        <v>41.33047377633967</v>
      </c>
      <c r="H807" s="235">
        <v>-2451.3399167822</v>
      </c>
      <c r="I807" s="287">
        <v>1787.3496173779467</v>
      </c>
      <c r="J807" s="233">
        <v>38872.92924988374</v>
      </c>
    </row>
    <row r="808">
      <c r="A808" s="184">
        <v>42992.0</v>
      </c>
      <c r="B808" s="174">
        <v>-0.044605866357106026</v>
      </c>
      <c r="C808" s="174">
        <v>0.01564373183923742</v>
      </c>
      <c r="D808" s="174">
        <v>-0.03181286667009598</v>
      </c>
      <c r="E808" s="282">
        <v>0.012295678654565318</v>
      </c>
      <c r="F808" s="287">
        <v>1498.5660813827817</v>
      </c>
      <c r="G808" s="235">
        <v>27.30456502135768</v>
      </c>
      <c r="H808" s="235">
        <v>-2767.1201636230844</v>
      </c>
      <c r="I808" s="287">
        <v>1746.019143601607</v>
      </c>
      <c r="J808" s="233">
        <v>38587.149003042854</v>
      </c>
    </row>
    <row r="809">
      <c r="A809" s="184">
        <v>42991.0</v>
      </c>
      <c r="B809" s="174">
        <v>-0.061903545594693805</v>
      </c>
      <c r="C809" s="174">
        <v>0.015661201451327038</v>
      </c>
      <c r="D809" s="174">
        <v>-0.04909625975497472</v>
      </c>
      <c r="E809" s="282">
        <v>-0.0100484095777051</v>
      </c>
      <c r="F809" s="287">
        <v>-1209.616428961228</v>
      </c>
      <c r="G809" s="235">
        <v>7.386883766908636</v>
      </c>
      <c r="H809" s="235">
        <v>-4265.686245005866</v>
      </c>
      <c r="I809" s="287">
        <v>1718.7145785802495</v>
      </c>
      <c r="J809" s="233">
        <v>37088.58292166007</v>
      </c>
    </row>
    <row r="810">
      <c r="A810" s="184">
        <v>42990.0</v>
      </c>
      <c r="B810" s="174">
        <v>-0.048031766473958896</v>
      </c>
      <c r="C810" s="174">
        <v>0.015677651671880462</v>
      </c>
      <c r="D810" s="174">
        <v>-0.035211028110982964</v>
      </c>
      <c r="E810" s="282">
        <v>-0.007163247482400801</v>
      </c>
      <c r="F810" s="287">
        <v>-870.9685894640825</v>
      </c>
      <c r="G810" s="235">
        <v>28.7409960805984</v>
      </c>
      <c r="H810" s="235">
        <v>-3056.069816044638</v>
      </c>
      <c r="I810" s="287">
        <v>1711.327694813341</v>
      </c>
      <c r="J810" s="233">
        <v>38298.1993506213</v>
      </c>
    </row>
    <row r="811">
      <c r="A811" s="184">
        <v>42989.0</v>
      </c>
      <c r="B811" s="174">
        <v>-0.03803875154646746</v>
      </c>
      <c r="C811" s="174">
        <v>0.01569498017363926</v>
      </c>
      <c r="D811" s="174">
        <v>-0.02520384242680413</v>
      </c>
      <c r="E811" s="282">
        <v>0.006338998010249145</v>
      </c>
      <c r="F811" s="287">
        <v>776.2703922808532</v>
      </c>
      <c r="G811" s="235">
        <v>64.59916068174984</v>
      </c>
      <c r="H811" s="235">
        <v>-2185.1012265805557</v>
      </c>
      <c r="I811" s="287">
        <v>1682.5866987327424</v>
      </c>
      <c r="J811" s="233">
        <v>39169.167940085375</v>
      </c>
    </row>
    <row r="812">
      <c r="A812" s="184">
        <v>42986.0</v>
      </c>
      <c r="B812" s="174">
        <v>-0.04718415156038409</v>
      </c>
      <c r="C812" s="174">
        <v>0.01575896668682985</v>
      </c>
      <c r="D812" s="174">
        <v>-0.03429691608716061</v>
      </c>
      <c r="E812" s="282">
        <v>0.0032831972698917095</v>
      </c>
      <c r="F812" s="287">
        <v>399.5099775486183</v>
      </c>
      <c r="G812" s="235">
        <v>13.469833222342803</v>
      </c>
      <c r="H812" s="235">
        <v>-2961.371618861409</v>
      </c>
      <c r="I812" s="287">
        <v>1617.9875380509925</v>
      </c>
      <c r="J812" s="233">
        <v>38392.897547804525</v>
      </c>
    </row>
    <row r="813">
      <c r="A813" s="184">
        <v>42985.0</v>
      </c>
      <c r="B813" s="174">
        <v>-0.051642869419772544</v>
      </c>
      <c r="C813" s="174">
        <v>0.01555057193938636</v>
      </c>
      <c r="D813" s="174">
        <v>-0.038967232105645455</v>
      </c>
      <c r="E813" s="282">
        <v>-0.01837847012004676</v>
      </c>
      <c r="F813" s="287">
        <v>-2229.3670235417812</v>
      </c>
      <c r="G813" s="235">
        <v>68.25729283604915</v>
      </c>
      <c r="H813" s="235">
        <v>-3360.881596410027</v>
      </c>
      <c r="I813" s="287">
        <v>1604.5177048286496</v>
      </c>
      <c r="J813" s="233">
        <v>37993.38757025591</v>
      </c>
    </row>
    <row r="814">
      <c r="A814" s="184">
        <v>42984.0</v>
      </c>
      <c r="B814" s="174">
        <v>-0.02582314141895469</v>
      </c>
      <c r="C814" s="174">
        <v>0.015567650833620666</v>
      </c>
      <c r="D814" s="174">
        <v>-0.013133582696027706</v>
      </c>
      <c r="E814" s="282">
        <v>0.016749900290349725</v>
      </c>
      <c r="F814" s="287">
        <v>2069.157986016558</v>
      </c>
      <c r="G814" s="235">
        <v>55.089966944457444</v>
      </c>
      <c r="H814" s="235">
        <v>-1131.514572868246</v>
      </c>
      <c r="I814" s="287">
        <v>1536.2604119926004</v>
      </c>
      <c r="J814" s="233">
        <v>40222.75459379769</v>
      </c>
    </row>
    <row r="815">
      <c r="A815" s="184">
        <v>42983.0</v>
      </c>
      <c r="B815" s="174">
        <v>-0.04989982825995207</v>
      </c>
      <c r="C815" s="174">
        <v>0.015586329487250897</v>
      </c>
      <c r="D815" s="174">
        <v>-0.03719504412667646</v>
      </c>
      <c r="E815" s="282">
        <v>0.009281631320121853</v>
      </c>
      <c r="F815" s="287">
        <v>1127.3784739378634</v>
      </c>
      <c r="G815" s="235">
        <v>28.993959374918738</v>
      </c>
      <c r="H815" s="235">
        <v>-3200.672558884804</v>
      </c>
      <c r="I815" s="287">
        <v>1481.170445048143</v>
      </c>
      <c r="J815" s="233">
        <v>38153.59660778113</v>
      </c>
    </row>
    <row r="816">
      <c r="A816" s="184">
        <v>42982.0</v>
      </c>
      <c r="B816" s="174">
        <v>-0.06307085900537748</v>
      </c>
      <c r="C816" s="174">
        <v>0.015603586845145213</v>
      </c>
      <c r="D816" s="174">
        <v>-0.050352007993370904</v>
      </c>
      <c r="E816" s="282">
        <v>-0.026553041662519688</v>
      </c>
      <c r="F816" s="287">
        <v>-3195.2873251372193</v>
      </c>
      <c r="G816" s="235">
        <v>57.302306258371836</v>
      </c>
      <c r="H816" s="235">
        <v>-4328.051032822667</v>
      </c>
      <c r="I816" s="287">
        <v>1452.1764856732243</v>
      </c>
      <c r="J816" s="233">
        <v>37026.21813384327</v>
      </c>
    </row>
    <row r="817">
      <c r="A817" s="184">
        <v>42979.0</v>
      </c>
      <c r="B817" s="174">
        <v>-0.026001352517329795</v>
      </c>
      <c r="C817" s="174">
        <v>0.015666290481494247</v>
      </c>
      <c r="D817" s="174">
        <v>-0.013231390295025923</v>
      </c>
      <c r="E817" s="282">
        <v>0.009342363374730257</v>
      </c>
      <c r="F817" s="287">
        <v>1154.0743515379047</v>
      </c>
      <c r="G817" s="235">
        <v>41.361886832541124</v>
      </c>
      <c r="H817" s="235">
        <v>-1132.7637076854483</v>
      </c>
      <c r="I817" s="287">
        <v>1394.8741794148525</v>
      </c>
      <c r="J817" s="233">
        <v>40221.50545898049</v>
      </c>
    </row>
    <row r="818">
      <c r="A818" s="184">
        <v>42978.0</v>
      </c>
      <c r="B818" s="174">
        <v>-0.03953867617258881</v>
      </c>
      <c r="C818" s="174">
        <v>0.015685200301005654</v>
      </c>
      <c r="D818" s="174">
        <v>-0.026743944330446398</v>
      </c>
      <c r="E818" s="282">
        <v>0.017004677401983567</v>
      </c>
      <c r="F818" s="287">
        <v>1968.3790163704994</v>
      </c>
      <c r="G818" s="235">
        <v>9.333347852668101</v>
      </c>
      <c r="H818" s="235">
        <v>-2286.838059223353</v>
      </c>
      <c r="I818" s="287">
        <v>1353.5122925823114</v>
      </c>
      <c r="J818" s="233">
        <v>39067.431107442586</v>
      </c>
    </row>
    <row r="819">
      <c r="A819" s="184">
        <v>42977.0</v>
      </c>
      <c r="B819" s="174">
        <v>-0.06355440184954143</v>
      </c>
      <c r="C819" s="174">
        <v>0.015703326118799564</v>
      </c>
      <c r="D819" s="174">
        <v>-0.049821104251602896</v>
      </c>
      <c r="E819" s="282">
        <v>0.0398854744917196</v>
      </c>
      <c r="F819" s="287">
        <v>4535.292465034095</v>
      </c>
      <c r="G819" s="235">
        <v>35.18274462898133</v>
      </c>
      <c r="H819" s="235">
        <v>-4255.217075593852</v>
      </c>
      <c r="I819" s="287">
        <v>1344.1789447296433</v>
      </c>
      <c r="J819" s="233">
        <v>37099.05209107209</v>
      </c>
    </row>
    <row r="820">
      <c r="A820" s="184">
        <v>42976.0</v>
      </c>
      <c r="B820" s="174">
        <v>-0.11677913645227862</v>
      </c>
      <c r="C820" s="174">
        <v>0.015720077504512927</v>
      </c>
      <c r="D820" s="174">
        <v>-0.10303118897931111</v>
      </c>
      <c r="E820" s="282">
        <v>-0.03402818676322796</v>
      </c>
      <c r="F820" s="287">
        <v>-3714.9449572950434</v>
      </c>
      <c r="G820" s="235">
        <v>40.262176160581404</v>
      </c>
      <c r="H820" s="235">
        <v>-8790.509540627947</v>
      </c>
      <c r="I820" s="287">
        <v>1308.996200100662</v>
      </c>
      <c r="J820" s="233">
        <v>32563.759626037994</v>
      </c>
    </row>
    <row r="821">
      <c r="A821" s="184">
        <v>42975.0</v>
      </c>
      <c r="B821" s="174">
        <v>-0.07330026770860681</v>
      </c>
      <c r="C821" s="174">
        <v>0.015733599787439587</v>
      </c>
      <c r="D821" s="174">
        <v>-0.05954049436294007</v>
      </c>
      <c r="E821" s="282">
        <v>-0.021671935737491873</v>
      </c>
      <c r="F821" s="287">
        <v>-2446.4911963944896</v>
      </c>
      <c r="G821" s="235">
        <v>29.827108413547254</v>
      </c>
      <c r="H821" s="235">
        <v>-5075.5645833329045</v>
      </c>
      <c r="I821" s="287">
        <v>1268.7340239400805</v>
      </c>
      <c r="J821" s="233">
        <v>36278.704583333034</v>
      </c>
    </row>
    <row r="822">
      <c r="A822" s="184">
        <v>42972.0</v>
      </c>
      <c r="B822" s="174">
        <v>-0.044780355354113566</v>
      </c>
      <c r="C822" s="174">
        <v>0.015796891319885997</v>
      </c>
      <c r="D822" s="174">
        <v>-0.03096523058519163</v>
      </c>
      <c r="E822" s="282">
        <v>-0.010494004042774542</v>
      </c>
      <c r="F822" s="287">
        <v>-1210.3156366068945</v>
      </c>
      <c r="G822" s="235">
        <v>2.5207632335739105</v>
      </c>
      <c r="H822" s="235">
        <v>-2629.073386938415</v>
      </c>
      <c r="I822" s="287">
        <v>1238.9069155265333</v>
      </c>
      <c r="J822" s="233">
        <v>38725.195779727524</v>
      </c>
    </row>
    <row r="823">
      <c r="A823" s="184">
        <v>42971.0</v>
      </c>
      <c r="B823" s="174">
        <v>-0.030560273283599237</v>
      </c>
      <c r="C823" s="174">
        <v>0.01581501293039567</v>
      </c>
      <c r="D823" s="174">
        <v>-0.01672930031358917</v>
      </c>
      <c r="E823" s="282">
        <v>0.012494229645218149</v>
      </c>
      <c r="F823" s="287">
        <v>1456.1316509759615</v>
      </c>
      <c r="G823" s="235">
        <v>15.650172623606855</v>
      </c>
      <c r="H823" s="235">
        <v>-1418.7577503315204</v>
      </c>
      <c r="I823" s="287">
        <v>1236.3861522929594</v>
      </c>
      <c r="J823" s="233">
        <v>39935.51141633442</v>
      </c>
    </row>
    <row r="824">
      <c r="A824" s="184">
        <v>42970.0</v>
      </c>
      <c r="B824" s="174">
        <v>-0.0477877176408262</v>
      </c>
      <c r="C824" s="174">
        <v>0.01583404823151923</v>
      </c>
      <c r="D824" s="174">
        <v>-0.03394009740429319</v>
      </c>
      <c r="E824" s="282">
        <v>-0.008959031812060484</v>
      </c>
      <c r="F824" s="287">
        <v>-1031.0788503564847</v>
      </c>
      <c r="G824" s="235">
        <v>18.211264944743704</v>
      </c>
      <c r="H824" s="235">
        <v>-2874.889401307482</v>
      </c>
      <c r="I824" s="287">
        <v>1220.7359796693527</v>
      </c>
      <c r="J824" s="233">
        <v>38479.379765358455</v>
      </c>
    </row>
    <row r="825">
      <c r="A825" s="184">
        <v>42969.0</v>
      </c>
      <c r="B825" s="174">
        <v>-0.03565562406547098</v>
      </c>
      <c r="C825" s="174">
        <v>0.01585206276095997</v>
      </c>
      <c r="D825" s="174">
        <v>-0.021792249275283237</v>
      </c>
      <c r="E825" s="282">
        <v>0.0026054464827454534</v>
      </c>
      <c r="F825" s="287">
        <v>302.54256821946115</v>
      </c>
      <c r="G825" s="235">
        <v>48.071952591627586</v>
      </c>
      <c r="H825" s="235">
        <v>-1843.8105509509971</v>
      </c>
      <c r="I825" s="287">
        <v>1202.5247147246089</v>
      </c>
      <c r="J825" s="233">
        <v>39510.45861571494</v>
      </c>
    </row>
    <row r="826">
      <c r="A826" s="184">
        <v>42968.0</v>
      </c>
      <c r="B826" s="174">
        <v>-0.039277947042854026</v>
      </c>
      <c r="C826" s="174">
        <v>0.015870864314838192</v>
      </c>
      <c r="D826" s="174">
        <v>-0.02539812940910818</v>
      </c>
      <c r="E826" s="282">
        <v>5.614026467821007E-5</v>
      </c>
      <c r="F826" s="287">
        <v>6.501982262656384</v>
      </c>
      <c r="G826" s="235">
        <v>20.850547371342923</v>
      </c>
      <c r="H826" s="235">
        <v>-2146.3531191704583</v>
      </c>
      <c r="I826" s="287">
        <v>1154.4527621329812</v>
      </c>
      <c r="J826" s="233">
        <v>39207.91604749548</v>
      </c>
    </row>
    <row r="827">
      <c r="A827" s="184">
        <v>42965.0</v>
      </c>
      <c r="B827" s="174">
        <v>-0.03952008961251657</v>
      </c>
      <c r="C827" s="174">
        <v>0.015937486893741994</v>
      </c>
      <c r="D827" s="174">
        <v>-0.025582007398648885</v>
      </c>
      <c r="E827" s="282">
        <v>-0.002655202371264782</v>
      </c>
      <c r="F827" s="287">
        <v>-307.4996103194062</v>
      </c>
      <c r="G827" s="235">
        <v>5.470832057708124</v>
      </c>
      <c r="H827" s="235">
        <v>-2152.8551014331147</v>
      </c>
      <c r="I827" s="287">
        <v>1133.6022147616384</v>
      </c>
      <c r="J827" s="233">
        <v>39201.41406523282</v>
      </c>
    </row>
    <row r="828">
      <c r="A828" s="184">
        <v>42964.0</v>
      </c>
      <c r="B828" s="174">
        <v>-0.03590838612367172</v>
      </c>
      <c r="C828" s="174">
        <v>0.015956266261291444</v>
      </c>
      <c r="D828" s="174">
        <v>-0.021953880469234407</v>
      </c>
      <c r="E828" s="282">
        <v>0.0031757603615287094</v>
      </c>
      <c r="F828" s="287">
        <v>368.76209852383545</v>
      </c>
      <c r="G828" s="235">
        <v>22.474894739395307</v>
      </c>
      <c r="H828" s="235">
        <v>-1845.3554911137085</v>
      </c>
      <c r="I828" s="287">
        <v>1128.1313827039303</v>
      </c>
      <c r="J828" s="233">
        <v>39508.91367555223</v>
      </c>
    </row>
    <row r="829">
      <c r="A829" s="184">
        <v>42963.0</v>
      </c>
      <c r="B829" s="174">
        <v>-0.04034357993861522</v>
      </c>
      <c r="C829" s="174">
        <v>0.015975310530474105</v>
      </c>
      <c r="D829" s="174">
        <v>-0.0263724191746653</v>
      </c>
      <c r="E829" s="282">
        <v>-0.002824281035909549</v>
      </c>
      <c r="F829" s="287">
        <v>-326.90762770460424</v>
      </c>
      <c r="G829" s="235">
        <v>27.340771032122696</v>
      </c>
      <c r="H829" s="235">
        <v>-2214.117589637544</v>
      </c>
      <c r="I829" s="287">
        <v>1105.656487964535</v>
      </c>
      <c r="J829" s="233">
        <v>39140.15157702839</v>
      </c>
    </row>
    <row r="830">
      <c r="A830" s="184">
        <v>42962.0</v>
      </c>
      <c r="B830" s="174">
        <v>-0.03649269054492367</v>
      </c>
      <c r="C830" s="174">
        <v>0.01599412026832224</v>
      </c>
      <c r="D830" s="174">
        <v>-0.022505079780148877</v>
      </c>
      <c r="E830" s="282">
        <v>0.007128689114418415</v>
      </c>
      <c r="F830" s="287">
        <v>827.4688624739065</v>
      </c>
      <c r="G830" s="235">
        <v>1.199494158488028</v>
      </c>
      <c r="H830" s="235">
        <v>-1887.2099619329397</v>
      </c>
      <c r="I830" s="287">
        <v>1078.3157169324122</v>
      </c>
      <c r="J830" s="233">
        <v>39467.05920473299</v>
      </c>
    </row>
    <row r="831">
      <c r="A831" s="184">
        <v>42961.0</v>
      </c>
      <c r="B831" s="174">
        <v>-0.046415635869255095</v>
      </c>
      <c r="C831" s="174">
        <v>0.016013210576489346</v>
      </c>
      <c r="D831" s="174">
        <v>-0.032411329731709466</v>
      </c>
      <c r="E831" s="282">
        <v>-0.0017211082882885361</v>
      </c>
      <c r="F831" s="287">
        <v>-198.35499568639852</v>
      </c>
      <c r="G831" s="235">
        <v>34.69969735002001</v>
      </c>
      <c r="H831" s="235">
        <v>-2714.678824406846</v>
      </c>
      <c r="I831" s="287">
        <v>1077.1162227739242</v>
      </c>
      <c r="J831" s="233">
        <v>38639.590342259085</v>
      </c>
    </row>
    <row r="832">
      <c r="A832" s="184">
        <v>42958.0</v>
      </c>
      <c r="B832" s="174">
        <v>-0.044232990419579586</v>
      </c>
      <c r="C832" s="174">
        <v>0.016080674235119666</v>
      </c>
      <c r="D832" s="174">
        <v>-0.03016968413811498</v>
      </c>
      <c r="E832" s="282">
        <v>0.0012089733041054905</v>
      </c>
      <c r="F832" s="287">
        <v>139.5720583463858</v>
      </c>
      <c r="G832" s="235">
        <v>31.028697467584234</v>
      </c>
      <c r="H832" s="235">
        <v>-2516.3238287204476</v>
      </c>
      <c r="I832" s="287">
        <v>1042.4165254239042</v>
      </c>
      <c r="J832" s="233">
        <v>38837.945337945486</v>
      </c>
    </row>
    <row r="833">
      <c r="A833" s="184">
        <v>42957.0</v>
      </c>
      <c r="B833" s="174">
        <v>-0.04596014993033742</v>
      </c>
      <c r="C833" s="174">
        <v>0.016099501811437898</v>
      </c>
      <c r="D833" s="174">
        <v>-0.03188037804746645</v>
      </c>
      <c r="E833" s="282">
        <v>0.009018509400205765</v>
      </c>
      <c r="F833" s="287">
        <v>1039.8990140188384</v>
      </c>
      <c r="G833" s="235">
        <v>24.152656929773116</v>
      </c>
      <c r="H833" s="235">
        <v>-2655.8958870668334</v>
      </c>
      <c r="I833" s="287">
        <v>1011.3878279563199</v>
      </c>
      <c r="J833" s="233">
        <v>38698.3732795991</v>
      </c>
    </row>
    <row r="834">
      <c r="A834" s="184">
        <v>42956.0</v>
      </c>
      <c r="B834" s="174">
        <v>-0.05851080543092099</v>
      </c>
      <c r="C834" s="174">
        <v>0.016118261045048852</v>
      </c>
      <c r="D834" s="174">
        <v>-0.044414627715556994</v>
      </c>
      <c r="E834" s="282">
        <v>0.009705303743107255</v>
      </c>
      <c r="F834" s="287">
        <v>1108.9988068382345</v>
      </c>
      <c r="G834" s="235">
        <v>69.37440883942485</v>
      </c>
      <c r="H834" s="235">
        <v>-3695.794901085672</v>
      </c>
      <c r="I834" s="287">
        <v>987.2351710265468</v>
      </c>
      <c r="J834" s="233">
        <v>37658.47426558026</v>
      </c>
    </row>
    <row r="835">
      <c r="A835" s="184">
        <v>42955.0</v>
      </c>
      <c r="B835" s="174">
        <v>-0.07191859308296715</v>
      </c>
      <c r="C835" s="174">
        <v>0.016136271269737143</v>
      </c>
      <c r="D835" s="174">
        <v>-0.05780666457865699</v>
      </c>
      <c r="E835" s="282">
        <v>9.581905501069327E-4</v>
      </c>
      <c r="F835" s="287">
        <v>108.42721017326767</v>
      </c>
      <c r="G835" s="235">
        <v>24.399842652101363</v>
      </c>
      <c r="H835" s="235">
        <v>-4804.793707923906</v>
      </c>
      <c r="I835" s="287">
        <v>917.860762187122</v>
      </c>
      <c r="J835" s="233">
        <v>36549.475458742025</v>
      </c>
    </row>
    <row r="836">
      <c r="A836" s="184">
        <v>42954.0</v>
      </c>
      <c r="B836" s="174">
        <v>-0.0733389627471743</v>
      </c>
      <c r="C836" s="174">
        <v>0.016191291161182626</v>
      </c>
      <c r="D836" s="174">
        <v>-0.059174172412244014</v>
      </c>
      <c r="E836" s="282">
        <v>0.002904181353923698</v>
      </c>
      <c r="F836" s="287">
        <v>328.30820272172605</v>
      </c>
      <c r="G836" s="235">
        <v>42.999726653623426</v>
      </c>
      <c r="H836" s="235">
        <v>-4913.220918097174</v>
      </c>
      <c r="I836" s="287">
        <v>893.4609195350206</v>
      </c>
      <c r="J836" s="233">
        <v>36441.04824856875</v>
      </c>
    </row>
    <row r="837">
      <c r="A837" s="184">
        <v>42951.0</v>
      </c>
      <c r="B837" s="174">
        <v>-0.07736103756572732</v>
      </c>
      <c r="C837" s="174">
        <v>0.01600562151199392</v>
      </c>
      <c r="D837" s="174">
        <v>-0.06339032925454045</v>
      </c>
      <c r="E837" s="282">
        <v>0.010726748280755982</v>
      </c>
      <c r="F837" s="287">
        <v>1209.3264236818359</v>
      </c>
      <c r="G837" s="235">
        <v>31.397351180267716</v>
      </c>
      <c r="H837" s="235">
        <v>-5241.5291208189</v>
      </c>
      <c r="I837" s="287">
        <v>850.4611928813972</v>
      </c>
      <c r="J837" s="233">
        <v>36112.74004584703</v>
      </c>
    </row>
    <row r="838">
      <c r="A838" s="184">
        <v>42950.0</v>
      </c>
      <c r="B838" s="174">
        <v>-0.09208316939760587</v>
      </c>
      <c r="C838" s="174">
        <v>0.01602244817313422</v>
      </c>
      <c r="D838" s="174">
        <v>-0.07809777372332809</v>
      </c>
      <c r="E838" s="282">
        <v>2.7578457708006727E-4</v>
      </c>
      <c r="F838" s="287">
        <v>30.758255110497885</v>
      </c>
      <c r="G838" s="235">
        <v>21.320775511560612</v>
      </c>
      <c r="H838" s="235">
        <v>-6450.855544500736</v>
      </c>
      <c r="I838" s="287">
        <v>819.0638417011295</v>
      </c>
      <c r="J838" s="233">
        <v>34903.41362216519</v>
      </c>
    </row>
    <row r="839">
      <c r="A839" s="184">
        <v>42949.0</v>
      </c>
      <c r="B839" s="174">
        <v>-0.09254751523972969</v>
      </c>
      <c r="C839" s="174">
        <v>0.01603838624874132</v>
      </c>
      <c r="D839" s="174">
        <v>-0.07854820781543449</v>
      </c>
      <c r="E839" s="282">
        <v>0.0045073162548021194</v>
      </c>
      <c r="F839" s="287">
        <v>492.37970635332204</v>
      </c>
      <c r="G839" s="235">
        <v>53.35669228845551</v>
      </c>
      <c r="H839" s="235">
        <v>-6481.613799611234</v>
      </c>
      <c r="I839" s="287">
        <v>797.7430661895689</v>
      </c>
      <c r="J839" s="233">
        <v>34872.65536705469</v>
      </c>
    </row>
    <row r="840">
      <c r="A840" s="184">
        <v>42948.0</v>
      </c>
      <c r="B840" s="174">
        <v>-0.09862206095498667</v>
      </c>
      <c r="C840" s="174">
        <v>0.016054321201896683</v>
      </c>
      <c r="D840" s="174">
        <v>-0.0845991399786139</v>
      </c>
      <c r="E840" s="282">
        <v>-0.02082064271621782</v>
      </c>
      <c r="F840" s="287">
        <v>-2167.3189007682986</v>
      </c>
      <c r="G840" s="235">
        <v>52.747450956268686</v>
      </c>
      <c r="H840" s="235">
        <v>-6973.993505964556</v>
      </c>
      <c r="I840" s="287">
        <v>744.3863739011134</v>
      </c>
      <c r="J840" s="233">
        <v>34380.27566070137</v>
      </c>
    </row>
    <row r="841">
      <c r="A841" s="184">
        <v>42947.0</v>
      </c>
      <c r="B841" s="174">
        <v>-0.07240125205985454</v>
      </c>
      <c r="C841" s="174">
        <v>0.016069902196932415</v>
      </c>
      <c r="D841" s="174">
        <v>-0.05836472159732712</v>
      </c>
      <c r="E841" s="282">
        <v>0.010812911413823248</v>
      </c>
      <c r="F841" s="287">
        <v>1149.0019753765637</v>
      </c>
      <c r="G841" s="235">
        <v>59.80562505401783</v>
      </c>
      <c r="H841" s="235">
        <v>-4806.674605196257</v>
      </c>
      <c r="I841" s="287">
        <v>691.6389229448447</v>
      </c>
      <c r="J841" s="233">
        <v>36547.59456146967</v>
      </c>
    </row>
    <row r="842">
      <c r="A842" s="184">
        <v>42944.0</v>
      </c>
      <c r="B842" s="174">
        <v>-0.08758936584668274</v>
      </c>
      <c r="C842" s="174">
        <v>0.016137345585314704</v>
      </c>
      <c r="D842" s="174">
        <v>-0.07261990341536816</v>
      </c>
      <c r="E842" s="282">
        <v>-0.007345436719423563</v>
      </c>
      <c r="F842" s="287">
        <v>-771.5746144650084</v>
      </c>
      <c r="G842" s="235">
        <v>32.31874335679391</v>
      </c>
      <c r="H842" s="235">
        <v>-5955.676580572821</v>
      </c>
      <c r="I842" s="287">
        <v>631.8332978908269</v>
      </c>
      <c r="J842" s="233">
        <v>35398.5925860931</v>
      </c>
    </row>
    <row r="843">
      <c r="A843" s="184">
        <v>42943.0</v>
      </c>
      <c r="B843" s="174">
        <v>-0.07826132983160083</v>
      </c>
      <c r="C843" s="174">
        <v>0.016153874079290757</v>
      </c>
      <c r="D843" s="174">
        <v>-0.06327653509744172</v>
      </c>
      <c r="E843" s="282">
        <v>-0.018845192216455232</v>
      </c>
      <c r="F843" s="287">
        <v>-1994.0649677846432</v>
      </c>
      <c r="G843" s="235">
        <v>10.994838358635224</v>
      </c>
      <c r="H843" s="235">
        <v>-5184.101966107813</v>
      </c>
      <c r="I843" s="287">
        <v>599.514554534033</v>
      </c>
      <c r="J843" s="233">
        <v>36170.16720055811</v>
      </c>
    </row>
    <row r="844">
      <c r="A844" s="184">
        <v>42942.0</v>
      </c>
      <c r="B844" s="174">
        <v>-0.053979234751172916</v>
      </c>
      <c r="C844" s="174">
        <v>0.016171017738060914</v>
      </c>
      <c r="D844" s="174">
        <v>-0.038978537069745404</v>
      </c>
      <c r="E844" s="282">
        <v>-0.017331343070475368</v>
      </c>
      <c r="F844" s="287">
        <v>-1868.4399811083988</v>
      </c>
      <c r="G844" s="235">
        <v>13.803857248999577</v>
      </c>
      <c r="H844" s="235">
        <v>-3190.0369983231694</v>
      </c>
      <c r="I844" s="287">
        <v>588.5197161753978</v>
      </c>
      <c r="J844" s="233">
        <v>38164.23216834276</v>
      </c>
    </row>
    <row r="845">
      <c r="A845" s="184">
        <v>42941.0</v>
      </c>
      <c r="B845" s="174">
        <v>-0.031185105327039622</v>
      </c>
      <c r="C845" s="174">
        <v>0.01618972330727547</v>
      </c>
      <c r="D845" s="174">
        <v>-0.016167055825628256</v>
      </c>
      <c r="E845" s="282">
        <v>-0.007291940922501926</v>
      </c>
      <c r="F845" s="287">
        <v>-799.7467779602893</v>
      </c>
      <c r="G845" s="235">
        <v>3.957657346163994</v>
      </c>
      <c r="H845" s="235">
        <v>-1321.5970172147709</v>
      </c>
      <c r="I845" s="287">
        <v>574.7158589263981</v>
      </c>
      <c r="J845" s="233">
        <v>40032.67214945116</v>
      </c>
    </row>
    <row r="846">
      <c r="A846" s="184">
        <v>42940.0</v>
      </c>
      <c r="B846" s="174">
        <v>-0.02142850962620014</v>
      </c>
      <c r="C846" s="174">
        <v>0.016209907395457943</v>
      </c>
      <c r="D846" s="174">
        <v>-0.00639173678840358</v>
      </c>
      <c r="E846" s="282">
        <v>0.0070921139688628326</v>
      </c>
      <c r="F846" s="287">
        <v>783.502565593816</v>
      </c>
      <c r="G846" s="235">
        <v>39.92904728461744</v>
      </c>
      <c r="H846" s="235">
        <v>-521.8502392544816</v>
      </c>
      <c r="I846" s="287">
        <v>570.7582015802342</v>
      </c>
      <c r="J846" s="233">
        <v>40832.41892741145</v>
      </c>
    </row>
    <row r="847">
      <c r="A847" s="184">
        <v>42937.0</v>
      </c>
      <c r="B847" s="174">
        <v>-0.03116291979903364</v>
      </c>
      <c r="C847" s="174">
        <v>0.01628195613915962</v>
      </c>
      <c r="D847" s="174">
        <v>-0.016059312489832615</v>
      </c>
      <c r="E847" s="282">
        <v>-0.03208896889104281</v>
      </c>
      <c r="F847" s="287">
        <v>-3519.892817121534</v>
      </c>
      <c r="G847" s="235">
        <v>3.9177705838284806</v>
      </c>
      <c r="H847" s="235">
        <v>-1305.3528048482976</v>
      </c>
      <c r="I847" s="287">
        <v>530.8291542956167</v>
      </c>
      <c r="J847" s="233">
        <v>40048.91636181763</v>
      </c>
    </row>
    <row r="848">
      <c r="A848" s="184">
        <v>42936.0</v>
      </c>
      <c r="B848" s="174">
        <v>0.012156361494940662</v>
      </c>
      <c r="C848" s="174">
        <v>0.016302386758535747</v>
      </c>
      <c r="D848" s="174">
        <v>0.02727892082989973</v>
      </c>
      <c r="E848" s="282">
        <v>0.013242996594394344</v>
      </c>
      <c r="F848" s="287">
        <v>1499.2604361185718</v>
      </c>
      <c r="G848" s="235">
        <v>47.903083129353966</v>
      </c>
      <c r="H848" s="235">
        <v>2214.5400122732362</v>
      </c>
      <c r="I848" s="287">
        <v>526.9113837117883</v>
      </c>
      <c r="J848" s="233">
        <v>43568.80917893916</v>
      </c>
    </row>
    <row r="849">
      <c r="A849" s="184">
        <v>42935.0</v>
      </c>
      <c r="B849" s="174">
        <v>-0.006320669522733724</v>
      </c>
      <c r="C849" s="174">
        <v>0.01632561751854078</v>
      </c>
      <c r="D849" s="174">
        <v>0.008823439328365268</v>
      </c>
      <c r="E849" s="282">
        <v>0.01701773961969355</v>
      </c>
      <c r="F849" s="287">
        <v>1901.0909966815989</v>
      </c>
      <c r="G849" s="235">
        <v>61.865958873704415</v>
      </c>
      <c r="H849" s="235">
        <v>715.2795761546645</v>
      </c>
      <c r="I849" s="287">
        <v>479.00830058243434</v>
      </c>
      <c r="J849" s="233">
        <v>42069.54874282059</v>
      </c>
    </row>
    <row r="850">
      <c r="A850" s="184">
        <v>42934.0</v>
      </c>
      <c r="B850" s="174">
        <v>-0.029812195442481943</v>
      </c>
      <c r="C850" s="174">
        <v>0.01634773308084491</v>
      </c>
      <c r="D850" s="174">
        <v>-0.014647571564465495</v>
      </c>
      <c r="E850" s="282">
        <v>-0.012318775310278026</v>
      </c>
      <c r="F850" s="287">
        <v>-1352.7397282283569</v>
      </c>
      <c r="G850" s="235">
        <v>63.121469118479794</v>
      </c>
      <c r="H850" s="235">
        <v>-1185.8114205269344</v>
      </c>
      <c r="I850" s="287">
        <v>417.14234170872993</v>
      </c>
      <c r="J850" s="233">
        <v>40168.45774613899</v>
      </c>
    </row>
    <row r="851">
      <c r="A851" s="184">
        <v>42933.0</v>
      </c>
      <c r="B851" s="174">
        <v>-0.013119233511863778</v>
      </c>
      <c r="C851" s="174">
        <v>0.016368404972988353</v>
      </c>
      <c r="D851" s="174">
        <v>0.0020645662034172</v>
      </c>
      <c r="E851" s="282">
        <v>0.002863352021211168</v>
      </c>
      <c r="F851" s="287">
        <v>318.30154470619095</v>
      </c>
      <c r="G851" s="235">
        <v>48.83269324609642</v>
      </c>
      <c r="H851" s="235">
        <v>166.92830770142245</v>
      </c>
      <c r="I851" s="287">
        <v>354.0208725902501</v>
      </c>
      <c r="J851" s="233">
        <v>41521.19747436735</v>
      </c>
    </row>
    <row r="852">
      <c r="A852" s="184">
        <v>42930.0</v>
      </c>
      <c r="B852" s="174">
        <v>-0.017133160629300034</v>
      </c>
      <c r="C852" s="174">
        <v>0.01644247317734297</v>
      </c>
      <c r="D852" s="174">
        <v>-0.0018806531332641854</v>
      </c>
      <c r="E852" s="282">
        <v>-0.014234216658813028</v>
      </c>
      <c r="F852" s="287">
        <v>-1577.8010940528982</v>
      </c>
      <c r="G852" s="235">
        <v>0.21964076523191656</v>
      </c>
      <c r="H852" s="235">
        <v>-151.3732370047685</v>
      </c>
      <c r="I852" s="287">
        <v>305.1881793441537</v>
      </c>
      <c r="J852" s="233">
        <v>41202.89592966116</v>
      </c>
    </row>
    <row r="853">
      <c r="A853" s="184">
        <v>42929.0</v>
      </c>
      <c r="B853" s="174">
        <v>0.0024726219813722646</v>
      </c>
      <c r="C853" s="174">
        <v>0.01646421233277186</v>
      </c>
      <c r="D853" s="174">
        <v>0.017745295338562964</v>
      </c>
      <c r="E853" s="282">
        <v>0.03277879645817129</v>
      </c>
      <c r="F853" s="287">
        <v>3685.10564221998</v>
      </c>
      <c r="G853" s="235">
        <v>50.47996263023985</v>
      </c>
      <c r="H853" s="235">
        <v>1426.4278570481297</v>
      </c>
      <c r="I853" s="287">
        <v>304.96853857892177</v>
      </c>
      <c r="J853" s="233">
        <v>42780.697023714056</v>
      </c>
    </row>
    <row r="854">
      <c r="A854" s="184">
        <v>42928.0</v>
      </c>
      <c r="B854" s="174">
        <v>-0.04343219119829683</v>
      </c>
      <c r="C854" s="174">
        <v>0.01648726317146601</v>
      </c>
      <c r="D854" s="174">
        <v>-0.028138135225110324</v>
      </c>
      <c r="E854" s="282">
        <v>-0.010281826639136269</v>
      </c>
      <c r="F854" s="287">
        <v>-1118.0288864982026</v>
      </c>
      <c r="G854" s="235">
        <v>42.62574766395087</v>
      </c>
      <c r="H854" s="235">
        <v>-2258.6777851718502</v>
      </c>
      <c r="I854" s="287">
        <v>254.48857594868193</v>
      </c>
      <c r="J854" s="233">
        <v>39095.59138149407</v>
      </c>
    </row>
    <row r="855">
      <c r="A855" s="184">
        <v>42927.0</v>
      </c>
      <c r="B855" s="174">
        <v>-0.029540093589046124</v>
      </c>
      <c r="C855" s="174">
        <v>0.01650742088927203</v>
      </c>
      <c r="D855" s="174">
        <v>-0.01422733874138842</v>
      </c>
      <c r="E855" s="282">
        <v>4.8256608155701855E-4</v>
      </c>
      <c r="F855" s="287">
        <v>53.01296336210157</v>
      </c>
      <c r="G855" s="235">
        <v>63.40183868553957</v>
      </c>
      <c r="H855" s="235">
        <v>-1140.6488986736476</v>
      </c>
      <c r="I855" s="287">
        <v>211.86282828473105</v>
      </c>
      <c r="J855" s="233">
        <v>40213.62026799227</v>
      </c>
    </row>
    <row r="856">
      <c r="A856" s="184">
        <v>42926.0</v>
      </c>
      <c r="B856" s="174">
        <v>-0.030271646139385166</v>
      </c>
      <c r="C856" s="174">
        <v>0.01656024012368824</v>
      </c>
      <c r="D856" s="174">
        <v>-0.014907598897277378</v>
      </c>
      <c r="E856" s="282">
        <v>-5.823177686275382E-4</v>
      </c>
      <c r="F856" s="287">
        <v>-63.93897323475517</v>
      </c>
      <c r="G856" s="235">
        <v>8.760502801849738</v>
      </c>
      <c r="H856" s="235">
        <v>-1193.6618620357492</v>
      </c>
      <c r="I856" s="287">
        <v>148.46098959919146</v>
      </c>
      <c r="J856" s="233">
        <v>40160.60730463017</v>
      </c>
    </row>
    <row r="857">
      <c r="A857" s="184">
        <v>42923.0</v>
      </c>
      <c r="B857" s="174">
        <v>-0.029357917994965642</v>
      </c>
      <c r="C857" s="174">
        <v>0.01638685060210999</v>
      </c>
      <c r="D857" s="174">
        <v>-0.014172651008686135</v>
      </c>
      <c r="E857" s="282">
        <v>-0.04140050568448479</v>
      </c>
      <c r="F857" s="287">
        <v>-4549.275403309175</v>
      </c>
      <c r="G857" s="235">
        <v>1.2074260908759182</v>
      </c>
      <c r="H857" s="235">
        <v>-1129.722888800994</v>
      </c>
      <c r="I857" s="287">
        <v>139.70048679734174</v>
      </c>
      <c r="J857" s="233">
        <v>40224.54627786492</v>
      </c>
    </row>
    <row r="858">
      <c r="A858" s="184">
        <v>42922.0</v>
      </c>
      <c r="B858" s="174">
        <v>0.027749503284069863</v>
      </c>
      <c r="C858" s="174">
        <v>0.016407926686245522</v>
      </c>
      <c r="D858" s="174">
        <v>0.04295430092772792</v>
      </c>
      <c r="E858" s="282">
        <v>0.003302809505362042</v>
      </c>
      <c r="F858" s="287">
        <v>377.95308370773546</v>
      </c>
      <c r="G858" s="235">
        <v>36.089910571663104</v>
      </c>
      <c r="H858" s="235">
        <v>3419.552514508181</v>
      </c>
      <c r="I858" s="287">
        <v>138.49306070646583</v>
      </c>
      <c r="J858" s="233">
        <v>44773.8216811741</v>
      </c>
    </row>
    <row r="859">
      <c r="A859" s="184">
        <v>42921.0</v>
      </c>
      <c r="B859" s="174">
        <v>0.02263468737972236</v>
      </c>
      <c r="C859" s="174">
        <v>0.016834649203371417</v>
      </c>
      <c r="D859" s="174">
        <v>0.03826439049948787</v>
      </c>
      <c r="E859" s="282">
        <v>-4.7212804869919056E-4</v>
      </c>
      <c r="F859" s="287">
        <v>-53.83388586461706</v>
      </c>
      <c r="G859" s="235">
        <v>68.77854220702787</v>
      </c>
      <c r="H859" s="235">
        <v>3041.5994308004456</v>
      </c>
      <c r="I859" s="287">
        <v>102.40315013480273</v>
      </c>
      <c r="J859" s="233">
        <v>44395.86859746637</v>
      </c>
    </row>
    <row r="860">
      <c r="A860" s="184">
        <v>42920.0</v>
      </c>
      <c r="B860" s="174">
        <v>0.026499948768121083</v>
      </c>
      <c r="C860" s="174">
        <v>0.013646511569053933</v>
      </c>
      <c r="D860" s="174">
        <v>0.038999812180536754</v>
      </c>
      <c r="E860" s="282">
        <v>0.0030899697559248506</v>
      </c>
      <c r="F860" s="287">
        <v>302.9491425360957</v>
      </c>
      <c r="G860" s="235">
        <v>33.61995792877679</v>
      </c>
      <c r="H860" s="235">
        <v>3095.4333166650626</v>
      </c>
      <c r="I860" s="287">
        <v>33.62460792777486</v>
      </c>
      <c r="J860" s="233">
        <v>44449.702483330984</v>
      </c>
    </row>
    <row r="861">
      <c r="A861" s="184">
        <v>42919.0</v>
      </c>
      <c r="B861" s="174">
        <v>0.02271704032035104</v>
      </c>
      <c r="C861" s="174">
        <v>0.013666961515764554</v>
      </c>
      <c r="D861" s="174">
        <v>0.035235635372671936</v>
      </c>
      <c r="E861" s="282">
        <v>-0.03356158843062159</v>
      </c>
      <c r="F861" s="287">
        <v>-3004.4268240819542</v>
      </c>
      <c r="G861" s="233">
        <v>0.0</v>
      </c>
      <c r="H861" s="235">
        <v>2792.484174128967</v>
      </c>
      <c r="I861" s="287">
        <v>0.0</v>
      </c>
      <c r="J861" s="233">
        <v>44146.75334079489</v>
      </c>
    </row>
    <row r="862">
      <c r="A862" s="184">
        <v>42916.0</v>
      </c>
      <c r="B862" s="174">
        <v>0.06091514373603383</v>
      </c>
      <c r="C862" s="174">
        <v>0.013731922920139047</v>
      </c>
      <c r="D862" s="174">
        <v>0.0734932418106217</v>
      </c>
      <c r="E862" s="282">
        <v>-0.022843310260344973</v>
      </c>
      <c r="F862" s="287">
        <v>-2287.480227589429</v>
      </c>
      <c r="G862" s="235">
        <v>0.0</v>
      </c>
      <c r="H862" s="235">
        <v>5796.910998210921</v>
      </c>
      <c r="I862" s="287">
        <v>0.0</v>
      </c>
      <c r="J862" s="233">
        <v>47151.18016487684</v>
      </c>
    </row>
    <row r="863">
      <c r="A863" s="184">
        <v>42915.0</v>
      </c>
      <c r="B863" s="174">
        <v>0.08936079695595747</v>
      </c>
      <c r="C863" s="174">
        <v>0.013754464745568172</v>
      </c>
      <c r="D863" s="174">
        <v>0.10266216807276282</v>
      </c>
      <c r="E863" s="282">
        <v>0.008404883918081224</v>
      </c>
      <c r="F863" s="287">
        <v>860.408061045523</v>
      </c>
      <c r="G863" s="235">
        <v>0.0</v>
      </c>
      <c r="H863" s="235">
        <v>8084.39122580035</v>
      </c>
      <c r="I863" s="287">
        <v>0.0</v>
      </c>
      <c r="J863" s="233">
        <v>49438.66039246626</v>
      </c>
    </row>
    <row r="864">
      <c r="A864" s="184">
        <v>42914.0</v>
      </c>
      <c r="B864" s="174">
        <v>0.07857249811309334</v>
      </c>
      <c r="C864" s="174">
        <v>0.013778640478588436</v>
      </c>
      <c r="D864" s="174">
        <v>0.09189724857637796</v>
      </c>
      <c r="E864" s="282">
        <v>-0.03990060020814328</v>
      </c>
      <c r="F864" s="287">
        <v>-4050.294093164155</v>
      </c>
      <c r="G864" s="235">
        <v>0.0</v>
      </c>
      <c r="H864" s="235">
        <v>7223.983164754827</v>
      </c>
      <c r="I864" s="287">
        <v>0.0</v>
      </c>
      <c r="J864" s="233">
        <v>48578.25233142074</v>
      </c>
    </row>
    <row r="865">
      <c r="A865" s="184">
        <v>42913.0</v>
      </c>
      <c r="B865" s="174">
        <v>0.13012984734126576</v>
      </c>
      <c r="C865" s="174">
        <v>0.013992822197083123</v>
      </c>
      <c r="D865" s="174">
        <v>0.14366799966366586</v>
      </c>
      <c r="E865" s="282">
        <v>-0.008391569132352412</v>
      </c>
      <c r="F865" s="287">
        <v>-885.6877214853157</v>
      </c>
      <c r="G865" s="235">
        <v>0.0</v>
      </c>
      <c r="H865" s="235">
        <v>11274.277257918982</v>
      </c>
      <c r="I865" s="287">
        <v>0.0</v>
      </c>
      <c r="J865" s="233">
        <v>52628.5464245849</v>
      </c>
    </row>
    <row r="866">
      <c r="A866" s="184">
        <v>42912.0</v>
      </c>
      <c r="B866" s="174">
        <v>0.1432544214736341</v>
      </c>
      <c r="C866" s="174">
        <v>0.012453414605640922</v>
      </c>
      <c r="D866" s="174">
        <v>0.15525229185831002</v>
      </c>
      <c r="E866" s="282">
        <v>-0.0020470218438193304</v>
      </c>
      <c r="F866" s="287">
        <v>-218.11696329420192</v>
      </c>
      <c r="G866" s="235">
        <v>0.0</v>
      </c>
      <c r="H866" s="235">
        <v>12159.964979404298</v>
      </c>
      <c r="I866" s="287">
        <v>0.0</v>
      </c>
      <c r="J866" s="233">
        <v>53514.234146070216</v>
      </c>
    </row>
    <row r="867">
      <c r="A867" s="184">
        <v>42909.0</v>
      </c>
      <c r="B867" s="174">
        <v>0.14681005647337952</v>
      </c>
      <c r="C867" s="174">
        <v>0.012519146517788146</v>
      </c>
      <c r="D867" s="174">
        <v>0.15887125430575177</v>
      </c>
      <c r="E867" s="282">
        <v>4.138137588777599E-4</v>
      </c>
      <c r="F867" s="287">
        <v>44.18348759296896</v>
      </c>
      <c r="G867" s="235">
        <v>0.0</v>
      </c>
      <c r="H867" s="235">
        <v>12378.0819426985</v>
      </c>
      <c r="I867" s="287">
        <v>0.0</v>
      </c>
      <c r="J867" s="233">
        <v>53732.35110936442</v>
      </c>
    </row>
    <row r="868">
      <c r="A868" s="184">
        <v>42908.0</v>
      </c>
      <c r="B868" s="174">
        <v>0.1465342994289756</v>
      </c>
      <c r="C868" s="174">
        <v>0.01254408610732076</v>
      </c>
      <c r="D868" s="174">
        <v>0.1586195245640704</v>
      </c>
      <c r="E868" s="282">
        <v>-0.0043468432517617854</v>
      </c>
      <c r="F868" s="287">
        <v>-463.9266197261786</v>
      </c>
      <c r="G868" s="235">
        <v>0.0</v>
      </c>
      <c r="H868" s="235">
        <v>12333.898455105531</v>
      </c>
      <c r="I868" s="287">
        <v>0.0</v>
      </c>
      <c r="J868" s="233">
        <v>53688.16762177145</v>
      </c>
    </row>
    <row r="869">
      <c r="A869" s="184">
        <v>42907.0</v>
      </c>
      <c r="B869" s="174">
        <v>0.1528047449948681</v>
      </c>
      <c r="C869" s="174">
        <v>0.012569103353986732</v>
      </c>
      <c r="D869" s="174">
        <v>0.16491407224913138</v>
      </c>
      <c r="E869" s="282">
        <v>0.008449963301769453</v>
      </c>
      <c r="F869" s="287">
        <v>905.7614956558718</v>
      </c>
      <c r="G869" s="235">
        <v>0.0</v>
      </c>
      <c r="H869" s="235">
        <v>12797.82507483171</v>
      </c>
      <c r="I869" s="287">
        <v>0.0</v>
      </c>
      <c r="J869" s="233">
        <v>54152.09424149763</v>
      </c>
    </row>
    <row r="870">
      <c r="A870" s="184">
        <v>42906.0</v>
      </c>
      <c r="B870" s="174">
        <v>0.14141840637633402</v>
      </c>
      <c r="C870" s="174">
        <v>0.012594520303558272</v>
      </c>
      <c r="D870" s="174">
        <v>0.15355222083159314</v>
      </c>
      <c r="E870" s="282">
        <v>0.005612031438921283</v>
      </c>
      <c r="F870" s="287">
        <v>596.4770825050855</v>
      </c>
      <c r="G870" s="235">
        <v>0.0</v>
      </c>
      <c r="H870" s="235">
        <v>11892.063579175838</v>
      </c>
      <c r="I870" s="287">
        <v>0.0</v>
      </c>
      <c r="J870" s="233">
        <v>53246.33274584176</v>
      </c>
    </row>
    <row r="871">
      <c r="A871" s="184">
        <v>42905.0</v>
      </c>
      <c r="B871" s="174">
        <v>0.13398149623868674</v>
      </c>
      <c r="C871" s="174">
        <v>0.012619470468572418</v>
      </c>
      <c r="D871" s="174">
        <v>0.1461393481853003</v>
      </c>
      <c r="E871" s="282">
        <v>0.01339399553619073</v>
      </c>
      <c r="F871" s="287">
        <v>1415.5971436611526</v>
      </c>
      <c r="G871" s="235">
        <v>0.0</v>
      </c>
      <c r="H871" s="235">
        <v>11295.586496670752</v>
      </c>
      <c r="I871" s="287">
        <v>0.0</v>
      </c>
      <c r="J871" s="233">
        <v>52649.855663336675</v>
      </c>
    </row>
    <row r="872">
      <c r="A872" s="184">
        <v>42902.0</v>
      </c>
      <c r="B872" s="174">
        <v>0.11627997795692359</v>
      </c>
      <c r="C872" s="174">
        <v>0.012686361676676151</v>
      </c>
      <c r="D872" s="174">
        <v>0.12850227424030078</v>
      </c>
      <c r="E872" s="282">
        <v>-4.2703720823063565E-4</v>
      </c>
      <c r="F872" s="287">
        <v>-44.528595730194866</v>
      </c>
      <c r="G872" s="235">
        <v>0.0</v>
      </c>
      <c r="H872" s="235">
        <v>9879.9893530096</v>
      </c>
      <c r="I872" s="287">
        <v>0.0</v>
      </c>
      <c r="J872" s="233">
        <v>51234.258519675524</v>
      </c>
    </row>
    <row r="873">
      <c r="A873" s="184">
        <v>42901.0</v>
      </c>
      <c r="B873" s="279">
        <v>0.11708036282746666</v>
      </c>
      <c r="C873" s="279">
        <v>0.012710378859207252</v>
      </c>
      <c r="D873" s="279">
        <v>0.1293257977480882</v>
      </c>
      <c r="E873" s="282">
        <v>-4.268549252950356E-4</v>
      </c>
      <c r="F873" s="287">
        <v>-44.528595730196685</v>
      </c>
      <c r="G873" s="235">
        <v>0.0</v>
      </c>
      <c r="H873" s="235">
        <v>9924.517948739795</v>
      </c>
      <c r="I873" s="287">
        <v>0.0</v>
      </c>
      <c r="J873" s="233">
        <v>51278.78711540572</v>
      </c>
    </row>
    <row r="874">
      <c r="A874" s="184">
        <v>42900.0</v>
      </c>
      <c r="B874" s="279">
        <v>0.11788408735869939</v>
      </c>
      <c r="C874" s="279">
        <v>0.012734519927191846</v>
      </c>
      <c r="D874" s="279">
        <v>0.13015278027030563</v>
      </c>
      <c r="E874" s="282">
        <v>-5.346993662642276E-4</v>
      </c>
      <c r="F874" s="287">
        <v>-44.528595730196685</v>
      </c>
      <c r="G874" s="235">
        <v>0.0</v>
      </c>
      <c r="H874" s="235">
        <v>9969.046544469991</v>
      </c>
      <c r="I874" s="287">
        <v>0.0</v>
      </c>
      <c r="J874" s="233">
        <v>51323.31571113592</v>
      </c>
    </row>
    <row r="875">
      <c r="A875" s="184">
        <v>42899.0</v>
      </c>
      <c r="B875" s="279">
        <v>0.1186911776702479</v>
      </c>
      <c r="C875" s="279">
        <v>0.012758785864527881</v>
      </c>
      <c r="D875" s="279">
        <v>0.1309832488744863</v>
      </c>
      <c r="E875" s="282">
        <v>-5.344136156426205E-4</v>
      </c>
      <c r="F875" s="287">
        <v>-44.528595730196685</v>
      </c>
      <c r="G875" s="235">
        <v>0.0</v>
      </c>
      <c r="H875" s="235">
        <v>10013.575140200188</v>
      </c>
      <c r="I875" s="287">
        <v>0.0</v>
      </c>
      <c r="J875" s="233">
        <v>51367.844306866114</v>
      </c>
    </row>
    <row r="876">
      <c r="A876" s="184">
        <v>42898.0</v>
      </c>
      <c r="B876" s="279">
        <v>0.11950166016420488</v>
      </c>
      <c r="C876" s="279">
        <v>0.012783177666109945</v>
      </c>
      <c r="D876" s="279">
        <v>0.1318172309212244</v>
      </c>
      <c r="E876" s="282">
        <v>-5.341281702759267E-4</v>
      </c>
      <c r="F876" s="287">
        <v>-44.528595730196685</v>
      </c>
      <c r="G876" s="235">
        <v>0.0</v>
      </c>
      <c r="H876" s="235">
        <v>10058.103735930385</v>
      </c>
      <c r="I876" s="287">
        <v>0.0</v>
      </c>
      <c r="J876" s="233">
        <v>51412.37290259631</v>
      </c>
    </row>
    <row r="877">
      <c r="A877" s="184">
        <v>42895.0</v>
      </c>
      <c r="B877" s="174">
        <v>0.12072203302078215</v>
      </c>
      <c r="C877" s="174">
        <v>0.012850965582372961</v>
      </c>
      <c r="D877" s="174">
        <v>0.13310291202126145</v>
      </c>
      <c r="E877" s="282">
        <v>7.945584121212911E-4</v>
      </c>
      <c r="F877" s="287">
        <v>66.27523138945435</v>
      </c>
      <c r="G877" s="235">
        <v>0.0</v>
      </c>
      <c r="H877" s="235">
        <v>10102.632331660581</v>
      </c>
      <c r="I877" s="287">
        <v>0.0</v>
      </c>
      <c r="J877" s="233">
        <v>51456.90149832651</v>
      </c>
    </row>
    <row r="878">
      <c r="A878" s="184">
        <v>42894.0</v>
      </c>
      <c r="B878" s="279">
        <v>0.12008016794470106</v>
      </c>
      <c r="C878" s="279">
        <v>0.012875768761817535</v>
      </c>
      <c r="D878" s="279">
        <v>0.13248494282767745</v>
      </c>
      <c r="E878" s="282">
        <v>7.951902372135059E-4</v>
      </c>
      <c r="F878" s="287">
        <v>66.27523138945435</v>
      </c>
      <c r="G878" s="235">
        <v>0.0</v>
      </c>
      <c r="H878" s="235">
        <v>10036.357100271127</v>
      </c>
      <c r="I878" s="287">
        <v>0.0</v>
      </c>
      <c r="J878" s="233">
        <v>51390.626266937055</v>
      </c>
    </row>
    <row r="879">
      <c r="A879" s="184">
        <v>42893.0</v>
      </c>
      <c r="B879" s="279">
        <v>0.11941349833397791</v>
      </c>
      <c r="C879" s="279">
        <v>0.012922583376501292</v>
      </c>
      <c r="D879" s="279">
        <v>0.13186417847539275</v>
      </c>
      <c r="E879" s="282">
        <v>9.284787533354375E-4</v>
      </c>
      <c r="F879" s="287">
        <v>77.32110328769522</v>
      </c>
      <c r="G879" s="235">
        <v>0.0</v>
      </c>
      <c r="H879" s="235">
        <v>9970.081868881673</v>
      </c>
      <c r="I879" s="287">
        <v>0.0</v>
      </c>
      <c r="J879" s="233">
        <v>51324.3510355476</v>
      </c>
    </row>
    <row r="880">
      <c r="A880" s="184">
        <v>42892.0</v>
      </c>
      <c r="B880" s="279">
        <v>0.1188222546149829</v>
      </c>
      <c r="C880" s="279">
        <v>0.012744793149880342</v>
      </c>
      <c r="D880" s="279">
        <v>0.1310942331129878</v>
      </c>
      <c r="E880" s="282">
        <v>9.291707578837816E-4</v>
      </c>
      <c r="F880" s="287">
        <v>77.32110328769522</v>
      </c>
      <c r="G880" s="235">
        <v>0.0</v>
      </c>
      <c r="H880" s="235">
        <v>9892.760765593977</v>
      </c>
      <c r="I880" s="287">
        <v>0.0</v>
      </c>
      <c r="J880" s="233">
        <v>51247.02993225991</v>
      </c>
    </row>
    <row r="881">
      <c r="A881" s="184">
        <v>42891.0</v>
      </c>
      <c r="B881" s="174">
        <v>0.11802514926534818</v>
      </c>
      <c r="C881" s="174">
        <v>0.012769408806662165</v>
      </c>
      <c r="D881" s="174">
        <v>0.13032083021243862</v>
      </c>
      <c r="E881" s="282">
        <v>0.01062897050439391</v>
      </c>
      <c r="F881" s="287">
        <v>883.6697518593883</v>
      </c>
      <c r="G881" s="235">
        <v>0.0</v>
      </c>
      <c r="H881" s="235">
        <v>9815.439662306282</v>
      </c>
      <c r="I881" s="287">
        <v>0.0</v>
      </c>
      <c r="J881" s="233">
        <v>51169.708828972216</v>
      </c>
    </row>
    <row r="882">
      <c r="A882" s="184">
        <v>42888.0</v>
      </c>
      <c r="B882" s="279">
        <v>0.10686195173107105</v>
      </c>
      <c r="C882" s="279">
        <v>0.012837813086260013</v>
      </c>
      <c r="D882" s="279">
        <v>0.11922349925116305</v>
      </c>
      <c r="E882" s="282">
        <v>0.010474580246267495</v>
      </c>
      <c r="F882" s="287">
        <v>861.5780080628992</v>
      </c>
      <c r="G882" s="235">
        <v>0.0</v>
      </c>
      <c r="H882" s="235">
        <v>8931.769910446894</v>
      </c>
      <c r="I882" s="287">
        <v>0.0</v>
      </c>
      <c r="J882" s="233">
        <v>50286.03907711283</v>
      </c>
    </row>
    <row r="883">
      <c r="A883" s="184">
        <v>42887.0</v>
      </c>
      <c r="B883" s="174">
        <v>0.09554213434329632</v>
      </c>
      <c r="C883" s="174">
        <v>0.012862144991786223</v>
      </c>
      <c r="D883" s="174">
        <v>0.10792711108800747</v>
      </c>
      <c r="E883" s="282">
        <v>0.0017642430800943044</v>
      </c>
      <c r="F883" s="287">
        <v>143.5963346771514</v>
      </c>
      <c r="G883" s="235">
        <v>0.0</v>
      </c>
      <c r="H883" s="235">
        <v>8070.191902383995</v>
      </c>
      <c r="I883" s="287">
        <v>0.0</v>
      </c>
      <c r="J883" s="233">
        <v>49424.46106904993</v>
      </c>
    </row>
    <row r="884">
      <c r="A884" s="184">
        <v>42886.0</v>
      </c>
      <c r="B884" s="279">
        <v>0.0937953321839529</v>
      </c>
      <c r="C884" s="279">
        <v>0.012885993582725241</v>
      </c>
      <c r="D884" s="279">
        <v>0.10620327276901591</v>
      </c>
      <c r="E884" s="282">
        <v>0.001767361134746308</v>
      </c>
      <c r="F884" s="287">
        <v>143.5963346771514</v>
      </c>
      <c r="G884" s="235">
        <v>0.0</v>
      </c>
      <c r="H884" s="235">
        <v>7926.595567706843</v>
      </c>
      <c r="I884" s="287">
        <v>0.0</v>
      </c>
      <c r="J884" s="233">
        <v>49280.86473437278</v>
      </c>
    </row>
    <row r="885">
      <c r="A885" s="184">
        <v>42885.0</v>
      </c>
      <c r="B885" s="174">
        <v>0.09156243009438816</v>
      </c>
      <c r="C885" s="174">
        <v>0.012909836432824527</v>
      </c>
      <c r="D885" s="174">
        <v>0.10447226652721268</v>
      </c>
      <c r="E885" s="282">
        <v>0.002180023937959205</v>
      </c>
      <c r="F885" s="287">
        <v>176.73395037187584</v>
      </c>
      <c r="G885" s="235">
        <v>0.0</v>
      </c>
      <c r="H885" s="235">
        <v>7782.999233029692</v>
      </c>
      <c r="I885" s="287">
        <v>0.0</v>
      </c>
      <c r="J885" s="233">
        <v>49137.268399695626</v>
      </c>
    </row>
    <row r="886">
      <c r="A886" s="184">
        <v>42884.0</v>
      </c>
      <c r="B886" s="174">
        <v>0.08935478414292254</v>
      </c>
      <c r="C886" s="174">
        <v>0.012933672793006171</v>
      </c>
      <c r="D886" s="174">
        <v>0.10228845693592871</v>
      </c>
      <c r="E886" s="282">
        <v>0.004096475297884201</v>
      </c>
      <c r="F886" s="287">
        <v>331.37615694727083</v>
      </c>
      <c r="G886" s="235">
        <v>0.0</v>
      </c>
      <c r="H886" s="235">
        <v>7606.265282657816</v>
      </c>
      <c r="I886" s="287">
        <v>0.0</v>
      </c>
      <c r="J886" s="233">
        <v>48960.53444932375</v>
      </c>
    </row>
    <row r="887">
      <c r="A887" s="184">
        <v>42881.0</v>
      </c>
      <c r="B887" s="174">
        <v>0.08534904021879144</v>
      </c>
      <c r="C887" s="174">
        <v>0.013002314903797586</v>
      </c>
      <c r="D887" s="174">
        <v>0.09835135512258902</v>
      </c>
      <c r="E887" s="282">
        <v>0.009597759345804882</v>
      </c>
      <c r="F887" s="287">
        <v>773.2110328769613</v>
      </c>
      <c r="G887" s="235">
        <v>0.0</v>
      </c>
      <c r="H887" s="235">
        <v>7274.889125710545</v>
      </c>
      <c r="I887" s="287">
        <v>0.0</v>
      </c>
      <c r="J887" s="233">
        <v>48629.15829237648</v>
      </c>
    </row>
    <row r="888">
      <c r="A888" s="184">
        <v>42880.0</v>
      </c>
      <c r="B888" s="174">
        <v>0.0750330370414024</v>
      </c>
      <c r="C888" s="174">
        <v>0.013026144519770055</v>
      </c>
      <c r="D888" s="174">
        <v>0.08805918156117246</v>
      </c>
      <c r="E888" s="282">
        <v>0.002491912032347219</v>
      </c>
      <c r="F888" s="287">
        <v>198.82569416836213</v>
      </c>
      <c r="G888" s="235">
        <v>0.0</v>
      </c>
      <c r="H888" s="235">
        <v>6501.678092833584</v>
      </c>
      <c r="I888" s="287">
        <v>0.0</v>
      </c>
      <c r="J888" s="233">
        <v>47855.94725949952</v>
      </c>
    </row>
    <row r="889">
      <c r="A889" s="184">
        <v>42879.0</v>
      </c>
      <c r="B889" s="279">
        <v>0.07247000064198318</v>
      </c>
      <c r="C889" s="279">
        <v>0.013049530435918309</v>
      </c>
      <c r="D889" s="279">
        <v>0.08551953107790149</v>
      </c>
      <c r="E889" s="282">
        <v>0.0024981371704206556</v>
      </c>
      <c r="F889" s="287">
        <v>198.82569416836304</v>
      </c>
      <c r="G889" s="235">
        <v>0.0</v>
      </c>
      <c r="H889" s="235">
        <v>6302.852398665222</v>
      </c>
      <c r="I889" s="287">
        <v>0.0</v>
      </c>
      <c r="J889" s="233">
        <v>47657.12156533115</v>
      </c>
    </row>
    <row r="890">
      <c r="A890" s="184">
        <v>42878.0</v>
      </c>
      <c r="B890" s="174">
        <v>0.06989701480404509</v>
      </c>
      <c r="C890" s="174">
        <v>0.013072863937444468</v>
      </c>
      <c r="D890" s="174">
        <v>0.08296987874148956</v>
      </c>
      <c r="E890" s="282">
        <v>-0.0032000583469080817</v>
      </c>
      <c r="F890" s="287">
        <v>-254.0550536595738</v>
      </c>
      <c r="G890" s="235">
        <v>0.0</v>
      </c>
      <c r="H890" s="235">
        <v>6104.026704496859</v>
      </c>
      <c r="I890" s="287">
        <v>0.0</v>
      </c>
      <c r="J890" s="233">
        <v>47458.29587116279</v>
      </c>
    </row>
    <row r="891">
      <c r="A891" s="184">
        <v>42877.0</v>
      </c>
      <c r="B891" s="279">
        <v>0.07348091547369547</v>
      </c>
      <c r="C891" s="279">
        <v>0.013096143712921407</v>
      </c>
      <c r="D891" s="279">
        <v>0.08657705918661687</v>
      </c>
      <c r="E891" s="282">
        <v>-0.0031898506387461716</v>
      </c>
      <c r="F891" s="287">
        <v>-254.0550536595738</v>
      </c>
      <c r="G891" s="235">
        <v>0.0</v>
      </c>
      <c r="H891" s="235">
        <v>6358.081758156432</v>
      </c>
      <c r="I891" s="287">
        <v>0.0</v>
      </c>
      <c r="J891" s="233">
        <v>47712.35092482236</v>
      </c>
    </row>
    <row r="892">
      <c r="A892" s="184">
        <v>42874.0</v>
      </c>
      <c r="B892" s="174">
        <v>0.07734862773531324</v>
      </c>
      <c r="C892" s="174">
        <v>0.013165638096055752</v>
      </c>
      <c r="D892" s="174">
        <v>0.090514265831369</v>
      </c>
      <c r="E892" s="282">
        <v>-0.0036964956375942016</v>
      </c>
      <c r="F892" s="287">
        <v>-295.34581261859785</v>
      </c>
      <c r="G892" s="235">
        <v>0.0</v>
      </c>
      <c r="H892" s="235">
        <v>6612.136811816006</v>
      </c>
      <c r="I892" s="287">
        <v>0.0</v>
      </c>
      <c r="J892" s="233">
        <v>47966.40597848194</v>
      </c>
    </row>
    <row r="893">
      <c r="A893" s="184">
        <v>42873.0</v>
      </c>
      <c r="B893" s="279">
        <v>0.08153982952642871</v>
      </c>
      <c r="C893" s="279">
        <v>0.013189607285589683</v>
      </c>
      <c r="D893" s="279">
        <v>0.0947294368120184</v>
      </c>
      <c r="E893" s="282">
        <v>-0.0036828818807880933</v>
      </c>
      <c r="F893" s="287">
        <v>-295.34581261859785</v>
      </c>
      <c r="G893" s="235">
        <v>0.0</v>
      </c>
      <c r="H893" s="235">
        <v>6907.482624434604</v>
      </c>
      <c r="I893" s="287">
        <v>0.0</v>
      </c>
      <c r="J893" s="233">
        <v>48261.75179110054</v>
      </c>
    </row>
    <row r="894">
      <c r="A894" s="184">
        <v>42872.0</v>
      </c>
      <c r="B894" s="279">
        <v>0.08574768356430194</v>
      </c>
      <c r="C894" s="279">
        <v>0.013213874030796826</v>
      </c>
      <c r="D894" s="279">
        <v>0.09896155759509877</v>
      </c>
      <c r="E894" s="282">
        <v>-0.003669368031750018</v>
      </c>
      <c r="F894" s="287">
        <v>-295.34581261859785</v>
      </c>
      <c r="G894" s="235">
        <v>0.0</v>
      </c>
      <c r="H894" s="235">
        <v>7202.828437053202</v>
      </c>
      <c r="I894" s="287">
        <v>0.0</v>
      </c>
      <c r="J894" s="233">
        <v>48557.09760371914</v>
      </c>
    </row>
    <row r="895">
      <c r="A895" s="184">
        <v>42871.0</v>
      </c>
      <c r="B895" s="174">
        <v>0.08997248628994611</v>
      </c>
      <c r="C895" s="174">
        <v>0.013238441614768129</v>
      </c>
      <c r="D895" s="174">
        <v>0.10321092790471424</v>
      </c>
      <c r="E895" s="282">
        <v>2.9910071216636603E-4</v>
      </c>
      <c r="F895" s="287">
        <v>24.162822393368515</v>
      </c>
      <c r="G895" s="235">
        <v>0.0</v>
      </c>
      <c r="H895" s="235">
        <v>7498.1742496718</v>
      </c>
      <c r="I895" s="287">
        <v>0.0</v>
      </c>
      <c r="J895" s="233">
        <v>48852.443416337745</v>
      </c>
    </row>
    <row r="896">
      <c r="A896" s="184">
        <v>42870.0</v>
      </c>
      <c r="B896" s="279">
        <v>0.08980830093115326</v>
      </c>
      <c r="C896" s="279">
        <v>0.01326331338218048</v>
      </c>
      <c r="D896" s="279">
        <v>0.10307161431333374</v>
      </c>
      <c r="E896" s="282">
        <v>3.02998582755529E-4</v>
      </c>
      <c r="F896" s="287">
        <v>24.162822393367605</v>
      </c>
      <c r="G896" s="235">
        <v>0.0</v>
      </c>
      <c r="H896" s="235">
        <v>7474.011427278431</v>
      </c>
      <c r="I896" s="287">
        <v>0.0</v>
      </c>
      <c r="J896" s="233">
        <v>48798.28059394438</v>
      </c>
    </row>
    <row r="897">
      <c r="A897" s="184">
        <v>42867.0</v>
      </c>
      <c r="B897" s="279">
        <v>0.08996113499315421</v>
      </c>
      <c r="C897" s="279">
        <v>0.013335363688756019</v>
      </c>
      <c r="D897" s="279">
        <v>0.10329649868191022</v>
      </c>
      <c r="E897" s="282">
        <v>3.030904187228488E-4</v>
      </c>
      <c r="F897" s="287">
        <v>24.162822393367605</v>
      </c>
      <c r="G897" s="235">
        <v>0.0</v>
      </c>
      <c r="H897" s="235">
        <v>7449.848604885064</v>
      </c>
      <c r="I897" s="287">
        <v>0.0</v>
      </c>
      <c r="J897" s="233">
        <v>48774.11777155101</v>
      </c>
    </row>
    <row r="898">
      <c r="A898" s="184">
        <v>42866.0</v>
      </c>
      <c r="B898" s="279">
        <v>0.08979533762460223</v>
      </c>
      <c r="C898" s="279">
        <v>0.013360543858309433</v>
      </c>
      <c r="D898" s="279">
        <v>0.10315588148291167</v>
      </c>
      <c r="E898" s="282">
        <v>3.031823103762501E-4</v>
      </c>
      <c r="F898" s="287">
        <v>24.162822393367605</v>
      </c>
      <c r="G898" s="235">
        <v>0.0</v>
      </c>
      <c r="H898" s="235">
        <v>7425.685782491696</v>
      </c>
      <c r="I898" s="287">
        <v>0.0</v>
      </c>
      <c r="J898" s="233">
        <v>48249.95494915765</v>
      </c>
    </row>
    <row r="899">
      <c r="A899" s="184">
        <v>42865.0</v>
      </c>
      <c r="B899" s="279">
        <v>0.0896263810254056</v>
      </c>
      <c r="C899" s="279">
        <v>0.01338544116438688</v>
      </c>
      <c r="D899" s="279">
        <v>0.10301182218979248</v>
      </c>
      <c r="E899" s="282">
        <v>3.0327425776639734E-4</v>
      </c>
      <c r="F899" s="287">
        <v>24.162822393367605</v>
      </c>
      <c r="G899" s="235">
        <v>0.0</v>
      </c>
      <c r="H899" s="235">
        <v>7401.522960098328</v>
      </c>
      <c r="I899" s="287">
        <v>0.0</v>
      </c>
      <c r="J899" s="233">
        <v>48225.79212676428</v>
      </c>
    </row>
    <row r="900">
      <c r="A900" s="184">
        <v>42864.0</v>
      </c>
      <c r="B900" s="279">
        <v>0.08945668741165835</v>
      </c>
      <c r="C900" s="279">
        <v>0.013410415524402362</v>
      </c>
      <c r="D900" s="279">
        <v>0.10286710293606072</v>
      </c>
      <c r="E900" s="282">
        <v>-0.007790077864362426</v>
      </c>
      <c r="F900" s="287">
        <v>-620.4719907921135</v>
      </c>
      <c r="G900" s="235">
        <v>0.0</v>
      </c>
      <c r="H900" s="235">
        <v>7377.360137704961</v>
      </c>
      <c r="I900" s="287">
        <v>0.0</v>
      </c>
      <c r="J900" s="233">
        <v>47701.629304370916</v>
      </c>
    </row>
    <row r="901">
      <c r="A901" s="184">
        <v>42863.0</v>
      </c>
      <c r="B901" s="279">
        <v>0.09828890862590442</v>
      </c>
      <c r="C901" s="279">
        <v>0.013435101152131281</v>
      </c>
      <c r="D901" s="279">
        <v>0.1117240097780357</v>
      </c>
      <c r="E901" s="282">
        <v>-0.007729861640303678</v>
      </c>
      <c r="F901" s="287">
        <v>-620.4719907921108</v>
      </c>
      <c r="G901" s="235">
        <v>0.0</v>
      </c>
      <c r="H901" s="235">
        <v>7997.832128497074</v>
      </c>
      <c r="I901" s="287">
        <v>0.0</v>
      </c>
      <c r="J901" s="233">
        <v>48322.101295163025</v>
      </c>
    </row>
    <row r="902">
      <c r="A902" s="184">
        <v>42860.0</v>
      </c>
      <c r="B902" s="279">
        <v>0.10754211410719695</v>
      </c>
      <c r="C902" s="279">
        <v>0.013508666841371234</v>
      </c>
      <c r="D902" s="279">
        <v>0.12105078094856819</v>
      </c>
      <c r="E902" s="282">
        <v>-0.007670569201672365</v>
      </c>
      <c r="F902" s="287">
        <v>-620.4719907921099</v>
      </c>
      <c r="G902" s="235">
        <v>0.0</v>
      </c>
      <c r="H902" s="235">
        <v>8618.304119289185</v>
      </c>
      <c r="I902" s="287">
        <v>0.0</v>
      </c>
      <c r="J902" s="233">
        <v>48942.573285955135</v>
      </c>
    </row>
    <row r="903">
      <c r="A903" s="184">
        <v>42859.0</v>
      </c>
      <c r="B903" s="279">
        <v>0.11648061848862</v>
      </c>
      <c r="C903" s="279">
        <v>0.013534635930111156</v>
      </c>
      <c r="D903" s="279">
        <v>0.13001525441873116</v>
      </c>
      <c r="E903" s="282">
        <v>-0.0076121794524071276</v>
      </c>
      <c r="F903" s="287">
        <v>-620.4719907921099</v>
      </c>
      <c r="G903" s="235">
        <v>0.0</v>
      </c>
      <c r="H903" s="235">
        <v>9238.776110081295</v>
      </c>
      <c r="I903" s="287">
        <v>0.0</v>
      </c>
      <c r="J903" s="233">
        <v>49563.045276747245</v>
      </c>
    </row>
    <row r="904">
      <c r="A904" s="184">
        <v>42858.0</v>
      </c>
      <c r="B904" s="279">
        <v>0.12545785586515595</v>
      </c>
      <c r="C904" s="279">
        <v>0.01356116985928062</v>
      </c>
      <c r="D904" s="279">
        <v>0.13901902572443658</v>
      </c>
      <c r="E904" s="282">
        <v>-0.007554671933941898</v>
      </c>
      <c r="F904" s="287">
        <v>-620.4719907921099</v>
      </c>
      <c r="G904" s="235">
        <v>0.0</v>
      </c>
      <c r="H904" s="235">
        <v>9859.248100873405</v>
      </c>
      <c r="I904" s="287">
        <v>0.0</v>
      </c>
      <c r="J904" s="233">
        <v>50183.517267539355</v>
      </c>
    </row>
    <row r="905">
      <c r="A905" s="184">
        <v>42857.0</v>
      </c>
      <c r="B905" s="279">
        <v>0.13447499016780523</v>
      </c>
      <c r="C905" s="279">
        <v>0.013588275775293451</v>
      </c>
      <c r="D905" s="279">
        <v>0.14806326594309868</v>
      </c>
      <c r="E905" s="281">
        <v>0.02090446643166516</v>
      </c>
      <c r="F905" s="287">
        <v>1131.2042301115725</v>
      </c>
      <c r="G905" s="235">
        <v>0.0</v>
      </c>
      <c r="H905" s="235">
        <v>10479.720091665515</v>
      </c>
      <c r="I905" s="287">
        <v>0.0</v>
      </c>
      <c r="J905" s="233">
        <v>50803.989258331465</v>
      </c>
    </row>
    <row r="906">
      <c r="A906" s="184">
        <v>42853.0</v>
      </c>
      <c r="B906" s="279">
        <v>0.11938177491400984</v>
      </c>
      <c r="C906" s="279">
        <v>0.013690229897788423</v>
      </c>
      <c r="D906" s="279">
        <v>0.13307200481179826</v>
      </c>
      <c r="E906" s="281">
        <v>-0.02218239431786933</v>
      </c>
      <c r="F906" s="287">
        <v>-1175.2639747656194</v>
      </c>
      <c r="G906" s="235">
        <v>0.0</v>
      </c>
      <c r="H906" s="235">
        <v>9348.515861553942</v>
      </c>
      <c r="I906" s="287">
        <v>0.0</v>
      </c>
      <c r="J906" s="233">
        <v>49672.78502821989</v>
      </c>
    </row>
    <row r="907">
      <c r="A907" s="184">
        <v>42852.0</v>
      </c>
      <c r="B907" s="279">
        <v>0.13638187289819156</v>
      </c>
      <c r="C907" s="279">
        <v>0.013717460570448993</v>
      </c>
      <c r="D907" s="279">
        <v>0.15009933346864054</v>
      </c>
      <c r="E907" s="281">
        <v>0.0071200114309996135</v>
      </c>
      <c r="F907" s="287">
        <v>385.5991699043825</v>
      </c>
      <c r="G907" s="235">
        <v>0.0</v>
      </c>
      <c r="H907" s="235">
        <v>10523.779836319562</v>
      </c>
      <c r="I907" s="287">
        <v>0.0</v>
      </c>
      <c r="J907" s="233">
        <v>53348.04900298551</v>
      </c>
    </row>
    <row r="908">
      <c r="A908" s="184">
        <v>42851.0</v>
      </c>
      <c r="B908" s="279">
        <v>0.13116978484077857</v>
      </c>
      <c r="C908" s="279">
        <v>0.013747609972827226</v>
      </c>
      <c r="D908" s="279">
        <v>0.1449173948136058</v>
      </c>
      <c r="E908" s="281">
        <v>0.007171069528011514</v>
      </c>
      <c r="F908" s="287">
        <v>385.5991699043807</v>
      </c>
      <c r="G908" s="235">
        <v>0.0</v>
      </c>
      <c r="H908" s="235">
        <v>10138.180666415179</v>
      </c>
      <c r="I908" s="287">
        <v>0.0</v>
      </c>
      <c r="J908" s="233">
        <v>52962.449833081126</v>
      </c>
    </row>
    <row r="909">
      <c r="A909" s="184">
        <v>42850.0</v>
      </c>
      <c r="B909" s="279">
        <v>0.12593210136816388</v>
      </c>
      <c r="C909" s="279">
        <v>0.013777604045300899</v>
      </c>
      <c r="D909" s="279">
        <v>0.13970970541346478</v>
      </c>
      <c r="E909" s="281">
        <v>0.007222865196527266</v>
      </c>
      <c r="F909" s="287">
        <v>385.5991699043807</v>
      </c>
      <c r="G909" s="235">
        <v>0.0</v>
      </c>
      <c r="H909" s="235">
        <v>9752.581496510798</v>
      </c>
      <c r="I909" s="287">
        <v>0.0</v>
      </c>
      <c r="J909" s="233">
        <v>52576.850663176745</v>
      </c>
    </row>
    <row r="910">
      <c r="A910" s="184">
        <v>42849.0</v>
      </c>
      <c r="B910" s="279">
        <v>0.1206689784525326</v>
      </c>
      <c r="C910" s="279">
        <v>0.013807439257036813</v>
      </c>
      <c r="D910" s="279">
        <v>0.13447641770956942</v>
      </c>
      <c r="E910" s="281">
        <v>0.007275414534962153</v>
      </c>
      <c r="F910" s="287">
        <v>385.5991699043807</v>
      </c>
      <c r="G910" s="235">
        <v>0.0</v>
      </c>
      <c r="H910" s="235">
        <v>9366.982326606418</v>
      </c>
      <c r="I910" s="287">
        <v>0.0</v>
      </c>
      <c r="J910" s="233">
        <v>52191.251493272364</v>
      </c>
    </row>
    <row r="911">
      <c r="A911" s="184">
        <v>42846.0</v>
      </c>
      <c r="B911" s="279">
        <v>0.11580555204186752</v>
      </c>
      <c r="C911" s="279">
        <v>0.013888077476397137</v>
      </c>
      <c r="D911" s="279">
        <v>0.12969362951826466</v>
      </c>
      <c r="E911" s="281">
        <v>0.007328734113655515</v>
      </c>
      <c r="F911" s="287">
        <v>385.5991699043807</v>
      </c>
      <c r="G911" s="235">
        <v>0.0</v>
      </c>
      <c r="H911" s="235">
        <v>8981.383156702037</v>
      </c>
      <c r="I911" s="287">
        <v>0.0</v>
      </c>
      <c r="J911" s="233">
        <v>51805.65232336798</v>
      </c>
    </row>
    <row r="912">
      <c r="A912" s="184">
        <v>42845.0</v>
      </c>
      <c r="B912" s="279">
        <v>0.11047321712788914</v>
      </c>
      <c r="C912" s="279">
        <v>0.01391778719698367</v>
      </c>
      <c r="D912" s="279">
        <v>0.12439100432487281</v>
      </c>
      <c r="E912" s="281">
        <v>0.007382840992291416</v>
      </c>
      <c r="F912" s="287">
        <v>385.5991699043807</v>
      </c>
      <c r="G912" s="235">
        <v>0.0</v>
      </c>
      <c r="H912" s="235">
        <v>8595.783986797656</v>
      </c>
      <c r="I912" s="287">
        <v>0.0</v>
      </c>
      <c r="J912" s="233">
        <v>51420.0531534636</v>
      </c>
    </row>
    <row r="913">
      <c r="A913" s="184">
        <v>42844.0</v>
      </c>
      <c r="B913" s="279">
        <v>0.10509982987239244</v>
      </c>
      <c r="C913" s="279">
        <v>0.013876268244150145</v>
      </c>
      <c r="D913" s="279">
        <v>0.11906310939245014</v>
      </c>
      <c r="E913" s="282">
        <v>0.007095588906229563</v>
      </c>
      <c r="F913" s="287">
        <v>385.5991699043807</v>
      </c>
      <c r="G913" s="235">
        <v>0.0</v>
      </c>
      <c r="H913" s="235">
        <v>8210.184816893276</v>
      </c>
      <c r="I913" s="287">
        <v>0.0</v>
      </c>
      <c r="J913" s="233">
        <v>51034.45398355922</v>
      </c>
    </row>
    <row r="914">
      <c r="A914" s="184">
        <v>42843.0</v>
      </c>
      <c r="B914" s="279">
        <v>0.0997174387362149</v>
      </c>
      <c r="C914" s="279">
        <v>0.013905485782720774</v>
      </c>
      <c r="D914" s="279">
        <v>0.11371011900370494</v>
      </c>
      <c r="E914" s="282">
        <v>0.007146296085454143</v>
      </c>
      <c r="F914" s="287">
        <v>385.5991699043807</v>
      </c>
      <c r="G914" s="235">
        <v>0.0</v>
      </c>
      <c r="H914" s="235">
        <v>7824.585646988895</v>
      </c>
      <c r="I914" s="287">
        <v>0.0</v>
      </c>
      <c r="J914" s="233">
        <v>50648.85481365484</v>
      </c>
    </row>
    <row r="915">
      <c r="A915" s="184">
        <v>42838.0</v>
      </c>
      <c r="B915" s="279">
        <v>0.09501543284529843</v>
      </c>
      <c r="C915" s="279">
        <v>0.01403871085502362</v>
      </c>
      <c r="D915" s="279">
        <v>0.10914217357421178</v>
      </c>
      <c r="E915" s="282">
        <v>0.007197733218175332</v>
      </c>
      <c r="F915" s="287">
        <v>385.5991699043807</v>
      </c>
      <c r="G915" s="235">
        <v>0.0</v>
      </c>
      <c r="H915" s="235">
        <v>7438.986477084514</v>
      </c>
      <c r="I915" s="287">
        <v>0.0</v>
      </c>
      <c r="J915" s="233">
        <v>50263.25564375046</v>
      </c>
    </row>
    <row r="916">
      <c r="A916" s="184">
        <v>42837.0</v>
      </c>
      <c r="B916" s="279">
        <v>0.0895443876395279</v>
      </c>
      <c r="C916" s="279">
        <v>0.01406798433622466</v>
      </c>
      <c r="D916" s="279">
        <v>0.10370058540929285</v>
      </c>
      <c r="E916" s="282">
        <v>0.00724991618069813</v>
      </c>
      <c r="F916" s="287">
        <v>385.5991699043807</v>
      </c>
      <c r="G916" s="235">
        <v>0.0</v>
      </c>
      <c r="H916" s="235">
        <v>7053.387307180134</v>
      </c>
      <c r="I916" s="287">
        <v>0.0</v>
      </c>
      <c r="J916" s="233">
        <v>49877.65647384608</v>
      </c>
    </row>
    <row r="917">
      <c r="A917" s="184">
        <v>42836.0</v>
      </c>
      <c r="B917" s="174">
        <v>0.08404865781638617</v>
      </c>
      <c r="C917" s="174">
        <v>0.01409707480672862</v>
      </c>
      <c r="D917" s="174">
        <v>0.09823412846873522</v>
      </c>
      <c r="E917" s="282">
        <v>0.0017816415557777613</v>
      </c>
      <c r="F917" s="287">
        <v>94.07264844848578</v>
      </c>
      <c r="G917" s="235">
        <v>0.0</v>
      </c>
      <c r="H917" s="235">
        <v>6667.788137275753</v>
      </c>
      <c r="I917" s="287">
        <v>0.0</v>
      </c>
      <c r="J917" s="233">
        <v>49492.0573039417</v>
      </c>
    </row>
    <row r="918">
      <c r="A918" s="184">
        <v>42835.0</v>
      </c>
      <c r="B918" s="174">
        <v>0.08367029247401676</v>
      </c>
      <c r="C918" s="174">
        <v>0.013287891675517343</v>
      </c>
      <c r="D918" s="174">
        <v>0.09704676123632888</v>
      </c>
      <c r="E918" s="282">
        <v>-3.217870060454598E-6</v>
      </c>
      <c r="F918" s="287">
        <v>-0.16978706995814719</v>
      </c>
      <c r="G918" s="235">
        <v>0.0</v>
      </c>
      <c r="H918" s="235">
        <v>6573.715488827267</v>
      </c>
      <c r="I918" s="287">
        <v>0.0</v>
      </c>
      <c r="J918" s="233">
        <v>49397.984655493216</v>
      </c>
    </row>
    <row r="919">
      <c r="A919" s="184">
        <v>42832.0</v>
      </c>
      <c r="B919" s="279">
        <v>0.08460005934463521</v>
      </c>
      <c r="C919" s="279">
        <v>0.012926675863133574</v>
      </c>
      <c r="D919" s="279">
        <v>0.0976158293966387</v>
      </c>
      <c r="E919" s="282">
        <v>-3.2160585804781184E-6</v>
      </c>
      <c r="F919" s="287">
        <v>-0.1697870699572377</v>
      </c>
      <c r="G919" s="235">
        <v>0.0</v>
      </c>
      <c r="H919" s="235">
        <v>6573.885275897225</v>
      </c>
      <c r="I919" s="287">
        <v>0.0</v>
      </c>
      <c r="J919" s="233">
        <v>49398.15444256317</v>
      </c>
    </row>
    <row r="920">
      <c r="A920" s="184">
        <v>42831.0</v>
      </c>
      <c r="B920" s="279">
        <v>0.08477694964996572</v>
      </c>
      <c r="C920" s="279">
        <v>0.01295331823306252</v>
      </c>
      <c r="D920" s="279">
        <v>0.09781954569840534</v>
      </c>
      <c r="E920" s="282">
        <v>-3.2160482374785895E-6</v>
      </c>
      <c r="F920" s="287">
        <v>-0.1697870699572377</v>
      </c>
      <c r="G920" s="235">
        <v>0.0</v>
      </c>
      <c r="H920" s="235">
        <v>6574.0550629671825</v>
      </c>
      <c r="I920" s="287">
        <v>0.0</v>
      </c>
      <c r="J920" s="233">
        <v>49398.32422963313</v>
      </c>
    </row>
    <row r="921">
      <c r="A921" s="184">
        <v>42830.0</v>
      </c>
      <c r="B921" s="174">
        <v>0.08495459365297625</v>
      </c>
      <c r="C921" s="174">
        <v>0.012980074171385572</v>
      </c>
      <c r="D921" s="174">
        <v>0.09802413004899058</v>
      </c>
      <c r="E921" s="282">
        <v>1.2921580826225402E-5</v>
      </c>
      <c r="F921" s="287">
        <v>0.682180191788575</v>
      </c>
      <c r="G921" s="235">
        <v>0.0</v>
      </c>
      <c r="H921" s="235">
        <v>6574.22485003714</v>
      </c>
      <c r="I921" s="287">
        <v>0.0</v>
      </c>
      <c r="J921" s="233">
        <v>49398.49401670309</v>
      </c>
    </row>
    <row r="922">
      <c r="A922" s="184">
        <v>42829.0</v>
      </c>
      <c r="B922" s="279">
        <v>0.08512026691561889</v>
      </c>
      <c r="C922" s="279">
        <v>0.013006944432893235</v>
      </c>
      <c r="D922" s="279">
        <v>0.09821685877033923</v>
      </c>
      <c r="E922" s="282">
        <v>1.2921747795754552E-5</v>
      </c>
      <c r="F922" s="287">
        <v>0.6821801917949415</v>
      </c>
      <c r="G922" s="235">
        <v>0.0</v>
      </c>
      <c r="H922" s="235">
        <v>6573.542669845351</v>
      </c>
      <c r="I922" s="287">
        <v>0.0</v>
      </c>
      <c r="J922" s="233">
        <v>49397.8118365113</v>
      </c>
    </row>
    <row r="923">
      <c r="A923" s="184">
        <v>42828.0</v>
      </c>
      <c r="B923" s="279">
        <v>0.08528425134395794</v>
      </c>
      <c r="C923" s="279">
        <v>0.013033929135217302</v>
      </c>
      <c r="D923" s="279">
        <v>0.098410409444499</v>
      </c>
      <c r="E923" s="282">
        <v>1.2921953932476963E-5</v>
      </c>
      <c r="F923" s="287">
        <v>0.6821801917949415</v>
      </c>
      <c r="G923" s="235">
        <v>0.0</v>
      </c>
      <c r="H923" s="235">
        <v>6572.860489653556</v>
      </c>
      <c r="I923" s="287">
        <v>0.0</v>
      </c>
      <c r="J923" s="233">
        <v>49397.1296563195</v>
      </c>
    </row>
    <row r="924">
      <c r="A924" s="184">
        <v>42825.0</v>
      </c>
      <c r="B924" s="279">
        <v>0.08577873753234748</v>
      </c>
      <c r="C924" s="279">
        <v>0.013111071294461072</v>
      </c>
      <c r="D924" s="279">
        <v>0.0989825836552758</v>
      </c>
      <c r="E924" s="282">
        <v>1.292212091152809E-5</v>
      </c>
      <c r="F924" s="287">
        <v>0.6821801917949415</v>
      </c>
      <c r="G924" s="235">
        <v>0.0</v>
      </c>
      <c r="H924" s="235">
        <v>6572.178309461761</v>
      </c>
      <c r="I924" s="287">
        <v>0.0</v>
      </c>
      <c r="J924" s="233">
        <v>49396.4474761277</v>
      </c>
    </row>
    <row r="925">
      <c r="A925" s="184">
        <v>42824.0</v>
      </c>
      <c r="B925" s="279">
        <v>0.08594781266372001</v>
      </c>
      <c r="C925" s="279">
        <v>0.013138487689087186</v>
      </c>
      <c r="D925" s="279">
        <v>0.09917926918153967</v>
      </c>
      <c r="E925" s="282">
        <v>1.2922287894894723E-5</v>
      </c>
      <c r="F925" s="287">
        <v>0.6821801917949415</v>
      </c>
      <c r="G925" s="235">
        <v>0.0</v>
      </c>
      <c r="H925" s="235">
        <v>6571.496129269966</v>
      </c>
      <c r="I925" s="287">
        <v>0.0</v>
      </c>
      <c r="J925" s="233">
        <v>49395.765295935904</v>
      </c>
    </row>
    <row r="926">
      <c r="A926" s="184">
        <v>42823.0</v>
      </c>
      <c r="B926" s="279">
        <v>0.08611761639051436</v>
      </c>
      <c r="C926" s="279">
        <v>0.013166022043646525</v>
      </c>
      <c r="D926" s="279">
        <v>0.09937680209785109</v>
      </c>
      <c r="E926" s="282">
        <v>1.2922454882577024E-5</v>
      </c>
      <c r="F926" s="287">
        <v>0.6821801917949415</v>
      </c>
      <c r="G926" s="235">
        <v>0.0</v>
      </c>
      <c r="H926" s="235">
        <v>6570.813949078171</v>
      </c>
      <c r="I926" s="287">
        <v>0.0</v>
      </c>
      <c r="J926" s="233">
        <v>49395.083115744106</v>
      </c>
    </row>
    <row r="927">
      <c r="A927" s="184">
        <v>42822.0</v>
      </c>
      <c r="B927" s="279">
        <v>0.08628815360595388</v>
      </c>
      <c r="C927" s="279">
        <v>0.013193675148726663</v>
      </c>
      <c r="D927" s="279">
        <v>0.09957518809361517</v>
      </c>
      <c r="E927" s="282">
        <v>1.2922621874575162E-5</v>
      </c>
      <c r="F927" s="287">
        <v>0.6821801917949415</v>
      </c>
      <c r="G927" s="235">
        <v>0.0</v>
      </c>
      <c r="H927" s="235">
        <v>6570.131768886376</v>
      </c>
      <c r="I927" s="287">
        <v>0.0</v>
      </c>
      <c r="J927" s="233">
        <v>49394.40093555231</v>
      </c>
    </row>
    <row r="928">
      <c r="A928" s="184">
        <v>42821.0</v>
      </c>
      <c r="B928" s="279">
        <v>0.08645942924897</v>
      </c>
      <c r="C928" s="279">
        <v>0.013221447802283862</v>
      </c>
      <c r="D928" s="279">
        <v>0.09977443291136606</v>
      </c>
      <c r="E928" s="282">
        <v>1.2922788870889306E-5</v>
      </c>
      <c r="F928" s="287">
        <v>0.6821801917949415</v>
      </c>
      <c r="G928" s="235">
        <v>0.0</v>
      </c>
      <c r="H928" s="235">
        <v>6569.4495886945815</v>
      </c>
      <c r="I928" s="287">
        <v>0.0</v>
      </c>
      <c r="J928" s="233">
        <v>49393.71875536051</v>
      </c>
    </row>
    <row r="929">
      <c r="A929" s="184">
        <v>42818.0</v>
      </c>
      <c r="B929" s="279">
        <v>0.08696788111371061</v>
      </c>
      <c r="C929" s="279">
        <v>0.013300794560450186</v>
      </c>
      <c r="D929" s="279">
        <v>0.10036279299730778</v>
      </c>
      <c r="E929" s="282">
        <v>1.2922955871519623E-5</v>
      </c>
      <c r="F929" s="287">
        <v>0.6821801917949415</v>
      </c>
      <c r="G929" s="235">
        <v>0.0</v>
      </c>
      <c r="H929" s="235">
        <v>6568.767408502787</v>
      </c>
      <c r="I929" s="287">
        <v>0.0</v>
      </c>
      <c r="J929" s="233">
        <v>49393.03657516871</v>
      </c>
    </row>
    <row r="930">
      <c r="A930" s="184">
        <v>42817.0</v>
      </c>
      <c r="B930" s="279">
        <v>0.08714197539992641</v>
      </c>
      <c r="C930" s="279">
        <v>0.013329017843897513</v>
      </c>
      <c r="D930" s="279">
        <v>0.10056531027683609</v>
      </c>
      <c r="E930" s="282">
        <v>1.2923122876466277E-5</v>
      </c>
      <c r="F930" s="287">
        <v>0.6821801917949415</v>
      </c>
      <c r="G930" s="235">
        <v>0.0</v>
      </c>
      <c r="H930" s="235">
        <v>6568.085228310992</v>
      </c>
      <c r="I930" s="287">
        <v>0.0</v>
      </c>
      <c r="J930" s="233">
        <v>49392.354394976916</v>
      </c>
    </row>
    <row r="931">
      <c r="A931" s="184">
        <v>42816.0</v>
      </c>
      <c r="B931" s="279">
        <v>0.08731683132075013</v>
      </c>
      <c r="C931" s="279">
        <v>0.013357364405631462</v>
      </c>
      <c r="D931" s="279">
        <v>0.10076871334158445</v>
      </c>
      <c r="E931" s="282">
        <v>1.2923289885729438E-5</v>
      </c>
      <c r="F931" s="287">
        <v>0.6821801917949415</v>
      </c>
      <c r="G931" s="235">
        <v>0.0</v>
      </c>
      <c r="H931" s="235">
        <v>6567.403048119197</v>
      </c>
      <c r="I931" s="287">
        <v>0.0</v>
      </c>
      <c r="J931" s="233">
        <v>49391.67221478512</v>
      </c>
    </row>
    <row r="932">
      <c r="A932" s="184">
        <v>42815.0</v>
      </c>
      <c r="B932" s="279">
        <v>0.08749245407115766</v>
      </c>
      <c r="C932" s="279">
        <v>0.013385835084792764</v>
      </c>
      <c r="D932" s="279">
        <v>0.10097300823160729</v>
      </c>
      <c r="E932" s="282">
        <v>1.2923456899309273E-5</v>
      </c>
      <c r="F932" s="287">
        <v>0.6821801917949415</v>
      </c>
      <c r="G932" s="235">
        <v>0.0</v>
      </c>
      <c r="H932" s="235">
        <v>6566.720867927402</v>
      </c>
      <c r="I932" s="287">
        <v>0.0</v>
      </c>
      <c r="J932" s="233">
        <v>49390.99003459332</v>
      </c>
    </row>
    <row r="933">
      <c r="A933" s="184">
        <v>42814.0</v>
      </c>
      <c r="B933" s="279">
        <v>0.08766884889542603</v>
      </c>
      <c r="C933" s="279">
        <v>0.013414430728468322</v>
      </c>
      <c r="D933" s="279">
        <v>0.10117820104426259</v>
      </c>
      <c r="E933" s="282">
        <v>1.292362391720595E-5</v>
      </c>
      <c r="F933" s="287">
        <v>0.6821801917949415</v>
      </c>
      <c r="G933" s="235">
        <v>0.0</v>
      </c>
      <c r="H933" s="235">
        <v>6566.038687735607</v>
      </c>
      <c r="I933" s="287">
        <v>0.0</v>
      </c>
      <c r="J933" s="233">
        <v>49390.30785440152</v>
      </c>
    </row>
    <row r="934">
      <c r="A934" s="184">
        <v>42811.0</v>
      </c>
      <c r="B934" s="279">
        <v>0.08819187156446791</v>
      </c>
      <c r="C934" s="279">
        <v>0.013496077987820152</v>
      </c>
      <c r="D934" s="279">
        <v>0.10178344871419329</v>
      </c>
      <c r="E934" s="282">
        <v>1.2923790939419636E-5</v>
      </c>
      <c r="F934" s="287">
        <v>0.6821801917949415</v>
      </c>
      <c r="G934" s="235">
        <v>0.0</v>
      </c>
      <c r="H934" s="235">
        <v>6565.356507543812</v>
      </c>
      <c r="I934" s="287">
        <v>0.0</v>
      </c>
      <c r="J934" s="233">
        <v>49389.625674209725</v>
      </c>
    </row>
    <row r="935">
      <c r="A935" s="184">
        <v>42810.0</v>
      </c>
      <c r="B935" s="279">
        <v>0.0883712106121363</v>
      </c>
      <c r="C935" s="279">
        <v>0.013525144323586192</v>
      </c>
      <c r="D935" s="279">
        <v>0.1019920597729882</v>
      </c>
      <c r="E935" s="282">
        <v>1.2923957965950497E-5</v>
      </c>
      <c r="F935" s="287">
        <v>0.6821801917949415</v>
      </c>
      <c r="G935" s="235">
        <v>0.0</v>
      </c>
      <c r="H935" s="235">
        <v>6564.674327352017</v>
      </c>
      <c r="I935" s="287">
        <v>0.0</v>
      </c>
      <c r="J935" s="233">
        <v>49388.94349401793</v>
      </c>
    </row>
    <row r="936">
      <c r="A936" s="184">
        <v>42809.0</v>
      </c>
      <c r="B936" s="279">
        <v>0.08855134635443505</v>
      </c>
      <c r="C936" s="279">
        <v>0.013554339580371515</v>
      </c>
      <c r="D936" s="279">
        <v>0.10220159735968663</v>
      </c>
      <c r="E936" s="282">
        <v>1.2924124996798704E-5</v>
      </c>
      <c r="F936" s="287">
        <v>0.6821801917949415</v>
      </c>
      <c r="G936" s="235">
        <v>0.0</v>
      </c>
      <c r="H936" s="235">
        <v>6563.992147160222</v>
      </c>
      <c r="I936" s="287">
        <v>0.0</v>
      </c>
      <c r="J936" s="233">
        <v>49388.26131382613</v>
      </c>
    </row>
    <row r="937">
      <c r="A937" s="184">
        <v>42808.0</v>
      </c>
      <c r="B937" s="279">
        <v>0.08873228431163288</v>
      </c>
      <c r="C937" s="279">
        <v>0.013583664649648683</v>
      </c>
      <c r="D937" s="279">
        <v>0.10241206789233795</v>
      </c>
      <c r="E937" s="282">
        <v>1.2924292031964419E-5</v>
      </c>
      <c r="F937" s="287">
        <v>0.6821801917949415</v>
      </c>
      <c r="G937" s="235">
        <v>0.0</v>
      </c>
      <c r="H937" s="235">
        <v>6563.309966968427</v>
      </c>
      <c r="I937" s="287">
        <v>0.0</v>
      </c>
      <c r="J937" s="233">
        <v>49387.57913363433</v>
      </c>
    </row>
    <row r="938">
      <c r="A938" s="184">
        <v>42807.0</v>
      </c>
      <c r="B938" s="279">
        <v>0.08891403005723553</v>
      </c>
      <c r="C938" s="279">
        <v>0.013613120431468917</v>
      </c>
      <c r="D938" s="279">
        <v>0.10262347785086799</v>
      </c>
      <c r="E938" s="282">
        <v>1.2924459071447814E-5</v>
      </c>
      <c r="F938" s="287">
        <v>0.6821801917949415</v>
      </c>
      <c r="G938" s="235">
        <v>0.0</v>
      </c>
      <c r="H938" s="235">
        <v>6562.627786776632</v>
      </c>
      <c r="I938" s="287">
        <v>0.0</v>
      </c>
      <c r="J938" s="233">
        <v>49386.896953442534</v>
      </c>
    </row>
    <row r="939">
      <c r="A939" s="184">
        <v>42804.0</v>
      </c>
      <c r="B939" s="279">
        <v>0.0894522642255175</v>
      </c>
      <c r="C939" s="279">
        <v>0.013697169742093174</v>
      </c>
      <c r="D939" s="279">
        <v>0.10324635606838868</v>
      </c>
      <c r="E939" s="282">
        <v>1.2924626115249055E-5</v>
      </c>
      <c r="F939" s="287">
        <v>0.6821801917949415</v>
      </c>
      <c r="G939" s="235">
        <v>0.0</v>
      </c>
      <c r="H939" s="235">
        <v>6561.945606584837</v>
      </c>
      <c r="I939" s="287">
        <v>0.0</v>
      </c>
      <c r="J939" s="233">
        <v>49386.21477325074</v>
      </c>
    </row>
    <row r="940">
      <c r="A940" s="184">
        <v>42803.0</v>
      </c>
      <c r="B940" s="279">
        <v>0.08963708734781009</v>
      </c>
      <c r="C940" s="279">
        <v>0.013727117487591431</v>
      </c>
      <c r="D940" s="279">
        <v>0.10346133884845499</v>
      </c>
      <c r="E940" s="282">
        <v>1.2924793163368308E-5</v>
      </c>
      <c r="F940" s="287">
        <v>0.6821801917949415</v>
      </c>
      <c r="G940" s="235">
        <v>0.0</v>
      </c>
      <c r="H940" s="235">
        <v>6561.263426393042</v>
      </c>
      <c r="I940" s="287">
        <v>0.0</v>
      </c>
      <c r="J940" s="233">
        <v>49385.53259305894</v>
      </c>
    </row>
    <row r="941">
      <c r="A941" s="184">
        <v>42802.0</v>
      </c>
      <c r="B941" s="279">
        <v>0.08989385819438982</v>
      </c>
      <c r="C941" s="279">
        <v>0.013686086354120407</v>
      </c>
      <c r="D941" s="279">
        <v>0.10367729142849426</v>
      </c>
      <c r="E941" s="282">
        <v>1.2923858334505642E-5</v>
      </c>
      <c r="F941" s="287">
        <v>0.6821801917949415</v>
      </c>
      <c r="G941" s="235">
        <v>0.0</v>
      </c>
      <c r="H941" s="235">
        <v>6560.581246201247</v>
      </c>
      <c r="I941" s="287">
        <v>0.0</v>
      </c>
      <c r="J941" s="233">
        <v>49384.85041286714</v>
      </c>
    </row>
    <row r="942">
      <c r="A942" s="184">
        <v>42801.0</v>
      </c>
      <c r="B942" s="174">
        <v>0.0900805112579328</v>
      </c>
      <c r="C942" s="174">
        <v>0.013716148668279504</v>
      </c>
      <c r="D942" s="174">
        <v>0.10389422063448975</v>
      </c>
      <c r="E942" s="282">
        <v>-0.003468001634876004</v>
      </c>
      <c r="F942" s="287">
        <v>-183.05457889601803</v>
      </c>
      <c r="G942" s="235">
        <v>0.0</v>
      </c>
      <c r="H942" s="235">
        <v>6559.899066009452</v>
      </c>
      <c r="I942" s="287">
        <v>0.0</v>
      </c>
      <c r="J942" s="233">
        <v>49384.16823267534</v>
      </c>
    </row>
    <row r="943">
      <c r="A943" s="184">
        <v>42800.0</v>
      </c>
      <c r="B943" s="279">
        <v>0.0931843994547077</v>
      </c>
      <c r="C943" s="279">
        <v>0.013746347093577369</v>
      </c>
      <c r="D943" s="279">
        <v>0.10702852205299206</v>
      </c>
      <c r="E943" s="282">
        <v>-0.003456016165165139</v>
      </c>
      <c r="F943" s="287">
        <v>-183.05457889602258</v>
      </c>
      <c r="G943" s="235">
        <v>0.0</v>
      </c>
      <c r="H943" s="235">
        <v>6742.95364490547</v>
      </c>
      <c r="I943" s="287">
        <v>0.0</v>
      </c>
      <c r="J943" s="233">
        <v>49567.22281157136</v>
      </c>
    </row>
    <row r="944">
      <c r="A944" s="184">
        <v>42797.0</v>
      </c>
      <c r="B944" s="279">
        <v>0.096692995100942</v>
      </c>
      <c r="C944" s="279">
        <v>0.013832615501096138</v>
      </c>
      <c r="D944" s="279">
        <v>0.11062399971973103</v>
      </c>
      <c r="E944" s="282">
        <v>-0.003444113254084364</v>
      </c>
      <c r="F944" s="287">
        <v>-183.05457889602258</v>
      </c>
      <c r="G944" s="235">
        <v>0.0</v>
      </c>
      <c r="H944" s="235">
        <v>6926.008223801493</v>
      </c>
      <c r="I944" s="287">
        <v>0.0</v>
      </c>
      <c r="J944" s="233">
        <v>49750.27739046738</v>
      </c>
    </row>
    <row r="945">
      <c r="A945" s="184">
        <v>42796.0</v>
      </c>
      <c r="B945" s="279">
        <v>0.09984023060753387</v>
      </c>
      <c r="C945" s="279">
        <v>0.013863642034574058</v>
      </c>
      <c r="D945" s="279">
        <v>0.11380248244642757</v>
      </c>
      <c r="E945" s="282">
        <v>-0.0034322920515377745</v>
      </c>
      <c r="F945" s="287">
        <v>-183.05457889602258</v>
      </c>
      <c r="G945" s="235">
        <v>0.0</v>
      </c>
      <c r="H945" s="235">
        <v>7109.0628026975155</v>
      </c>
      <c r="I945" s="287">
        <v>0.0</v>
      </c>
      <c r="J945" s="233">
        <v>49933.331969363404</v>
      </c>
    </row>
    <row r="946">
      <c r="A946" s="184">
        <v>42795.0</v>
      </c>
      <c r="B946" s="279">
        <v>0.10300282440974294</v>
      </c>
      <c r="C946" s="279">
        <v>0.013894971033049592</v>
      </c>
      <c r="D946" s="279">
        <v>0.11699662808512266</v>
      </c>
      <c r="E946" s="282">
        <v>-0.003420551719060569</v>
      </c>
      <c r="F946" s="287">
        <v>-183.05457889602258</v>
      </c>
      <c r="G946" s="235">
        <v>0.0</v>
      </c>
      <c r="H946" s="235">
        <v>7292.117381593538</v>
      </c>
      <c r="I946" s="287">
        <v>0.0</v>
      </c>
      <c r="J946" s="233">
        <v>50116.38654825943</v>
      </c>
    </row>
    <row r="947">
      <c r="A947" s="184">
        <v>42794.0</v>
      </c>
      <c r="B947" s="279">
        <v>0.10618099578948065</v>
      </c>
      <c r="C947" s="279">
        <v>0.013926606101580948</v>
      </c>
      <c r="D947" s="279">
        <v>0.12020665954842816</v>
      </c>
      <c r="E947" s="282">
        <v>-0.003408891429620888</v>
      </c>
      <c r="F947" s="287">
        <v>-183.05457889602258</v>
      </c>
      <c r="G947" s="235">
        <v>0.0</v>
      </c>
      <c r="H947" s="235">
        <v>7475.171960489561</v>
      </c>
      <c r="I947" s="287">
        <v>0.0</v>
      </c>
      <c r="J947" s="233">
        <v>50299.44112715545</v>
      </c>
    </row>
    <row r="948">
      <c r="A948" s="184">
        <v>42793.0</v>
      </c>
      <c r="B948" s="279">
        <v>0.10937496757593967</v>
      </c>
      <c r="C948" s="279">
        <v>0.013958550908945188</v>
      </c>
      <c r="D948" s="279">
        <v>0.1234328033604092</v>
      </c>
      <c r="E948" s="282">
        <v>-0.0033973103674256088</v>
      </c>
      <c r="F948" s="287">
        <v>-183.05457889602258</v>
      </c>
      <c r="G948" s="235">
        <v>0.0</v>
      </c>
      <c r="H948" s="235">
        <v>7658.226539385583</v>
      </c>
      <c r="I948" s="287">
        <v>0.0</v>
      </c>
      <c r="J948" s="233">
        <v>50482.49570605147</v>
      </c>
    </row>
    <row r="949">
      <c r="A949" s="184">
        <v>42790.0</v>
      </c>
      <c r="B949" s="279">
        <v>0.1130473274817764</v>
      </c>
      <c r="C949" s="279">
        <v>0.014048266310962109</v>
      </c>
      <c r="D949" s="279">
        <v>0.12719551679915336</v>
      </c>
      <c r="E949" s="282">
        <v>-0.0033858077277300817</v>
      </c>
      <c r="F949" s="287">
        <v>-183.05457889602258</v>
      </c>
      <c r="G949" s="235">
        <v>0.0</v>
      </c>
      <c r="H949" s="235">
        <v>7841.281118281606</v>
      </c>
      <c r="I949" s="287">
        <v>0.0</v>
      </c>
      <c r="J949" s="233">
        <v>50665.550284947494</v>
      </c>
    </row>
    <row r="950">
      <c r="A950" s="184">
        <v>42789.0</v>
      </c>
      <c r="B950" s="279">
        <v>0.11628781128632787</v>
      </c>
      <c r="C950" s="279">
        <v>0.01408109414452993</v>
      </c>
      <c r="D950" s="279">
        <v>0.13046906193625052</v>
      </c>
      <c r="E950" s="282">
        <v>-0.0033743827166517236</v>
      </c>
      <c r="F950" s="287">
        <v>-183.05457889602258</v>
      </c>
      <c r="G950" s="235">
        <v>0.0</v>
      </c>
      <c r="H950" s="235">
        <v>8024.335697177628</v>
      </c>
      <c r="I950" s="287">
        <v>0.0</v>
      </c>
      <c r="J950" s="233">
        <v>50848.60486384352</v>
      </c>
    </row>
    <row r="951">
      <c r="A951" s="184">
        <v>42788.0</v>
      </c>
      <c r="B951" s="279">
        <v>0.1195449127419543</v>
      </c>
      <c r="C951" s="279">
        <v>0.014114245484366569</v>
      </c>
      <c r="D951" s="279">
        <v>0.1337595505317383</v>
      </c>
      <c r="E951" s="282">
        <v>-0.003363034550987369</v>
      </c>
      <c r="F951" s="287">
        <v>-183.05457889602258</v>
      </c>
      <c r="G951" s="235">
        <v>0.0</v>
      </c>
      <c r="H951" s="235">
        <v>8207.390276073651</v>
      </c>
      <c r="I951" s="287">
        <v>0.0</v>
      </c>
      <c r="J951" s="233">
        <v>51031.65944273954</v>
      </c>
    </row>
    <row r="952">
      <c r="A952" s="184">
        <v>42787.0</v>
      </c>
      <c r="B952" s="279">
        <v>0.12281887144193834</v>
      </c>
      <c r="C952" s="279">
        <v>0.014147724299411014</v>
      </c>
      <c r="D952" s="279">
        <v>0.13706722617606873</v>
      </c>
      <c r="E952" s="282">
        <v>-0.0033517624580342974</v>
      </c>
      <c r="F952" s="287">
        <v>-183.05457889602258</v>
      </c>
      <c r="G952" s="235">
        <v>0.0</v>
      </c>
      <c r="H952" s="235">
        <v>8390.444854969674</v>
      </c>
      <c r="I952" s="287">
        <v>0.0</v>
      </c>
      <c r="J952" s="233">
        <v>51214.71402163556</v>
      </c>
    </row>
    <row r="953">
      <c r="A953" s="184">
        <v>42786.0</v>
      </c>
      <c r="B953" s="174">
        <v>0.12610993097231346</v>
      </c>
      <c r="C953" s="174">
        <v>0.01418153463024627</v>
      </c>
      <c r="D953" s="174">
        <v>0.14039233652459834</v>
      </c>
      <c r="E953" s="282">
        <v>4.769033935060271E-5</v>
      </c>
      <c r="F953" s="287">
        <v>2.583946970917168</v>
      </c>
      <c r="G953" s="235">
        <v>0.0</v>
      </c>
      <c r="H953" s="235">
        <v>8573.499433865696</v>
      </c>
      <c r="I953" s="287">
        <v>0.0</v>
      </c>
      <c r="J953" s="233">
        <v>51397.768600531585</v>
      </c>
    </row>
    <row r="954">
      <c r="A954" s="184">
        <v>42783.0</v>
      </c>
      <c r="B954" s="279">
        <v>0.12689770755982058</v>
      </c>
      <c r="C954" s="279">
        <v>0.014274912593169972</v>
      </c>
      <c r="D954" s="279">
        <v>0.14127415525711265</v>
      </c>
      <c r="E954" s="282">
        <v>4.769261382760781E-5</v>
      </c>
      <c r="F954" s="287">
        <v>2.583946970920806</v>
      </c>
      <c r="G954" s="235">
        <v>0.0</v>
      </c>
      <c r="H954" s="235">
        <v>8570.915486894779</v>
      </c>
      <c r="I954" s="287">
        <v>0.0</v>
      </c>
      <c r="J954" s="233">
        <v>51395.18465356067</v>
      </c>
    </row>
    <row r="955">
      <c r="A955" s="184">
        <v>42782.0</v>
      </c>
      <c r="B955" s="279">
        <v>0.12716244654546954</v>
      </c>
      <c r="C955" s="279">
        <v>0.01430949622351803</v>
      </c>
      <c r="D955" s="279">
        <v>0.14157372386078113</v>
      </c>
      <c r="E955" s="282">
        <v>4.7694888521507625E-5</v>
      </c>
      <c r="F955" s="287">
        <v>2.583946970920806</v>
      </c>
      <c r="G955" s="235">
        <v>0.0</v>
      </c>
      <c r="H955" s="235">
        <v>8568.331539923858</v>
      </c>
      <c r="I955" s="287">
        <v>0.0</v>
      </c>
      <c r="J955" s="233">
        <v>51392.60070658974</v>
      </c>
    </row>
    <row r="956">
      <c r="A956" s="184">
        <v>42781.0</v>
      </c>
      <c r="B956" s="279">
        <v>0.1274285241424546</v>
      </c>
      <c r="C956" s="279">
        <v>0.014344253767847778</v>
      </c>
      <c r="D956" s="279">
        <v>0.14187480622678886</v>
      </c>
      <c r="E956" s="282">
        <v>4.769716343240032E-5</v>
      </c>
      <c r="F956" s="287">
        <v>2.583946970920806</v>
      </c>
      <c r="G956" s="235">
        <v>0.0</v>
      </c>
      <c r="H956" s="235">
        <v>8565.747592952937</v>
      </c>
      <c r="I956" s="287">
        <v>0.0</v>
      </c>
      <c r="J956" s="233">
        <v>51390.016759618826</v>
      </c>
    </row>
    <row r="957">
      <c r="A957" s="184">
        <v>42780.0</v>
      </c>
      <c r="B957" s="279">
        <v>0.12769595106521384</v>
      </c>
      <c r="C957" s="279">
        <v>0.014379186607947774</v>
      </c>
      <c r="D957" s="279">
        <v>0.14217741446119098</v>
      </c>
      <c r="E957" s="282">
        <v>4.769943856031697E-5</v>
      </c>
      <c r="F957" s="287">
        <v>2.583946970920806</v>
      </c>
      <c r="G957" s="235">
        <v>0.0</v>
      </c>
      <c r="H957" s="235">
        <v>8563.163645982017</v>
      </c>
      <c r="I957" s="287">
        <v>0.0</v>
      </c>
      <c r="J957" s="233">
        <v>51387.43281264791</v>
      </c>
    </row>
    <row r="958">
      <c r="A958" s="184">
        <v>42779.0</v>
      </c>
      <c r="B958" s="279">
        <v>0.1279647381485145</v>
      </c>
      <c r="C958" s="279">
        <v>0.014414296141018355</v>
      </c>
      <c r="D958" s="279">
        <v>0.14248156080589316</v>
      </c>
      <c r="E958" s="282">
        <v>4.770171390525503E-5</v>
      </c>
      <c r="F958" s="287">
        <v>2.583946970918987</v>
      </c>
      <c r="G958" s="235">
        <v>0.0</v>
      </c>
      <c r="H958" s="235">
        <v>8560.579699011096</v>
      </c>
      <c r="I958" s="287">
        <v>0.0</v>
      </c>
      <c r="J958" s="233">
        <v>51384.84886567699</v>
      </c>
    </row>
    <row r="959">
      <c r="A959" s="184">
        <v>42776.0</v>
      </c>
      <c r="B959" s="174">
        <v>0.12877711578410117</v>
      </c>
      <c r="C959" s="174">
        <v>0.014510681385731413</v>
      </c>
      <c r="D959" s="174">
        <v>0.14339100925857687</v>
      </c>
      <c r="E959" s="282">
        <v>0.006091364303006704</v>
      </c>
      <c r="F959" s="287">
        <v>329.94645762915206</v>
      </c>
      <c r="G959" s="235">
        <v>0.0</v>
      </c>
      <c r="H959" s="235">
        <v>8557.995752040177</v>
      </c>
      <c r="I959" s="287">
        <v>0.0</v>
      </c>
      <c r="J959" s="233">
        <v>51382.264918706074</v>
      </c>
    </row>
    <row r="960">
      <c r="A960" s="184">
        <v>42775.0</v>
      </c>
      <c r="B960" s="279">
        <v>0.12363421477417569</v>
      </c>
      <c r="C960" s="279">
        <v>0.014464629403531163</v>
      </c>
      <c r="D960" s="279">
        <v>0.1382023105282831</v>
      </c>
      <c r="E960" s="282">
        <v>0.0061281420777122625</v>
      </c>
      <c r="F960" s="287">
        <v>329.94645762915115</v>
      </c>
      <c r="G960" s="235">
        <v>0.0</v>
      </c>
      <c r="H960" s="235">
        <v>8228.049294411025</v>
      </c>
      <c r="I960" s="287">
        <v>0.0</v>
      </c>
      <c r="J960" s="233">
        <v>51052.318461076924</v>
      </c>
    </row>
    <row r="961">
      <c r="A961" s="184">
        <v>42774.0</v>
      </c>
      <c r="B961" s="279">
        <v>0.11838143619818733</v>
      </c>
      <c r="C961" s="279">
        <v>0.014500047687141028</v>
      </c>
      <c r="D961" s="279">
        <v>0.1329852035849844</v>
      </c>
      <c r="E961" s="282">
        <v>0.0061659277590607135</v>
      </c>
      <c r="F961" s="287">
        <v>329.94645762915206</v>
      </c>
      <c r="G961" s="235">
        <v>0.0</v>
      </c>
      <c r="H961" s="235">
        <v>7898.1028367818735</v>
      </c>
      <c r="I961" s="287">
        <v>0.0</v>
      </c>
      <c r="J961" s="233">
        <v>50722.372003447774</v>
      </c>
    </row>
    <row r="962">
      <c r="A962" s="184">
        <v>42773.0</v>
      </c>
      <c r="B962" s="279">
        <v>0.11310049411703375</v>
      </c>
      <c r="C962" s="279">
        <v>0.014535334450954902</v>
      </c>
      <c r="D962" s="279">
        <v>0.12773980067595558</v>
      </c>
      <c r="E962" s="282">
        <v>0.006204182298919897</v>
      </c>
      <c r="F962" s="287">
        <v>329.94645762915206</v>
      </c>
      <c r="G962" s="235">
        <v>0.0</v>
      </c>
      <c r="H962" s="235">
        <v>7568.1563791527215</v>
      </c>
      <c r="I962" s="287">
        <v>0.0</v>
      </c>
      <c r="J962" s="233">
        <v>50392.42554581862</v>
      </c>
    </row>
    <row r="963">
      <c r="A963" s="184">
        <v>42772.0</v>
      </c>
      <c r="B963" s="279">
        <v>0.10779151044284041</v>
      </c>
      <c r="C963" s="279">
        <v>0.014570485740039147</v>
      </c>
      <c r="D963" s="279">
        <v>0.12246621973009862</v>
      </c>
      <c r="E963" s="282">
        <v>0.006242914478420584</v>
      </c>
      <c r="F963" s="287">
        <v>329.94645762915206</v>
      </c>
      <c r="G963" s="235">
        <v>0.0</v>
      </c>
      <c r="H963" s="235">
        <v>7238.209921523569</v>
      </c>
      <c r="I963" s="287">
        <v>0.0</v>
      </c>
      <c r="J963" s="233">
        <v>50062.47908818947</v>
      </c>
    </row>
    <row r="964">
      <c r="A964" s="184">
        <v>42769.0</v>
      </c>
      <c r="B964" s="279">
        <v>0.10289433225090515</v>
      </c>
      <c r="C964" s="279">
        <v>0.01466818210035175</v>
      </c>
      <c r="D964" s="279">
        <v>0.1176674367263259</v>
      </c>
      <c r="E964" s="282">
        <v>0.006282133299350468</v>
      </c>
      <c r="F964" s="287">
        <v>329.94645762915206</v>
      </c>
      <c r="G964" s="235">
        <v>0.0</v>
      </c>
      <c r="H964" s="235">
        <v>6908.263463894417</v>
      </c>
      <c r="I964" s="287">
        <v>0.0</v>
      </c>
      <c r="J964" s="233">
        <v>49732.53263056032</v>
      </c>
    </row>
    <row r="965">
      <c r="A965" s="184">
        <v>42768.0</v>
      </c>
      <c r="B965" s="279">
        <v>0.09750752612921447</v>
      </c>
      <c r="C965" s="279">
        <v>0.014703335200128332</v>
      </c>
      <c r="D965" s="279">
        <v>0.11231603515661591</v>
      </c>
      <c r="E965" s="282">
        <v>0.006321847991128971</v>
      </c>
      <c r="F965" s="287">
        <v>329.94645762915206</v>
      </c>
      <c r="G965" s="235">
        <v>0.0</v>
      </c>
      <c r="H965" s="235">
        <v>6578.317006265265</v>
      </c>
      <c r="I965" s="287">
        <v>0.0</v>
      </c>
      <c r="J965" s="233">
        <v>49402.58617293117</v>
      </c>
    </row>
    <row r="966">
      <c r="A966" s="184">
        <v>42767.0</v>
      </c>
      <c r="B966" s="279">
        <v>0.09209286469285465</v>
      </c>
      <c r="C966" s="279">
        <v>0.014738341324643443</v>
      </c>
      <c r="D966" s="279">
        <v>0.10693663024565257</v>
      </c>
      <c r="E966" s="282">
        <v>0.006362068018048295</v>
      </c>
      <c r="F966" s="287">
        <v>329.94645762915206</v>
      </c>
      <c r="G966" s="235">
        <v>0.0</v>
      </c>
      <c r="H966" s="235">
        <v>6248.370548636113</v>
      </c>
      <c r="I966" s="287">
        <v>0.0</v>
      </c>
      <c r="J966" s="233">
        <v>49072.63971530202</v>
      </c>
    </row>
    <row r="967">
      <c r="A967" s="184">
        <v>42766.0</v>
      </c>
      <c r="B967" s="174">
        <v>0.08665049271434985</v>
      </c>
      <c r="C967" s="174">
        <v>0.014773196354364608</v>
      </c>
      <c r="D967" s="174">
        <v>0.10152936261696031</v>
      </c>
      <c r="E967" s="282">
        <v>5.095533588005062E-4</v>
      </c>
      <c r="F967" s="287">
        <v>26.258081566816145</v>
      </c>
      <c r="G967" s="235">
        <v>0.0</v>
      </c>
      <c r="H967" s="235">
        <v>5918.424091006961</v>
      </c>
      <c r="I967" s="287">
        <v>0.0</v>
      </c>
      <c r="J967" s="233">
        <v>48742.69325767287</v>
      </c>
    </row>
    <row r="968">
      <c r="A968" s="184">
        <v>42765.0</v>
      </c>
      <c r="B968" s="279">
        <v>0.08640251020139374</v>
      </c>
      <c r="C968" s="279">
        <v>0.014807896132400253</v>
      </c>
      <c r="D968" s="279">
        <v>0.10131632809160672</v>
      </c>
      <c r="E968" s="282">
        <v>5.098131357963E-4</v>
      </c>
      <c r="F968" s="287">
        <v>26.258081566820692</v>
      </c>
      <c r="G968" s="235">
        <v>0.0</v>
      </c>
      <c r="H968" s="235">
        <v>5892.166009440145</v>
      </c>
      <c r="I968" s="287">
        <v>0.0</v>
      </c>
      <c r="J968" s="233">
        <v>48716.43517610605</v>
      </c>
    </row>
    <row r="969">
      <c r="A969" s="184">
        <v>42762.0</v>
      </c>
      <c r="B969" s="279">
        <v>0.08652863272845444</v>
      </c>
      <c r="C969" s="279">
        <v>0.014907412412487152</v>
      </c>
      <c r="D969" s="279">
        <v>0.10154267874459816</v>
      </c>
      <c r="E969" s="282">
        <v>5.100731778025611E-4</v>
      </c>
      <c r="F969" s="287">
        <v>26.258081566820692</v>
      </c>
      <c r="G969" s="235">
        <v>0.0</v>
      </c>
      <c r="H969" s="235">
        <v>5865.907927873324</v>
      </c>
      <c r="I969" s="287">
        <v>0.0</v>
      </c>
      <c r="J969" s="233">
        <v>48690.177094539235</v>
      </c>
    </row>
    <row r="970">
      <c r="A970" s="184">
        <v>42761.0</v>
      </c>
      <c r="B970" s="279">
        <v>0.08627778678872072</v>
      </c>
      <c r="C970" s="279">
        <v>0.01494269152939415</v>
      </c>
      <c r="D970" s="279">
        <v>0.10132736427538355</v>
      </c>
      <c r="E970" s="282">
        <v>5.10333485225109E-4</v>
      </c>
      <c r="F970" s="287">
        <v>26.258081566820692</v>
      </c>
      <c r="G970" s="235">
        <v>0.0</v>
      </c>
      <c r="H970" s="235">
        <v>5839.649846306504</v>
      </c>
      <c r="I970" s="287">
        <v>0.0</v>
      </c>
      <c r="J970" s="233">
        <v>48663.919012972416</v>
      </c>
    </row>
    <row r="971">
      <c r="A971" s="184">
        <v>42760.0</v>
      </c>
      <c r="B971" s="279">
        <v>0.08602562711267803</v>
      </c>
      <c r="C971" s="279">
        <v>0.01497811649437095</v>
      </c>
      <c r="D971" s="279">
        <v>0.10111088296118965</v>
      </c>
      <c r="E971" s="282">
        <v>5.105940584705035E-4</v>
      </c>
      <c r="F971" s="287">
        <v>26.258081566820692</v>
      </c>
      <c r="G971" s="235">
        <v>0.0</v>
      </c>
      <c r="H971" s="235">
        <v>5813.391764739683</v>
      </c>
      <c r="I971" s="287">
        <v>0.0</v>
      </c>
      <c r="J971" s="233">
        <v>48637.6609314056</v>
      </c>
    </row>
    <row r="972">
      <c r="A972" s="184">
        <v>42759.0</v>
      </c>
      <c r="B972" s="279">
        <v>0.0857721452747691</v>
      </c>
      <c r="C972" s="279">
        <v>0.01501368816786538</v>
      </c>
      <c r="D972" s="279">
        <v>0.10089322724306188</v>
      </c>
      <c r="E972" s="282">
        <v>5.108548979461353E-4</v>
      </c>
      <c r="F972" s="287">
        <v>26.258081566820692</v>
      </c>
      <c r="G972" s="235">
        <v>0.0</v>
      </c>
      <c r="H972" s="235">
        <v>5787.133683172862</v>
      </c>
      <c r="I972" s="287">
        <v>0.0</v>
      </c>
      <c r="J972" s="233">
        <v>48611.40284983878</v>
      </c>
    </row>
    <row r="973">
      <c r="A973" s="184">
        <v>42758.0</v>
      </c>
      <c r="B973" s="279">
        <v>0.08551733278055706</v>
      </c>
      <c r="C973" s="279">
        <v>0.015049407416671942</v>
      </c>
      <c r="D973" s="279">
        <v>0.10067438949955805</v>
      </c>
      <c r="E973" s="282">
        <v>5.111160040602281E-4</v>
      </c>
      <c r="F973" s="287">
        <v>26.258081566820692</v>
      </c>
      <c r="G973" s="235">
        <v>0.0</v>
      </c>
      <c r="H973" s="235">
        <v>5760.8756016060415</v>
      </c>
      <c r="I973" s="287">
        <v>0.0</v>
      </c>
      <c r="J973" s="233">
        <v>48585.14476827196</v>
      </c>
    </row>
    <row r="974">
      <c r="A974" s="184">
        <v>42755.0</v>
      </c>
      <c r="B974" s="279">
        <v>0.08563844292917289</v>
      </c>
      <c r="C974" s="279">
        <v>0.015152024118912444</v>
      </c>
      <c r="D974" s="279">
        <v>0.10089885037376145</v>
      </c>
      <c r="E974" s="282">
        <v>5.113773772218406E-4</v>
      </c>
      <c r="F974" s="287">
        <v>26.258081566820692</v>
      </c>
      <c r="G974" s="235">
        <v>0.0</v>
      </c>
      <c r="H974" s="235">
        <v>5734.617520039221</v>
      </c>
      <c r="I974" s="287">
        <v>0.0</v>
      </c>
      <c r="J974" s="233">
        <v>48558.88668670514</v>
      </c>
    </row>
    <row r="975">
      <c r="A975" s="184">
        <v>42754.0</v>
      </c>
      <c r="B975" s="279">
        <v>0.0853806379559778</v>
      </c>
      <c r="C975" s="279">
        <v>0.015188348867333295</v>
      </c>
      <c r="D975" s="279">
        <v>0.10067762998206346</v>
      </c>
      <c r="E975" s="282">
        <v>5.116390178408684E-4</v>
      </c>
      <c r="F975" s="287">
        <v>26.258081566820692</v>
      </c>
      <c r="G975" s="235">
        <v>0.0</v>
      </c>
      <c r="H975" s="235">
        <v>5708.3594384724</v>
      </c>
      <c r="I975" s="287">
        <v>0.0</v>
      </c>
      <c r="J975" s="233">
        <v>48532.62860513832</v>
      </c>
    </row>
    <row r="976">
      <c r="A976" s="184">
        <v>42753.0</v>
      </c>
      <c r="B976" s="279">
        <v>0.08512146903658233</v>
      </c>
      <c r="C976" s="279">
        <v>0.015224825865323251</v>
      </c>
      <c r="D976" s="279">
        <v>0.10045519898278438</v>
      </c>
      <c r="E976" s="282">
        <v>5.119009263280466E-4</v>
      </c>
      <c r="F976" s="287">
        <v>26.258081566820692</v>
      </c>
      <c r="G976" s="235">
        <v>0.0</v>
      </c>
      <c r="H976" s="235">
        <v>5682.101356905579</v>
      </c>
      <c r="I976" s="287">
        <v>0.0</v>
      </c>
      <c r="J976" s="233">
        <v>48506.3705235715</v>
      </c>
    </row>
    <row r="977">
      <c r="A977" s="184">
        <v>42752.0</v>
      </c>
      <c r="B977" s="279">
        <v>0.08486092730574292</v>
      </c>
      <c r="C977" s="279">
        <v>0.015261456023157137</v>
      </c>
      <c r="D977" s="279">
        <v>0.10023154942746672</v>
      </c>
      <c r="E977" s="282">
        <v>5.12163103094952E-4</v>
      </c>
      <c r="F977" s="287">
        <v>26.258081566820692</v>
      </c>
      <c r="G977" s="235">
        <v>0.0</v>
      </c>
      <c r="H977" s="235">
        <v>5655.843275338759</v>
      </c>
      <c r="I977" s="287">
        <v>0.0</v>
      </c>
      <c r="J977" s="233">
        <v>48480.11244200468</v>
      </c>
    </row>
    <row r="978">
      <c r="A978" s="184">
        <v>42751.0</v>
      </c>
      <c r="B978" s="279">
        <v>0.08459900382476575</v>
      </c>
      <c r="C978" s="279">
        <v>0.015298240257903842</v>
      </c>
      <c r="D978" s="279">
        <v>0.10000667330104539</v>
      </c>
      <c r="E978" s="282">
        <v>5.124255485540046E-4</v>
      </c>
      <c r="F978" s="287">
        <v>26.258081566820692</v>
      </c>
      <c r="G978" s="235">
        <v>0.0</v>
      </c>
      <c r="H978" s="235">
        <v>5629.585193771938</v>
      </c>
      <c r="I978" s="287">
        <v>0.0</v>
      </c>
      <c r="J978" s="233">
        <v>48453.854360437865</v>
      </c>
    </row>
    <row r="979">
      <c r="A979" s="184">
        <v>42748.0</v>
      </c>
      <c r="B979" s="279">
        <v>0.08471472638788094</v>
      </c>
      <c r="C979" s="279">
        <v>0.015404101648508731</v>
      </c>
      <c r="D979" s="279">
        <v>0.10022901448756054</v>
      </c>
      <c r="E979" s="282">
        <v>5.126882631184703E-4</v>
      </c>
      <c r="F979" s="287">
        <v>26.258081566820692</v>
      </c>
      <c r="G979" s="235">
        <v>0.0</v>
      </c>
      <c r="H979" s="235">
        <v>5603.327112205117</v>
      </c>
      <c r="I979" s="287">
        <v>0.0</v>
      </c>
      <c r="J979" s="233">
        <v>48427.596278871046</v>
      </c>
    </row>
    <row r="980">
      <c r="A980" s="184">
        <v>42747.0</v>
      </c>
      <c r="B980" s="279">
        <v>0.08444967357375598</v>
      </c>
      <c r="C980" s="279">
        <v>0.015441519141168881</v>
      </c>
      <c r="D980" s="279">
        <v>0.10000164681563621</v>
      </c>
      <c r="E980" s="282">
        <v>5.129512472024629E-4</v>
      </c>
      <c r="F980" s="287">
        <v>26.258081566820692</v>
      </c>
      <c r="G980" s="235">
        <v>0.0</v>
      </c>
      <c r="H980" s="235">
        <v>5577.069030638297</v>
      </c>
      <c r="I980" s="287">
        <v>0.0</v>
      </c>
      <c r="J980" s="233">
        <v>48401.33819730423</v>
      </c>
    </row>
    <row r="981">
      <c r="A981" s="184">
        <v>42746.0</v>
      </c>
      <c r="B981" s="279">
        <v>0.08418320385492103</v>
      </c>
      <c r="C981" s="279">
        <v>0.015479095666678235</v>
      </c>
      <c r="D981" s="279">
        <v>0.09977302240942251</v>
      </c>
      <c r="E981" s="282">
        <v>5.132145012209466E-4</v>
      </c>
      <c r="F981" s="287">
        <v>26.258081566820692</v>
      </c>
      <c r="G981" s="235">
        <v>0.0</v>
      </c>
      <c r="H981" s="235">
        <v>5550.810949071476</v>
      </c>
      <c r="I981" s="287">
        <v>0.0</v>
      </c>
      <c r="J981" s="233">
        <v>48375.08011573741</v>
      </c>
    </row>
    <row r="982">
      <c r="A982" s="184">
        <v>42745.0</v>
      </c>
      <c r="B982" s="279">
        <v>0.0839153078961319</v>
      </c>
      <c r="C982" s="279">
        <v>0.01551683218880005</v>
      </c>
      <c r="D982" s="279">
        <v>0.09954313290433231</v>
      </c>
      <c r="E982" s="282">
        <v>5.134780255897376E-4</v>
      </c>
      <c r="F982" s="287">
        <v>26.258081566820692</v>
      </c>
      <c r="G982" s="235">
        <v>0.0</v>
      </c>
      <c r="H982" s="235">
        <v>5524.552867504655</v>
      </c>
      <c r="I982" s="287">
        <v>0.0</v>
      </c>
      <c r="J982" s="233">
        <v>48348.82203417059</v>
      </c>
    </row>
    <row r="983">
      <c r="A983" s="184">
        <v>42744.0</v>
      </c>
      <c r="B983" s="279">
        <v>0.08364597628374518</v>
      </c>
      <c r="C983" s="279">
        <v>0.015554729678577132</v>
      </c>
      <c r="D983" s="279">
        <v>0.09931196986471096</v>
      </c>
      <c r="E983" s="282">
        <v>5.137418207255066E-4</v>
      </c>
      <c r="F983" s="287">
        <v>26.258081566820692</v>
      </c>
      <c r="G983" s="235">
        <v>0.0</v>
      </c>
      <c r="H983" s="235">
        <v>5498.294785937835</v>
      </c>
      <c r="I983" s="287">
        <v>0.0</v>
      </c>
      <c r="J983" s="233">
        <v>48322.56395260377</v>
      </c>
    </row>
    <row r="984">
      <c r="A984" s="184">
        <v>42741.0</v>
      </c>
      <c r="B984" s="279">
        <v>0.08375590819855894</v>
      </c>
      <c r="C984" s="279">
        <v>0.015663989064685812</v>
      </c>
      <c r="D984" s="279">
        <v>0.0995319427044915</v>
      </c>
      <c r="E984" s="282">
        <v>5.140058870457811E-4</v>
      </c>
      <c r="F984" s="287">
        <v>26.258081566820692</v>
      </c>
      <c r="G984" s="235">
        <v>0.0</v>
      </c>
      <c r="H984" s="235">
        <v>5472.036704371014</v>
      </c>
      <c r="I984" s="287">
        <v>0.0</v>
      </c>
      <c r="J984" s="233">
        <v>48296.30587103695</v>
      </c>
    </row>
    <row r="985">
      <c r="A985" s="184">
        <v>42740.0</v>
      </c>
      <c r="B985" s="279">
        <v>0.08348330199673691</v>
      </c>
      <c r="C985" s="279">
        <v>0.015702549292012574</v>
      </c>
      <c r="D985" s="279">
        <v>0.09929817255358546</v>
      </c>
      <c r="E985" s="282">
        <v>5.142702249689475E-4</v>
      </c>
      <c r="F985" s="287">
        <v>26.258081566820692</v>
      </c>
      <c r="G985" s="235">
        <v>0.0</v>
      </c>
      <c r="H985" s="235">
        <v>5445.778622804193</v>
      </c>
      <c r="I985" s="287">
        <v>0.0</v>
      </c>
      <c r="J985" s="233">
        <v>48270.04778947013</v>
      </c>
    </row>
    <row r="986">
      <c r="A986" s="184">
        <v>42739.0</v>
      </c>
      <c r="B986" s="279">
        <v>0.08320922298583285</v>
      </c>
      <c r="C986" s="279">
        <v>0.015741275746166773</v>
      </c>
      <c r="D986" s="279">
        <v>0.09906309700945515</v>
      </c>
      <c r="E986" s="282">
        <v>5.145348349142532E-4</v>
      </c>
      <c r="F986" s="287">
        <v>26.258081566820692</v>
      </c>
      <c r="G986" s="235">
        <v>0.0</v>
      </c>
      <c r="H986" s="235">
        <v>5419.5205412373725</v>
      </c>
      <c r="I986" s="287">
        <v>0.0</v>
      </c>
      <c r="J986" s="233">
        <v>48243.789707903314</v>
      </c>
    </row>
    <row r="987">
      <c r="A987" s="184">
        <v>42738.0</v>
      </c>
      <c r="B987" s="279">
        <v>0.08293036298879639</v>
      </c>
      <c r="C987" s="279">
        <v>0.015780169448388375</v>
      </c>
      <c r="D987" s="279">
        <v>0.09882670726248381</v>
      </c>
      <c r="E987" s="282">
        <v>5.148015340203317E-4</v>
      </c>
      <c r="F987" s="287">
        <v>26.258081566820692</v>
      </c>
      <c r="G987" s="235">
        <v>0.0</v>
      </c>
      <c r="H987" s="235">
        <v>5393.262459670552</v>
      </c>
      <c r="I987" s="287">
        <v>0.0</v>
      </c>
      <c r="J987" s="233">
        <v>48217.531626336495</v>
      </c>
    </row>
    <row r="988">
      <c r="A988" s="184">
        <v>42737.0</v>
      </c>
      <c r="B988" s="279">
        <v>0.08274735225318686</v>
      </c>
      <c r="C988" s="279">
        <v>0.015725179771361418</v>
      </c>
      <c r="D988" s="279">
        <v>0.09858899442715376</v>
      </c>
      <c r="E988" s="282">
        <v>5.15014967359701E-4</v>
      </c>
      <c r="F988" s="287">
        <v>26.258081566820692</v>
      </c>
      <c r="G988" s="235">
        <v>0.0</v>
      </c>
      <c r="H988" s="235">
        <v>5367.004378103731</v>
      </c>
      <c r="I988" s="287">
        <v>0.0</v>
      </c>
      <c r="J988" s="233">
        <v>48191.273544769676</v>
      </c>
    </row>
    <row r="989">
      <c r="A989" s="184">
        <v>42734.0</v>
      </c>
      <c r="B989" s="279">
        <v>0.08715750732808723</v>
      </c>
      <c r="C989" s="279">
        <v>0.011531529494017088</v>
      </c>
      <c r="D989" s="279">
        <v>0.09880632981755132</v>
      </c>
      <c r="E989" s="282">
        <v>5.129376470865484E-4</v>
      </c>
      <c r="F989" s="287">
        <v>26.258081566820692</v>
      </c>
      <c r="G989" s="235">
        <v>0.0</v>
      </c>
      <c r="H989" s="235">
        <v>5340.74629653691</v>
      </c>
      <c r="I989" s="287">
        <v>0.0</v>
      </c>
      <c r="J989" s="233">
        <v>48165.01546320286</v>
      </c>
    </row>
    <row r="990">
      <c r="A990" s="184">
        <v>42733.0</v>
      </c>
      <c r="B990" s="279">
        <v>0.08688799673229124</v>
      </c>
      <c r="C990" s="279">
        <v>0.011560304701696136</v>
      </c>
      <c r="D990" s="279">
        <v>0.09856588711656708</v>
      </c>
      <c r="E990" s="282">
        <v>5.132008871420818E-4</v>
      </c>
      <c r="F990" s="287">
        <v>26.258081566820692</v>
      </c>
      <c r="G990" s="235">
        <v>0.0</v>
      </c>
      <c r="H990" s="235">
        <v>5314.48821497009</v>
      </c>
      <c r="I990" s="287">
        <v>0.0</v>
      </c>
      <c r="J990" s="233">
        <v>48138.75738163604</v>
      </c>
    </row>
    <row r="991">
      <c r="A991" s="184">
        <v>42732.0</v>
      </c>
      <c r="B991" s="279">
        <v>0.08879721797741745</v>
      </c>
      <c r="C991" s="279">
        <v>0.009408990021081544</v>
      </c>
      <c r="D991" s="279">
        <v>0.09832408764820487</v>
      </c>
      <c r="E991" s="282">
        <v>5.12289735614592E-4</v>
      </c>
      <c r="F991" s="287">
        <v>26.258081566820692</v>
      </c>
      <c r="G991" s="235">
        <v>0.0</v>
      </c>
      <c r="H991" s="235">
        <v>5288.230133403269</v>
      </c>
      <c r="I991" s="287">
        <v>0.0</v>
      </c>
      <c r="J991" s="233">
        <v>48112.49930006922</v>
      </c>
    </row>
    <row r="992">
      <c r="A992" s="184">
        <v>42731.0</v>
      </c>
      <c r="B992" s="279">
        <v>0.08853019034880538</v>
      </c>
      <c r="C992" s="279">
        <v>0.009432556872807484</v>
      </c>
      <c r="D992" s="279">
        <v>0.09808092212641199</v>
      </c>
      <c r="E992" s="282">
        <v>5.125523109024329E-4</v>
      </c>
      <c r="F992" s="287">
        <v>26.258081566820692</v>
      </c>
      <c r="G992" s="235">
        <v>0.0</v>
      </c>
      <c r="H992" s="235">
        <v>5261.972051836448</v>
      </c>
      <c r="I992" s="287">
        <v>0.0</v>
      </c>
      <c r="J992" s="233">
        <v>48086.2412185024</v>
      </c>
    </row>
    <row r="993">
      <c r="A993" s="184">
        <v>42727.0</v>
      </c>
      <c r="B993" s="279">
        <v>0.0888861755954198</v>
      </c>
      <c r="C993" s="279">
        <v>0.00952313443735567</v>
      </c>
      <c r="D993" s="279">
        <v>0.09852861973010346</v>
      </c>
      <c r="E993" s="282">
        <v>5.128151554954478E-4</v>
      </c>
      <c r="F993" s="287">
        <v>26.258081566820692</v>
      </c>
      <c r="G993" s="235">
        <v>0.0</v>
      </c>
      <c r="H993" s="235">
        <v>5235.713970269628</v>
      </c>
      <c r="I993" s="287">
        <v>0.0</v>
      </c>
      <c r="J993" s="233">
        <v>48059.98313693558</v>
      </c>
    </row>
    <row r="994">
      <c r="A994" s="184">
        <v>42726.0</v>
      </c>
      <c r="B994" s="279">
        <v>0.08861573900274114</v>
      </c>
      <c r="C994" s="279">
        <v>0.009547235611532322</v>
      </c>
      <c r="D994" s="279">
        <v>0.09828258626090347</v>
      </c>
      <c r="E994" s="282">
        <v>5.130782698081609E-4</v>
      </c>
      <c r="F994" s="287">
        <v>26.258081566820692</v>
      </c>
      <c r="G994" s="235">
        <v>0.0</v>
      </c>
      <c r="H994" s="235">
        <v>5209.455888702807</v>
      </c>
      <c r="I994" s="287">
        <v>0.0</v>
      </c>
      <c r="J994" s="233">
        <v>48033.72505536876</v>
      </c>
    </row>
    <row r="995">
      <c r="A995" s="184">
        <v>42725.0</v>
      </c>
      <c r="B995" s="279">
        <v>0.08834378920799862</v>
      </c>
      <c r="C995" s="279">
        <v>0.00957144382186011</v>
      </c>
      <c r="D995" s="279">
        <v>0.09803514796678313</v>
      </c>
      <c r="E995" s="282">
        <v>5.13341654255947E-4</v>
      </c>
      <c r="F995" s="287">
        <v>26.258081566820692</v>
      </c>
      <c r="G995" s="235">
        <v>0.0</v>
      </c>
      <c r="H995" s="235">
        <v>5183.197807135986</v>
      </c>
      <c r="I995" s="287">
        <v>0.0</v>
      </c>
      <c r="J995" s="233">
        <v>48007.466973801944</v>
      </c>
    </row>
    <row r="996">
      <c r="A996" s="184">
        <v>42724.0</v>
      </c>
      <c r="B996" s="279">
        <v>0.08807031576670203</v>
      </c>
      <c r="C996" s="279">
        <v>0.00959575974574758</v>
      </c>
      <c r="D996" s="279">
        <v>0.09778629508914764</v>
      </c>
      <c r="E996" s="282">
        <v>5.136053092550345E-4</v>
      </c>
      <c r="F996" s="287">
        <v>26.258081566820692</v>
      </c>
      <c r="G996" s="235">
        <v>0.0</v>
      </c>
      <c r="H996" s="235">
        <v>5156.939725569166</v>
      </c>
      <c r="I996" s="287">
        <v>0.0</v>
      </c>
      <c r="J996" s="233">
        <v>47981.208892235125</v>
      </c>
    </row>
    <row r="997">
      <c r="A997" s="184">
        <v>42723.0</v>
      </c>
      <c r="B997" s="279">
        <v>0.08779530814237914</v>
      </c>
      <c r="C997" s="279">
        <v>0.009620184065930421</v>
      </c>
      <c r="D997" s="279">
        <v>0.09753601778281405</v>
      </c>
      <c r="E997" s="282">
        <v>5.138692352225077E-4</v>
      </c>
      <c r="F997" s="287">
        <v>26.258081566820692</v>
      </c>
      <c r="G997" s="235">
        <v>0.0</v>
      </c>
      <c r="H997" s="235">
        <v>5130.681644002345</v>
      </c>
      <c r="I997" s="287">
        <v>0.0</v>
      </c>
      <c r="J997" s="233">
        <v>47954.950810668306</v>
      </c>
    </row>
    <row r="998">
      <c r="A998" s="184">
        <v>42720.0</v>
      </c>
      <c r="B998" s="279">
        <v>0.08793850992961218</v>
      </c>
      <c r="C998" s="279">
        <v>0.00969097510826503</v>
      </c>
      <c r="D998" s="279">
        <v>0.09775089751132134</v>
      </c>
      <c r="E998" s="282">
        <v>5.141334325763081E-4</v>
      </c>
      <c r="F998" s="287">
        <v>26.258081566820692</v>
      </c>
      <c r="G998" s="235">
        <v>0.0</v>
      </c>
      <c r="H998" s="235">
        <v>5104.423562435524</v>
      </c>
      <c r="I998" s="287">
        <v>0.0</v>
      </c>
      <c r="J998" s="233">
        <v>47928.69272910149</v>
      </c>
    </row>
    <row r="999">
      <c r="A999" s="184">
        <v>42719.0</v>
      </c>
      <c r="B999" s="279">
        <v>0.08766007392404083</v>
      </c>
      <c r="C999" s="279">
        <v>0.009715847963864547</v>
      </c>
      <c r="D999" s="279">
        <v>0.0974976459785899</v>
      </c>
      <c r="E999" s="282">
        <v>5.143979017352372E-4</v>
      </c>
      <c r="F999" s="287">
        <v>26.258081566820692</v>
      </c>
      <c r="G999" s="235">
        <v>0.0</v>
      </c>
      <c r="H999" s="235">
        <v>5078.1654808687035</v>
      </c>
      <c r="I999" s="287">
        <v>0.0</v>
      </c>
      <c r="J999" s="233">
        <v>47902.43464753467</v>
      </c>
    </row>
    <row r="1000">
      <c r="A1000" s="184">
        <v>42718.0</v>
      </c>
      <c r="B1000" s="279">
        <v>0.08738006243478834</v>
      </c>
      <c r="C1000" s="279">
        <v>0.009740832935660712</v>
      </c>
      <c r="D1000" s="279">
        <v>0.09724293248301122</v>
      </c>
      <c r="E1000" s="282">
        <v>5.146626431189591E-4</v>
      </c>
      <c r="F1000" s="287">
        <v>26.258081566820692</v>
      </c>
      <c r="G1000" s="235">
        <v>0.0</v>
      </c>
      <c r="H1000" s="235">
        <v>5051.907399301883</v>
      </c>
      <c r="I1000" s="287">
        <v>0.0</v>
      </c>
      <c r="J1000" s="233">
        <v>47876.17656596785</v>
      </c>
    </row>
    <row r="1001">
      <c r="A1001" s="184">
        <v>42717.0</v>
      </c>
      <c r="B1001" s="279">
        <v>0.08709846442874444</v>
      </c>
      <c r="C1001" s="279">
        <v>0.009765930743435625</v>
      </c>
      <c r="D1001" s="279">
        <v>0.09698674672027488</v>
      </c>
      <c r="E1001" s="282">
        <v>5.149276571480019E-4</v>
      </c>
      <c r="F1001" s="287">
        <v>26.258081566820692</v>
      </c>
      <c r="G1001" s="235">
        <v>0.0</v>
      </c>
      <c r="H1001" s="235">
        <v>5025.649317735062</v>
      </c>
      <c r="I1001" s="287">
        <v>0.0</v>
      </c>
      <c r="J1001" s="233">
        <v>47849.91848440103</v>
      </c>
    </row>
    <row r="1002">
      <c r="A1002" s="184">
        <v>42716.0</v>
      </c>
      <c r="B1002" s="279">
        <v>0.08681526877422387</v>
      </c>
      <c r="C1002" s="279">
        <v>0.009791142112702711</v>
      </c>
      <c r="D1002" s="279">
        <v>0.09672907829329855</v>
      </c>
      <c r="E1002" s="282">
        <v>5.151929442437605E-4</v>
      </c>
      <c r="F1002" s="287">
        <v>26.258081566820692</v>
      </c>
      <c r="G1002" s="235">
        <v>0.0</v>
      </c>
      <c r="H1002" s="235">
        <v>4999.391236168241</v>
      </c>
      <c r="I1002" s="287">
        <v>0.0</v>
      </c>
      <c r="J1002" s="233">
        <v>47823.66040283421</v>
      </c>
    </row>
    <row r="1003">
      <c r="A1003" s="184">
        <v>42713.0</v>
      </c>
      <c r="B1003" s="279">
        <v>0.08695256406547185</v>
      </c>
      <c r="C1003" s="279">
        <v>0.009864352983413089</v>
      </c>
      <c r="D1003" s="279">
        <v>0.09694050167078958</v>
      </c>
      <c r="E1003" s="282">
        <v>5.154585048284987E-4</v>
      </c>
      <c r="F1003" s="287">
        <v>26.258081566820692</v>
      </c>
      <c r="G1003" s="235">
        <v>0.0</v>
      </c>
      <c r="H1003" s="235">
        <v>4973.133154601421</v>
      </c>
      <c r="I1003" s="287">
        <v>0.0</v>
      </c>
      <c r="J1003" s="233">
        <v>47797.40232126739</v>
      </c>
    </row>
    <row r="1004">
      <c r="A1004" s="184">
        <v>42712.0</v>
      </c>
      <c r="B1004" s="279">
        <v>0.08675508495755807</v>
      </c>
      <c r="C1004" s="279">
        <v>0.009800720939191898</v>
      </c>
      <c r="D1004" s="279">
        <v>0.0966797122753782</v>
      </c>
      <c r="E1004" s="282">
        <v>5.156780533431597E-4</v>
      </c>
      <c r="F1004" s="287">
        <v>26.258081566820692</v>
      </c>
      <c r="G1004" s="235">
        <v>0.0</v>
      </c>
      <c r="H1004" s="235">
        <v>4946.8750730346</v>
      </c>
      <c r="I1004" s="287">
        <v>0.0</v>
      </c>
      <c r="J1004" s="233">
        <v>47771.144239700574</v>
      </c>
    </row>
    <row r="1005">
      <c r="A1005" s="184">
        <v>42711.0</v>
      </c>
      <c r="B1005" s="279">
        <v>0.08646688316979421</v>
      </c>
      <c r="C1005" s="279">
        <v>0.009826287648361904</v>
      </c>
      <c r="D1005" s="279">
        <v>0.09641740042589844</v>
      </c>
      <c r="E1005" s="282">
        <v>5.159441143997072E-4</v>
      </c>
      <c r="F1005" s="287">
        <v>26.258081566820692</v>
      </c>
      <c r="G1005" s="235">
        <v>0.0</v>
      </c>
      <c r="H1005" s="235">
        <v>4920.616991467779</v>
      </c>
      <c r="I1005" s="287">
        <v>0.0</v>
      </c>
      <c r="J1005" s="233">
        <v>47744.886158133755</v>
      </c>
    </row>
    <row r="1006">
      <c r="A1006" s="184">
        <v>42710.0</v>
      </c>
      <c r="B1006" s="279">
        <v>0.08617702933402312</v>
      </c>
      <c r="C1006" s="279">
        <v>0.009851971578978122</v>
      </c>
      <c r="D1006" s="279">
        <v>0.09615355523183891</v>
      </c>
      <c r="E1006" s="282">
        <v>5.162104501432503E-4</v>
      </c>
      <c r="F1006" s="287">
        <v>26.258081566820692</v>
      </c>
      <c r="G1006" s="235">
        <v>0.0</v>
      </c>
      <c r="H1006" s="235">
        <v>4894.358909900959</v>
      </c>
      <c r="I1006" s="287">
        <v>0.0</v>
      </c>
      <c r="J1006" s="233">
        <v>47718.628076566936</v>
      </c>
    </row>
    <row r="1007">
      <c r="A1007" s="184">
        <v>42709.0</v>
      </c>
      <c r="B1007" s="279">
        <v>0.08588551168583236</v>
      </c>
      <c r="C1007" s="279">
        <v>0.009877773495765003</v>
      </c>
      <c r="D1007" s="279">
        <v>0.09588816570317978</v>
      </c>
      <c r="E1007" s="282">
        <v>5.164770609993975E-4</v>
      </c>
      <c r="F1007" s="287">
        <v>26.258081566820692</v>
      </c>
      <c r="G1007" s="235">
        <v>0.0</v>
      </c>
      <c r="H1007" s="235">
        <v>4868.100828334138</v>
      </c>
      <c r="I1007" s="287">
        <v>0.0</v>
      </c>
      <c r="J1007" s="233">
        <v>47692.36999500012</v>
      </c>
    </row>
    <row r="1008">
      <c r="A1008" s="184">
        <v>42706.0</v>
      </c>
      <c r="B1008" s="279">
        <v>0.0860170941274298</v>
      </c>
      <c r="C1008" s="279">
        <v>0.009952844016612023</v>
      </c>
      <c r="D1008" s="279">
        <v>0.09609576775053724</v>
      </c>
      <c r="E1008" s="282">
        <v>5.16743947394637E-4</v>
      </c>
      <c r="F1008" s="287">
        <v>26.258081566820692</v>
      </c>
      <c r="G1008" s="235">
        <v>0.0</v>
      </c>
      <c r="H1008" s="235">
        <v>4841.842746767317</v>
      </c>
      <c r="I1008" s="287">
        <v>0.0</v>
      </c>
      <c r="J1008" s="233">
        <v>47666.1119134333</v>
      </c>
    </row>
    <row r="1009">
      <c r="A1009" s="184">
        <v>42705.0</v>
      </c>
      <c r="B1009" s="279">
        <v>0.08572180271913539</v>
      </c>
      <c r="C1009" s="279">
        <v>0.009979136041219012</v>
      </c>
      <c r="D1009" s="279">
        <v>0.09582710076582088</v>
      </c>
      <c r="E1009" s="282">
        <v>5.170111097563394E-4</v>
      </c>
      <c r="F1009" s="287">
        <v>26.258081566820692</v>
      </c>
      <c r="G1009" s="235">
        <v>0.0</v>
      </c>
      <c r="H1009" s="235">
        <v>4815.584665200497</v>
      </c>
      <c r="I1009" s="287">
        <v>0.0</v>
      </c>
      <c r="J1009" s="233">
        <v>47639.85383186648</v>
      </c>
    </row>
    <row r="1010">
      <c r="A1010" s="184">
        <v>42704.0</v>
      </c>
      <c r="B1010" s="279">
        <v>0.08542480103492645</v>
      </c>
      <c r="C1010" s="279">
        <v>0.010005550239429504</v>
      </c>
      <c r="D1010" s="279">
        <v>0.0955568472233828</v>
      </c>
      <c r="E1010" s="282">
        <v>5.172785485127591E-4</v>
      </c>
      <c r="F1010" s="287">
        <v>26.258081566820692</v>
      </c>
      <c r="G1010" s="235">
        <v>0.0</v>
      </c>
      <c r="H1010" s="235">
        <v>4789.326583633676</v>
      </c>
      <c r="I1010" s="287">
        <v>0.0</v>
      </c>
      <c r="J1010" s="233">
        <v>47613.59575029966</v>
      </c>
    </row>
    <row r="1011">
      <c r="A1011" s="184">
        <v>42703.0</v>
      </c>
      <c r="B1011" s="279">
        <v>0.08512607673605337</v>
      </c>
      <c r="C1011" s="279">
        <v>0.010032087418833747</v>
      </c>
      <c r="D1011" s="279">
        <v>0.09528499560227367</v>
      </c>
      <c r="E1011" s="282">
        <v>5.175462640930374E-4</v>
      </c>
      <c r="F1011" s="287">
        <v>26.258081566820692</v>
      </c>
      <c r="G1011" s="235">
        <v>0.0</v>
      </c>
      <c r="H1011" s="235">
        <v>4763.068502066855</v>
      </c>
      <c r="I1011" s="287">
        <v>0.0</v>
      </c>
      <c r="J1011" s="233">
        <v>47587.33766873284</v>
      </c>
    </row>
    <row r="1012">
      <c r="A1012" s="184">
        <v>42702.0</v>
      </c>
      <c r="B1012" s="279">
        <v>0.08482561737023236</v>
      </c>
      <c r="C1012" s="279">
        <v>0.010058748393616462</v>
      </c>
      <c r="D1012" s="279">
        <v>0.09501153427468781</v>
      </c>
      <c r="E1012" s="282">
        <v>5.178142569272041E-4</v>
      </c>
      <c r="F1012" s="287">
        <v>26.258081566820692</v>
      </c>
      <c r="G1012" s="235">
        <v>0.0</v>
      </c>
      <c r="H1012" s="235">
        <v>4736.8104205000345</v>
      </c>
      <c r="I1012" s="287">
        <v>0.0</v>
      </c>
      <c r="J1012" s="233">
        <v>47561.07958716602</v>
      </c>
    </row>
    <row r="1013">
      <c r="A1013" s="184">
        <v>42699.0</v>
      </c>
      <c r="B1013" s="279">
        <v>0.08495029628135943</v>
      </c>
      <c r="C1013" s="279">
        <v>0.010136471024940308</v>
      </c>
      <c r="D1013" s="279">
        <v>0.0952149184315652</v>
      </c>
      <c r="E1013" s="282">
        <v>5.180825274461807E-4</v>
      </c>
      <c r="F1013" s="287">
        <v>26.258081566820692</v>
      </c>
      <c r="G1013" s="235">
        <v>0.0</v>
      </c>
      <c r="H1013" s="235">
        <v>4710.552338933214</v>
      </c>
      <c r="I1013" s="287">
        <v>0.0</v>
      </c>
      <c r="J1013" s="233">
        <v>47534.821505599204</v>
      </c>
    </row>
    <row r="1014">
      <c r="A1014" s="184">
        <v>42698.0</v>
      </c>
      <c r="B1014" s="279">
        <v>0.08464587061320422</v>
      </c>
      <c r="C1014" s="279">
        <v>0.010163647272634383</v>
      </c>
      <c r="D1014" s="279">
        <v>0.09493801258893445</v>
      </c>
      <c r="E1014" s="282">
        <v>5.183510760817816E-4</v>
      </c>
      <c r="F1014" s="287">
        <v>26.258081566820692</v>
      </c>
      <c r="G1014" s="235">
        <v>0.0</v>
      </c>
      <c r="H1014" s="235">
        <v>4684.294257366393</v>
      </c>
      <c r="I1014" s="287">
        <v>0.0</v>
      </c>
      <c r="J1014" s="233">
        <v>47508.563424032385</v>
      </c>
    </row>
    <row r="1015">
      <c r="A1015" s="184">
        <v>42697.0</v>
      </c>
      <c r="B1015" s="279">
        <v>0.084339660500241</v>
      </c>
      <c r="C1015" s="279">
        <v>0.010190951785665106</v>
      </c>
      <c r="D1015" s="279">
        <v>0.09465945218843684</v>
      </c>
      <c r="E1015" s="282">
        <v>5.186199032667173E-4</v>
      </c>
      <c r="F1015" s="287">
        <v>26.258081566820692</v>
      </c>
      <c r="G1015" s="235">
        <v>0.0</v>
      </c>
      <c r="H1015" s="235">
        <v>4658.036175799572</v>
      </c>
      <c r="I1015" s="287">
        <v>0.0</v>
      </c>
      <c r="J1015" s="233">
        <v>47482.305342465566</v>
      </c>
    </row>
    <row r="1016">
      <c r="A1016" s="184">
        <v>42696.0</v>
      </c>
      <c r="B1016" s="279">
        <v>0.08403165287120873</v>
      </c>
      <c r="C1016" s="279">
        <v>0.010218385424620518</v>
      </c>
      <c r="D1016" s="279">
        <v>0.09437922503027946</v>
      </c>
      <c r="E1016" s="282">
        <v>5.188890094345965E-4</v>
      </c>
      <c r="F1016" s="287">
        <v>26.258081566820692</v>
      </c>
      <c r="G1016" s="235">
        <v>0.0</v>
      </c>
      <c r="H1016" s="235">
        <v>4631.778094232752</v>
      </c>
      <c r="I1016" s="287">
        <v>0.0</v>
      </c>
      <c r="J1016" s="233">
        <v>47456.04726089875</v>
      </c>
    </row>
    <row r="1017">
      <c r="A1017" s="184">
        <v>42695.0</v>
      </c>
      <c r="B1017" s="279">
        <v>0.08372183453275642</v>
      </c>
      <c r="C1017" s="279">
        <v>0.0102459490572058</v>
      </c>
      <c r="D1017" s="279">
        <v>0.0940973187997865</v>
      </c>
      <c r="E1017" s="282">
        <v>5.191583950199279E-4</v>
      </c>
      <c r="F1017" s="287">
        <v>26.258081566820692</v>
      </c>
      <c r="G1017" s="235">
        <v>0.0</v>
      </c>
      <c r="H1017" s="235">
        <v>4605.520012665931</v>
      </c>
      <c r="I1017" s="287">
        <v>0.0</v>
      </c>
      <c r="J1017" s="233">
        <v>47429.78917933193</v>
      </c>
    </row>
    <row r="1018">
      <c r="A1018" s="184">
        <v>42692.0</v>
      </c>
      <c r="B1018" s="279">
        <v>0.08383903634375518</v>
      </c>
      <c r="C1018" s="279">
        <v>0.010326464347808205</v>
      </c>
      <c r="D1018" s="279">
        <v>0.09429605382222683</v>
      </c>
      <c r="E1018" s="282">
        <v>5.194280604581237E-4</v>
      </c>
      <c r="F1018" s="287">
        <v>26.258081566820692</v>
      </c>
      <c r="G1018" s="235">
        <v>0.0</v>
      </c>
      <c r="H1018" s="235">
        <v>4579.26193109911</v>
      </c>
      <c r="I1018" s="287">
        <v>0.0</v>
      </c>
      <c r="J1018" s="233">
        <v>47403.53109776511</v>
      </c>
    </row>
    <row r="1019">
      <c r="A1019" s="184">
        <v>42691.0</v>
      </c>
      <c r="B1019" s="174">
        <v>0.08352504590430507</v>
      </c>
      <c r="C1019" s="174">
        <v>0.010354570169890756</v>
      </c>
      <c r="D1019" s="174">
        <v>0.09401052453490634</v>
      </c>
      <c r="E1019" s="282">
        <v>1.4397269949573127E-4</v>
      </c>
      <c r="F1019" s="287">
        <v>7.274314778504049</v>
      </c>
      <c r="G1019" s="235">
        <v>0.0</v>
      </c>
      <c r="H1019" s="235">
        <v>4553.00384953229</v>
      </c>
      <c r="I1019" s="287">
        <v>0.0</v>
      </c>
      <c r="J1019" s="233">
        <v>47377.27301619829</v>
      </c>
    </row>
    <row r="1020">
      <c r="A1020" s="184">
        <v>42690.0</v>
      </c>
      <c r="B1020" s="279">
        <v>0.08360223852348589</v>
      </c>
      <c r="C1020" s="279">
        <v>0.01038281076233029</v>
      </c>
      <c r="D1020" s="279">
        <v>0.0941163147804185</v>
      </c>
      <c r="E1020" s="282">
        <v>1.4399343061862908E-4</v>
      </c>
      <c r="F1020" s="287">
        <v>7.27431477850314</v>
      </c>
      <c r="G1020" s="235">
        <v>0.0</v>
      </c>
      <c r="H1020" s="235">
        <v>4545.729534753786</v>
      </c>
      <c r="I1020" s="287">
        <v>0.0</v>
      </c>
      <c r="J1020" s="233">
        <v>47369.99870141978</v>
      </c>
    </row>
    <row r="1021">
      <c r="A1021" s="184">
        <v>42689.0</v>
      </c>
      <c r="B1021" s="174">
        <v>0.08367983010499477</v>
      </c>
      <c r="C1021" s="174">
        <v>0.010411202927291972</v>
      </c>
      <c r="D1021" s="174">
        <v>0.09422265747704832</v>
      </c>
      <c r="E1021" s="282">
        <v>1.658363735619333E-4</v>
      </c>
      <c r="F1021" s="287">
        <v>8.376578514285939</v>
      </c>
      <c r="G1021" s="235">
        <v>0.0</v>
      </c>
      <c r="H1021" s="235">
        <v>4538.4552199752825</v>
      </c>
      <c r="I1021" s="287">
        <v>0.0</v>
      </c>
      <c r="J1021" s="233">
        <v>47362.72438664128</v>
      </c>
    </row>
    <row r="1022">
      <c r="A1022" s="184">
        <v>42688.0</v>
      </c>
      <c r="B1022" s="279">
        <v>0.08373487720292981</v>
      </c>
      <c r="C1022" s="279">
        <v>0.010439747903549236</v>
      </c>
      <c r="D1022" s="279">
        <v>0.09430661043332858</v>
      </c>
      <c r="E1022" s="282">
        <v>1.658638798260525E-4</v>
      </c>
      <c r="F1022" s="287">
        <v>8.376578514275025</v>
      </c>
      <c r="G1022" s="235">
        <v>0.0</v>
      </c>
      <c r="H1022" s="235">
        <v>4530.078641460997</v>
      </c>
      <c r="I1022" s="287">
        <v>0.0</v>
      </c>
      <c r="J1022" s="233">
        <v>47354.347808127</v>
      </c>
    </row>
    <row r="1023">
      <c r="A1023" s="184">
        <v>42685.0</v>
      </c>
      <c r="B1023" s="279">
        <v>0.08422888847256449</v>
      </c>
      <c r="C1023" s="279">
        <v>0.01052325462702124</v>
      </c>
      <c r="D1023" s="279">
        <v>0.09488518416669771</v>
      </c>
      <c r="E1023" s="282">
        <v>1.6589139521649285E-4</v>
      </c>
      <c r="F1023" s="287">
        <v>8.376578514275025</v>
      </c>
      <c r="G1023" s="235">
        <v>0.0</v>
      </c>
      <c r="H1023" s="235">
        <v>4521.7020629467215</v>
      </c>
      <c r="I1023" s="287">
        <v>0.0</v>
      </c>
      <c r="J1023" s="233">
        <v>47345.971229612725</v>
      </c>
    </row>
    <row r="1024">
      <c r="A1024" s="184">
        <v>42684.0</v>
      </c>
      <c r="B1024" s="279">
        <v>0.08428592520566595</v>
      </c>
      <c r="C1024" s="279">
        <v>0.010552402421220606</v>
      </c>
      <c r="D1024" s="279">
        <v>0.09497173719725933</v>
      </c>
      <c r="E1024" s="282">
        <v>1.6591891973758092E-4</v>
      </c>
      <c r="F1024" s="287">
        <v>8.376578514275025</v>
      </c>
      <c r="G1024" s="235">
        <v>0.0</v>
      </c>
      <c r="H1024" s="235">
        <v>4513.3254844324465</v>
      </c>
      <c r="I1024" s="287">
        <v>0.0</v>
      </c>
      <c r="J1024" s="233">
        <v>47337.59465109845</v>
      </c>
    </row>
    <row r="1025">
      <c r="A1025" s="184">
        <v>42683.0</v>
      </c>
      <c r="B1025" s="279">
        <v>0.08434324765076937</v>
      </c>
      <c r="C1025" s="279">
        <v>0.010581708227944176</v>
      </c>
      <c r="D1025" s="279">
        <v>0.09505873595003277</v>
      </c>
      <c r="E1025" s="282">
        <v>1.6594645339386232E-4</v>
      </c>
      <c r="F1025" s="287">
        <v>8.376578514275025</v>
      </c>
      <c r="G1025" s="235">
        <v>0.0</v>
      </c>
      <c r="H1025" s="235">
        <v>4504.9489059181715</v>
      </c>
      <c r="I1025" s="287">
        <v>0.0</v>
      </c>
      <c r="J1025" s="233">
        <v>47329.218072584175</v>
      </c>
    </row>
    <row r="1026">
      <c r="A1026" s="184">
        <v>42682.0</v>
      </c>
      <c r="B1026" s="279">
        <v>0.08449755813276945</v>
      </c>
      <c r="C1026" s="279">
        <v>0.010514473455753104</v>
      </c>
      <c r="D1026" s="279">
        <v>0.09514618417492547</v>
      </c>
      <c r="E1026" s="282">
        <v>1.6595896856609095E-4</v>
      </c>
      <c r="F1026" s="287">
        <v>8.376578514275025</v>
      </c>
      <c r="G1026" s="235">
        <v>0.0</v>
      </c>
      <c r="H1026" s="235">
        <v>4496.572327403896</v>
      </c>
      <c r="I1026" s="287">
        <v>0.0</v>
      </c>
      <c r="J1026" s="233">
        <v>47320.8414940699</v>
      </c>
    </row>
    <row r="1027">
      <c r="A1027" s="184">
        <v>42681.0</v>
      </c>
      <c r="B1027" s="279">
        <v>0.08455572930706845</v>
      </c>
      <c r="C1027" s="279">
        <v>0.010543829225701013</v>
      </c>
      <c r="D1027" s="279">
        <v>0.09523408566502872</v>
      </c>
      <c r="E1027" s="282">
        <v>1.6598651551700202E-4</v>
      </c>
      <c r="F1027" s="287">
        <v>8.376578514275025</v>
      </c>
      <c r="G1027" s="235">
        <v>0.0</v>
      </c>
      <c r="H1027" s="235">
        <v>4488.195748889621</v>
      </c>
      <c r="I1027" s="287">
        <v>0.0</v>
      </c>
      <c r="J1027" s="233">
        <v>47312.464915555625</v>
      </c>
    </row>
    <row r="1028">
      <c r="A1028" s="184">
        <v>42678.0</v>
      </c>
      <c r="B1028" s="279">
        <v>0.0850654707585859</v>
      </c>
      <c r="C1028" s="279">
        <v>0.010629736655796458</v>
      </c>
      <c r="D1028" s="279">
        <v>0.09583083062662956</v>
      </c>
      <c r="E1028" s="282">
        <v>1.6601407161427606E-4</v>
      </c>
      <c r="F1028" s="287">
        <v>8.376578514275025</v>
      </c>
      <c r="G1028" s="235">
        <v>0.0</v>
      </c>
      <c r="H1028" s="235">
        <v>4479.819170375346</v>
      </c>
      <c r="I1028" s="287">
        <v>0.0</v>
      </c>
      <c r="J1028" s="233">
        <v>47304.08833704135</v>
      </c>
    </row>
    <row r="1029">
      <c r="A1029" s="184">
        <v>42677.0</v>
      </c>
      <c r="B1029" s="279">
        <v>0.08512575446390448</v>
      </c>
      <c r="C1029" s="279">
        <v>0.010659724212332213</v>
      </c>
      <c r="D1029" s="279">
        <v>0.09592148449521033</v>
      </c>
      <c r="E1029" s="282">
        <v>1.660416368624691E-4</v>
      </c>
      <c r="F1029" s="287">
        <v>8.376578514275025</v>
      </c>
      <c r="G1029" s="235">
        <v>0.0</v>
      </c>
      <c r="H1029" s="235">
        <v>4471.442591861071</v>
      </c>
      <c r="I1029" s="287">
        <v>0.0</v>
      </c>
      <c r="J1029" s="233">
        <v>47295.711758527075</v>
      </c>
    </row>
    <row r="1030">
      <c r="A1030" s="184">
        <v>42676.0</v>
      </c>
      <c r="B1030" s="279">
        <v>0.08518634759314538</v>
      </c>
      <c r="C1030" s="279">
        <v>0.01068987746901226</v>
      </c>
      <c r="D1030" s="279">
        <v>0.09601261560200094</v>
      </c>
      <c r="E1030" s="282">
        <v>1.660692112661402E-4</v>
      </c>
      <c r="F1030" s="287">
        <v>8.376578514275025</v>
      </c>
      <c r="G1030" s="235">
        <v>0.0</v>
      </c>
      <c r="H1030" s="235">
        <v>4463.066013346796</v>
      </c>
      <c r="I1030" s="287">
        <v>0.0</v>
      </c>
      <c r="J1030" s="233">
        <v>47287.3351800128</v>
      </c>
    </row>
    <row r="1031">
      <c r="A1031" s="184">
        <v>42675.0</v>
      </c>
      <c r="B1031" s="279">
        <v>0.08524725283035414</v>
      </c>
      <c r="C1031" s="279">
        <v>0.010720197817159936</v>
      </c>
      <c r="D1031" s="279">
        <v>0.09610422804012199</v>
      </c>
      <c r="E1031" s="282">
        <v>1.6609679482985142E-4</v>
      </c>
      <c r="F1031" s="287">
        <v>8.376578514275025</v>
      </c>
      <c r="G1031" s="235">
        <v>0.0</v>
      </c>
      <c r="H1031" s="235">
        <v>4454.689434832521</v>
      </c>
      <c r="I1031" s="287">
        <v>0.0</v>
      </c>
      <c r="J1031" s="233">
        <v>47278.958601498525</v>
      </c>
    </row>
    <row r="1032">
      <c r="A1032" s="184">
        <v>42674.0</v>
      </c>
      <c r="B1032" s="279">
        <v>0.08530847289157464</v>
      </c>
      <c r="C1032" s="279">
        <v>0.010750686663953853</v>
      </c>
      <c r="D1032" s="279">
        <v>0.0961963259507499</v>
      </c>
      <c r="E1032" s="282">
        <v>1.661243875581679E-4</v>
      </c>
      <c r="F1032" s="287">
        <v>8.376578514275025</v>
      </c>
      <c r="G1032" s="235">
        <v>0.0</v>
      </c>
      <c r="H1032" s="235">
        <v>4446.312856318246</v>
      </c>
      <c r="I1032" s="287">
        <v>0.0</v>
      </c>
      <c r="J1032" s="233">
        <v>47270.58202298425</v>
      </c>
    </row>
    <row r="1033">
      <c r="A1033" s="184">
        <v>42671.0</v>
      </c>
      <c r="B1033" s="279">
        <v>0.08583397797384827</v>
      </c>
      <c r="C1033" s="279">
        <v>0.01083993970131458</v>
      </c>
      <c r="D1033" s="279">
        <v>0.09681222283647242</v>
      </c>
      <c r="E1033" s="282">
        <v>1.661519894556578E-4</v>
      </c>
      <c r="F1033" s="287">
        <v>8.376578514275025</v>
      </c>
      <c r="G1033" s="235">
        <v>0.0</v>
      </c>
      <c r="H1033" s="235">
        <v>4437.936277803971</v>
      </c>
      <c r="I1033" s="287">
        <v>0.0</v>
      </c>
      <c r="J1033" s="233">
        <v>47262.205444469975</v>
      </c>
    </row>
    <row r="1034">
      <c r="A1034" s="184">
        <v>42670.0</v>
      </c>
      <c r="B1034" s="279">
        <v>0.08589743727891859</v>
      </c>
      <c r="C1034" s="279">
        <v>0.010871097500533191</v>
      </c>
      <c r="D1034" s="279">
        <v>0.09690723747843828</v>
      </c>
      <c r="E1034" s="282">
        <v>1.661796005268923E-4</v>
      </c>
      <c r="F1034" s="287">
        <v>8.376578514275025</v>
      </c>
      <c r="G1034" s="235">
        <v>0.0</v>
      </c>
      <c r="H1034" s="235">
        <v>4429.559699289696</v>
      </c>
      <c r="I1034" s="287">
        <v>0.0</v>
      </c>
      <c r="J1034" s="233">
        <v>47253.8288659557</v>
      </c>
    </row>
    <row r="1035">
      <c r="A1035" s="184">
        <v>42669.0</v>
      </c>
      <c r="B1035" s="279">
        <v>0.0859612302694086</v>
      </c>
      <c r="C1035" s="279">
        <v>0.010902430852295367</v>
      </c>
      <c r="D1035" s="279">
        <v>0.09700276359821591</v>
      </c>
      <c r="E1035" s="282">
        <v>1.662072207764456E-4</v>
      </c>
      <c r="F1035" s="287">
        <v>8.376578514275025</v>
      </c>
      <c r="G1035" s="235">
        <v>0.0</v>
      </c>
      <c r="H1035" s="235">
        <v>4421.183120775421</v>
      </c>
      <c r="I1035" s="287">
        <v>0.0</v>
      </c>
      <c r="J1035" s="233">
        <v>47245.452287441425</v>
      </c>
    </row>
    <row r="1036">
      <c r="A1036" s="184">
        <v>42668.0</v>
      </c>
      <c r="B1036" s="279">
        <v>0.08602535989641814</v>
      </c>
      <c r="C1036" s="279">
        <v>0.010933941260101563</v>
      </c>
      <c r="D1036" s="279">
        <v>0.09709880566958856</v>
      </c>
      <c r="E1036" s="282">
        <v>1.66234850208895E-4</v>
      </c>
      <c r="F1036" s="287">
        <v>8.376578514275025</v>
      </c>
      <c r="G1036" s="235">
        <v>0.0</v>
      </c>
      <c r="H1036" s="235">
        <v>4412.806542261146</v>
      </c>
      <c r="I1036" s="287">
        <v>0.0</v>
      </c>
      <c r="J1036" s="233">
        <v>47237.07570892715</v>
      </c>
    </row>
    <row r="1037">
      <c r="A1037" s="184">
        <v>42667.0</v>
      </c>
      <c r="B1037" s="279">
        <v>0.08608982914691345</v>
      </c>
      <c r="C1037" s="279">
        <v>0.010965630244933884</v>
      </c>
      <c r="D1037" s="279">
        <v>0.09719536821991052</v>
      </c>
      <c r="E1037" s="282">
        <v>1.6626248882882082E-4</v>
      </c>
      <c r="F1037" s="287">
        <v>8.376578514275025</v>
      </c>
      <c r="G1037" s="235">
        <v>0.0</v>
      </c>
      <c r="H1037" s="235">
        <v>4404.429963746871</v>
      </c>
      <c r="I1037" s="287">
        <v>0.0</v>
      </c>
      <c r="J1037" s="233">
        <v>47228.699130412875</v>
      </c>
    </row>
    <row r="1038">
      <c r="A1038" s="184">
        <v>42664.0</v>
      </c>
      <c r="B1038" s="279">
        <v>0.08663195207500596</v>
      </c>
      <c r="C1038" s="279">
        <v>0.011058427319729393</v>
      </c>
      <c r="D1038" s="279">
        <v>0.09783147220672762</v>
      </c>
      <c r="E1038" s="282">
        <v>1.6629013664080643E-4</v>
      </c>
      <c r="F1038" s="287">
        <v>8.376578514275025</v>
      </c>
      <c r="G1038" s="235">
        <v>0.0</v>
      </c>
      <c r="H1038" s="235">
        <v>4396.053385232596</v>
      </c>
      <c r="I1038" s="287">
        <v>0.0</v>
      </c>
      <c r="J1038" s="233">
        <v>47220.3225518986</v>
      </c>
    </row>
    <row r="1039">
      <c r="A1039" s="184">
        <v>42663.0</v>
      </c>
      <c r="B1039" s="279">
        <v>0.08669879753032701</v>
      </c>
      <c r="C1039" s="279">
        <v>0.011090825397014321</v>
      </c>
      <c r="D1039" s="279">
        <v>0.09793112910153197</v>
      </c>
      <c r="E1039" s="282">
        <v>1.663177936494382E-4</v>
      </c>
      <c r="F1039" s="287">
        <v>8.376578514275025</v>
      </c>
      <c r="G1039" s="235">
        <v>0.0</v>
      </c>
      <c r="H1039" s="235">
        <v>4387.676806718321</v>
      </c>
      <c r="I1039" s="287">
        <v>0.0</v>
      </c>
      <c r="J1039" s="233">
        <v>47211.945973384325</v>
      </c>
    </row>
    <row r="1040">
      <c r="A1040" s="184">
        <v>42662.0</v>
      </c>
      <c r="B1040" s="279">
        <v>0.08676600313718294</v>
      </c>
      <c r="C1040" s="279">
        <v>0.011123409677504286</v>
      </c>
      <c r="D1040" s="279">
        <v>0.09803133472681494</v>
      </c>
      <c r="E1040" s="282">
        <v>1.663454598593056E-4</v>
      </c>
      <c r="F1040" s="287">
        <v>8.376578514275025</v>
      </c>
      <c r="G1040" s="235">
        <v>0.0</v>
      </c>
      <c r="H1040" s="235">
        <v>4379.300228204046</v>
      </c>
      <c r="I1040" s="287">
        <v>0.0</v>
      </c>
      <c r="J1040" s="233">
        <v>47203.56939487005</v>
      </c>
    </row>
    <row r="1041">
      <c r="A1041" s="184">
        <v>42661.0</v>
      </c>
      <c r="B1041" s="279">
        <v>0.08683357214434187</v>
      </c>
      <c r="C1041" s="279">
        <v>0.0111561817884262</v>
      </c>
      <c r="D1041" s="279">
        <v>0.09813209397933309</v>
      </c>
      <c r="E1041" s="282">
        <v>1.6637313527500112E-4</v>
      </c>
      <c r="F1041" s="287">
        <v>8.376578514275025</v>
      </c>
      <c r="G1041" s="235">
        <v>0.0</v>
      </c>
      <c r="H1041" s="235">
        <v>4370.923649689771</v>
      </c>
      <c r="I1041" s="287">
        <v>0.0</v>
      </c>
      <c r="J1041" s="233">
        <v>47195.192816355775</v>
      </c>
    </row>
    <row r="1042">
      <c r="A1042" s="184">
        <v>42660.0</v>
      </c>
      <c r="B1042" s="279">
        <v>0.08690150784084158</v>
      </c>
      <c r="C1042" s="279">
        <v>0.01118914337631951</v>
      </c>
      <c r="D1042" s="279">
        <v>0.09823341181567162</v>
      </c>
      <c r="E1042" s="282">
        <v>1.6640081990112042E-4</v>
      </c>
      <c r="F1042" s="287">
        <v>8.376578514275025</v>
      </c>
      <c r="G1042" s="235">
        <v>0.0</v>
      </c>
      <c r="H1042" s="235">
        <v>4362.547071175496</v>
      </c>
      <c r="I1042" s="287">
        <v>0.0</v>
      </c>
      <c r="J1042" s="233">
        <v>47186.8162378415</v>
      </c>
    </row>
    <row r="1043">
      <c r="A1043" s="184">
        <v>42657.0</v>
      </c>
      <c r="B1043" s="279">
        <v>0.08746116843548493</v>
      </c>
      <c r="C1043" s="279">
        <v>0.011285698910195645</v>
      </c>
      <c r="D1043" s="279">
        <v>0.09889085988173467</v>
      </c>
      <c r="E1043" s="282">
        <v>1.6642851374226204E-4</v>
      </c>
      <c r="F1043" s="287">
        <v>8.376578514275025</v>
      </c>
      <c r="G1043" s="235">
        <v>0.0</v>
      </c>
      <c r="H1043" s="235">
        <v>4354.170492661221</v>
      </c>
      <c r="I1043" s="287">
        <v>0.0</v>
      </c>
      <c r="J1043" s="233">
        <v>47178.439659327225</v>
      </c>
    </row>
    <row r="1044">
      <c r="A1044" s="184">
        <v>42656.0</v>
      </c>
      <c r="B1044" s="279">
        <v>0.08753162859901055</v>
      </c>
      <c r="C1044" s="279">
        <v>0.011319413008397694</v>
      </c>
      <c r="D1044" s="279">
        <v>0.09899546429657377</v>
      </c>
      <c r="E1044" s="282">
        <v>1.6645621680302773E-4</v>
      </c>
      <c r="F1044" s="287">
        <v>8.376578514275025</v>
      </c>
      <c r="G1044" s="235">
        <v>0.0</v>
      </c>
      <c r="H1044" s="235">
        <v>4345.793914146946</v>
      </c>
      <c r="I1044" s="287">
        <v>0.0</v>
      </c>
      <c r="J1044" s="233">
        <v>47170.06308081295</v>
      </c>
    </row>
    <row r="1045">
      <c r="A1045" s="184">
        <v>42655.0</v>
      </c>
      <c r="B1045" s="279">
        <v>0.0876024778276918</v>
      </c>
      <c r="C1045" s="279">
        <v>0.011353324841304928</v>
      </c>
      <c r="D1045" s="279">
        <v>0.09910065803414107</v>
      </c>
      <c r="E1045" s="282">
        <v>1.6648392908802224E-4</v>
      </c>
      <c r="F1045" s="287">
        <v>8.376578514275025</v>
      </c>
      <c r="G1045" s="235">
        <v>0.0</v>
      </c>
      <c r="H1045" s="235">
        <v>4337.417335632671</v>
      </c>
      <c r="I1045" s="287">
        <v>0.0</v>
      </c>
      <c r="J1045" s="233">
        <v>47161.686502298675</v>
      </c>
    </row>
    <row r="1046">
      <c r="A1046" s="184">
        <v>42654.0</v>
      </c>
      <c r="B1046" s="279">
        <v>0.08767371970270438</v>
      </c>
      <c r="C1046" s="279">
        <v>0.011387436172877607</v>
      </c>
      <c r="D1046" s="279">
        <v>0.09920644646207862</v>
      </c>
      <c r="E1046" s="282">
        <v>1.6651165060185336E-4</v>
      </c>
      <c r="F1046" s="287">
        <v>8.376578514275025</v>
      </c>
      <c r="G1046" s="235">
        <v>0.0</v>
      </c>
      <c r="H1046" s="235">
        <v>4329.040757118396</v>
      </c>
      <c r="I1046" s="287">
        <v>0.0</v>
      </c>
      <c r="J1046" s="233">
        <v>47153.3099237844</v>
      </c>
    </row>
    <row r="1047">
      <c r="A1047" s="184">
        <v>42653.0</v>
      </c>
      <c r="B1047" s="279">
        <v>0.08774535785051768</v>
      </c>
      <c r="C1047" s="279">
        <v>0.011421748788454525</v>
      </c>
      <c r="D1047" s="279">
        <v>0.0993128350149735</v>
      </c>
      <c r="E1047" s="282">
        <v>1.66539381349132E-4</v>
      </c>
      <c r="F1047" s="287">
        <v>8.376578514275025</v>
      </c>
      <c r="G1047" s="235">
        <v>0.0</v>
      </c>
      <c r="H1047" s="235">
        <v>4320.664178604121</v>
      </c>
      <c r="I1047" s="287">
        <v>0.0</v>
      </c>
      <c r="J1047" s="233">
        <v>47144.933345270125</v>
      </c>
    </row>
    <row r="1048">
      <c r="A1048" s="184">
        <v>42650.0</v>
      </c>
      <c r="B1048" s="279">
        <v>0.08831983801910338</v>
      </c>
      <c r="C1048" s="279">
        <v>0.011522294837995694</v>
      </c>
      <c r="D1048" s="279">
        <v>0.09999285414756812</v>
      </c>
      <c r="E1048" s="282">
        <v>1.665676512824768E-4</v>
      </c>
      <c r="F1048" s="287">
        <v>8.376578514275025</v>
      </c>
      <c r="G1048" s="235">
        <v>0.0</v>
      </c>
      <c r="H1048" s="235">
        <v>4312.287600089846</v>
      </c>
      <c r="I1048" s="287">
        <v>0.0</v>
      </c>
      <c r="J1048" s="233">
        <v>47136.55676675585</v>
      </c>
    </row>
    <row r="1049">
      <c r="A1049" s="184">
        <v>42649.0</v>
      </c>
      <c r="B1049" s="279">
        <v>0.08839415007698649</v>
      </c>
      <c r="C1049" s="279">
        <v>0.01155740700118161</v>
      </c>
      <c r="D1049" s="279">
        <v>0.1001027376652114</v>
      </c>
      <c r="E1049" s="282">
        <v>1.665954006870837E-4</v>
      </c>
      <c r="F1049" s="287">
        <v>8.376578514275025</v>
      </c>
      <c r="G1049" s="235">
        <v>0.0</v>
      </c>
      <c r="H1049" s="235">
        <v>4303.911021575571</v>
      </c>
      <c r="I1049" s="287">
        <v>0.0</v>
      </c>
      <c r="J1049" s="233">
        <v>47128.180188241575</v>
      </c>
    </row>
    <row r="1050">
      <c r="A1050" s="184">
        <v>42648.0</v>
      </c>
      <c r="B1050" s="279">
        <v>0.08846888276839743</v>
      </c>
      <c r="C1050" s="279">
        <v>0.011592729404458994</v>
      </c>
      <c r="D1050" s="279">
        <v>0.10021325480659087</v>
      </c>
      <c r="E1050" s="282">
        <v>1.6662315933907754E-4</v>
      </c>
      <c r="F1050" s="287">
        <v>8.376578514275025</v>
      </c>
      <c r="G1050" s="235">
        <v>0.0</v>
      </c>
      <c r="H1050" s="235">
        <v>4295.534443061296</v>
      </c>
      <c r="I1050" s="287">
        <v>0.0</v>
      </c>
      <c r="J1050" s="233">
        <v>47119.8036097273</v>
      </c>
    </row>
    <row r="1051">
      <c r="A1051" s="184">
        <v>42647.0</v>
      </c>
      <c r="B1051" s="279">
        <v>0.08854404004581609</v>
      </c>
      <c r="C1051" s="279">
        <v>0.011628263963205127</v>
      </c>
      <c r="D1051" s="279">
        <v>0.10032441146461847</v>
      </c>
      <c r="E1051" s="282">
        <v>1.6665092724308156E-4</v>
      </c>
      <c r="F1051" s="287">
        <v>8.376578514275025</v>
      </c>
      <c r="G1051" s="235">
        <v>0.0</v>
      </c>
      <c r="H1051" s="235">
        <v>4287.157864547021</v>
      </c>
      <c r="I1051" s="287">
        <v>0.0</v>
      </c>
      <c r="J1051" s="233">
        <v>47111.427031213025</v>
      </c>
    </row>
    <row r="1052">
      <c r="A1052" s="184">
        <v>42646.0</v>
      </c>
      <c r="B1052" s="279">
        <v>0.08861962591275414</v>
      </c>
      <c r="C1052" s="279">
        <v>0.01166401261651295</v>
      </c>
      <c r="D1052" s="279">
        <v>0.10043621360726379</v>
      </c>
      <c r="E1052" s="282">
        <v>1.666787044037221E-4</v>
      </c>
      <c r="F1052" s="287">
        <v>8.376578514275025</v>
      </c>
      <c r="G1052" s="235">
        <v>0.0</v>
      </c>
      <c r="H1052" s="235">
        <v>4278.781286032746</v>
      </c>
      <c r="I1052" s="287">
        <v>0.0</v>
      </c>
      <c r="J1052" s="233">
        <v>47103.05045269875</v>
      </c>
    </row>
    <row r="1053">
      <c r="A1053" s="184">
        <v>42643.0</v>
      </c>
      <c r="B1053" s="279">
        <v>0.08932159297029207</v>
      </c>
      <c r="C1053" s="279">
        <v>0.01166459126277572</v>
      </c>
      <c r="D1053" s="279">
        <v>0.10114013002748423</v>
      </c>
      <c r="E1053" s="282">
        <v>1.666918941820234E-4</v>
      </c>
      <c r="F1053" s="287">
        <v>8.376578514275025</v>
      </c>
      <c r="G1053" s="235">
        <v>0.0</v>
      </c>
      <c r="H1053" s="235">
        <v>4270.404707518471</v>
      </c>
      <c r="I1053" s="287">
        <v>0.0</v>
      </c>
      <c r="J1053" s="233">
        <v>47094.673874184475</v>
      </c>
    </row>
    <row r="1054">
      <c r="A1054" s="184">
        <v>42642.0</v>
      </c>
      <c r="B1054" s="279">
        <v>0.08940036242818733</v>
      </c>
      <c r="C1054" s="279">
        <v>0.011700866429564163</v>
      </c>
      <c r="D1054" s="279">
        <v>0.1012556534009936</v>
      </c>
      <c r="E1054" s="282">
        <v>1.6671968500211386E-4</v>
      </c>
      <c r="F1054" s="287">
        <v>8.376578514275025</v>
      </c>
      <c r="G1054" s="235">
        <v>0.0</v>
      </c>
      <c r="H1054" s="235">
        <v>4262.028129004196</v>
      </c>
      <c r="I1054" s="287">
        <v>0.0</v>
      </c>
      <c r="J1054" s="233">
        <v>47086.2972956702</v>
      </c>
    </row>
    <row r="1055">
      <c r="A1055" s="184">
        <v>42641.0</v>
      </c>
      <c r="B1055" s="279">
        <v>0.08947958916762867</v>
      </c>
      <c r="C1055" s="279">
        <v>0.011737363438914275</v>
      </c>
      <c r="D1055" s="279">
        <v>0.10137185882642263</v>
      </c>
      <c r="E1055" s="282">
        <v>1.66747485090303E-4</v>
      </c>
      <c r="F1055" s="287">
        <v>8.376578514275025</v>
      </c>
      <c r="G1055" s="235">
        <v>0.0</v>
      </c>
      <c r="H1055" s="235">
        <v>4253.651550489921</v>
      </c>
      <c r="I1055" s="287">
        <v>0.0</v>
      </c>
      <c r="J1055" s="233">
        <v>47077.920717155925</v>
      </c>
    </row>
    <row r="1056">
      <c r="A1056" s="184">
        <v>42640.0</v>
      </c>
      <c r="B1056" s="279">
        <v>0.09096162024628</v>
      </c>
      <c r="C1056" s="279">
        <v>0.0103717416859754</v>
      </c>
      <c r="D1056" s="279">
        <v>0.10148875278383739</v>
      </c>
      <c r="E1056" s="282">
        <v>1.6658074414933687E-4</v>
      </c>
      <c r="F1056" s="287">
        <v>8.376578514275025</v>
      </c>
      <c r="G1056" s="235">
        <v>0.0</v>
      </c>
      <c r="H1056" s="235">
        <v>4245.274971975646</v>
      </c>
      <c r="I1056" s="287">
        <v>0.0</v>
      </c>
      <c r="J1056" s="233">
        <v>47069.54413864165</v>
      </c>
    </row>
    <row r="1057">
      <c r="A1057" s="184">
        <v>42639.0</v>
      </c>
      <c r="B1057" s="279">
        <v>0.09104617530230841</v>
      </c>
      <c r="C1057" s="279">
        <v>0.01040428806937804</v>
      </c>
      <c r="D1057" s="279">
        <v>0.1016063418376331</v>
      </c>
      <c r="E1057" s="282">
        <v>1.6660849791690145E-4</v>
      </c>
      <c r="F1057" s="287">
        <v>8.376578514275025</v>
      </c>
      <c r="G1057" s="235">
        <v>0.0</v>
      </c>
      <c r="H1057" s="235">
        <v>4236.898393461371</v>
      </c>
      <c r="I1057" s="287">
        <v>0.0</v>
      </c>
      <c r="J1057" s="233">
        <v>47061.167560127375</v>
      </c>
    </row>
    <row r="1058">
      <c r="A1058" s="184">
        <v>42636.0</v>
      </c>
      <c r="B1058" s="279">
        <v>0.09167856285115976</v>
      </c>
      <c r="C1058" s="279">
        <v>0.010499720296749828</v>
      </c>
      <c r="D1058" s="279">
        <v>0.1023355913925307</v>
      </c>
      <c r="E1058" s="282">
        <v>1.6663626093403418E-4</v>
      </c>
      <c r="F1058" s="287">
        <v>8.376578514275025</v>
      </c>
      <c r="G1058" s="235">
        <v>0.0</v>
      </c>
      <c r="H1058" s="235">
        <v>4228.521814947096</v>
      </c>
      <c r="I1058" s="287">
        <v>0.0</v>
      </c>
      <c r="J1058" s="233">
        <v>47052.7909816131</v>
      </c>
    </row>
    <row r="1059">
      <c r="A1059" s="184">
        <v>42635.0</v>
      </c>
      <c r="B1059" s="279">
        <v>0.09176628229827845</v>
      </c>
      <c r="C1059" s="279">
        <v>0.010533057767616377</v>
      </c>
      <c r="D1059" s="279">
        <v>0.10245714777706114</v>
      </c>
      <c r="E1059" s="282">
        <v>1.666640332053597E-4</v>
      </c>
      <c r="F1059" s="287">
        <v>8.376578514275025</v>
      </c>
      <c r="G1059" s="235">
        <v>0.0</v>
      </c>
      <c r="H1059" s="235">
        <v>4220.145236432821</v>
      </c>
      <c r="I1059" s="287">
        <v>0.0</v>
      </c>
      <c r="J1059" s="233">
        <v>47044.414403098825</v>
      </c>
    </row>
    <row r="1060">
      <c r="A1060" s="184">
        <v>42634.0</v>
      </c>
      <c r="B1060" s="279">
        <v>0.09185452538030463</v>
      </c>
      <c r="C1060" s="279">
        <v>0.010566603565099576</v>
      </c>
      <c r="D1060" s="279">
        <v>0.10257943924429355</v>
      </c>
      <c r="E1060" s="282">
        <v>1.6669181473550585E-4</v>
      </c>
      <c r="F1060" s="287">
        <v>8.376578514275025</v>
      </c>
      <c r="G1060" s="235">
        <v>0.0</v>
      </c>
      <c r="H1060" s="235">
        <v>4211.768657918546</v>
      </c>
      <c r="I1060" s="287">
        <v>0.0</v>
      </c>
      <c r="J1060" s="233">
        <v>47036.03782458455</v>
      </c>
    </row>
    <row r="1061">
      <c r="A1061" s="184">
        <v>42633.0</v>
      </c>
      <c r="B1061" s="279">
        <v>0.09272149580685739</v>
      </c>
      <c r="C1061" s="279">
        <v>0.009822161087702924</v>
      </c>
      <c r="D1061" s="279">
        <v>0.10270247293204804</v>
      </c>
      <c r="E1061" s="282">
        <v>1.6661398680819372E-4</v>
      </c>
      <c r="F1061" s="287">
        <v>8.376578514275025</v>
      </c>
      <c r="G1061" s="235">
        <v>0.0</v>
      </c>
      <c r="H1061" s="235">
        <v>4203.392079404271</v>
      </c>
      <c r="I1061" s="287">
        <v>0.0</v>
      </c>
      <c r="J1061" s="233">
        <v>47027.661246070275</v>
      </c>
    </row>
    <row r="1062">
      <c r="A1062" s="184">
        <v>42632.0</v>
      </c>
      <c r="B1062" s="279">
        <v>0.09281329531122533</v>
      </c>
      <c r="C1062" s="279">
        <v>0.00985363580482977</v>
      </c>
      <c r="D1062" s="279">
        <v>0.10282625607309837</v>
      </c>
      <c r="E1062" s="282">
        <v>1.6664175165480562E-4</v>
      </c>
      <c r="F1062" s="287">
        <v>8.376578514275025</v>
      </c>
      <c r="G1062" s="235">
        <v>0.0</v>
      </c>
      <c r="H1062" s="235">
        <v>4195.015500889996</v>
      </c>
      <c r="I1062" s="287">
        <v>0.0</v>
      </c>
      <c r="J1062" s="233">
        <v>47019.284667556</v>
      </c>
    </row>
    <row r="1063">
      <c r="A1063" s="184">
        <v>42629.0</v>
      </c>
      <c r="B1063" s="279">
        <v>0.09408475098706967</v>
      </c>
      <c r="C1063" s="279">
        <v>0.009336827301510519</v>
      </c>
      <c r="D1063" s="279">
        <v>0.10358239597224074</v>
      </c>
      <c r="E1063" s="282">
        <v>1.6658791994456627E-4</v>
      </c>
      <c r="F1063" s="287">
        <v>8.376578514275025</v>
      </c>
      <c r="G1063" s="235">
        <v>0.0</v>
      </c>
      <c r="H1063" s="235">
        <v>4186.6389223757205</v>
      </c>
      <c r="I1063" s="287">
        <v>0.0</v>
      </c>
      <c r="J1063" s="233">
        <v>47010.908089041724</v>
      </c>
    </row>
    <row r="1064">
      <c r="A1064" s="184">
        <v>42628.0</v>
      </c>
      <c r="B1064" s="279">
        <v>0.094181966956847</v>
      </c>
      <c r="C1064" s="279">
        <v>0.009367108390559384</v>
      </c>
      <c r="D1064" s="279">
        <v>0.10371041459309677</v>
      </c>
      <c r="E1064" s="282">
        <v>1.6661567610347852E-4</v>
      </c>
      <c r="F1064" s="287">
        <v>8.376578514275025</v>
      </c>
      <c r="G1064" s="235">
        <v>0.0</v>
      </c>
      <c r="H1064" s="235">
        <v>4178.2623438614455</v>
      </c>
      <c r="I1064" s="287">
        <v>0.0</v>
      </c>
      <c r="J1064" s="233">
        <v>47002.53151052745</v>
      </c>
    </row>
    <row r="1065">
      <c r="A1065" s="184">
        <v>42627.0</v>
      </c>
      <c r="B1065" s="279">
        <v>0.09427977940257473</v>
      </c>
      <c r="C1065" s="279">
        <v>0.009397582929375462</v>
      </c>
      <c r="D1065" s="279">
        <v>0.10383922647165272</v>
      </c>
      <c r="E1065" s="282">
        <v>1.6664344151315444E-4</v>
      </c>
      <c r="F1065" s="287">
        <v>8.376578514275025</v>
      </c>
      <c r="G1065" s="235">
        <v>0.0</v>
      </c>
      <c r="H1065" s="235">
        <v>4169.8857653471705</v>
      </c>
      <c r="I1065" s="287">
        <v>0.0</v>
      </c>
      <c r="J1065" s="233">
        <v>46994.154932013174</v>
      </c>
    </row>
    <row r="1066">
      <c r="A1066" s="184">
        <v>42626.0</v>
      </c>
      <c r="B1066" s="279">
        <v>0.09437819428574416</v>
      </c>
      <c r="C1066" s="279">
        <v>0.00942825280037991</v>
      </c>
      <c r="D1066" s="279">
        <v>0.10396883948424393</v>
      </c>
      <c r="E1066" s="282">
        <v>1.6667121617821955E-4</v>
      </c>
      <c r="F1066" s="287">
        <v>8.376578514275025</v>
      </c>
      <c r="G1066" s="235">
        <v>0.0</v>
      </c>
      <c r="H1066" s="235">
        <v>4161.5091868328955</v>
      </c>
      <c r="I1066" s="287">
        <v>0.0</v>
      </c>
      <c r="J1066" s="233">
        <v>46985.7783534989</v>
      </c>
    </row>
    <row r="1067">
      <c r="A1067" s="184">
        <v>42625.0</v>
      </c>
      <c r="B1067" s="279">
        <v>0.094477217649655</v>
      </c>
      <c r="C1067" s="279">
        <v>0.009459119910918141</v>
      </c>
      <c r="D1067" s="279">
        <v>0.10409926161436764</v>
      </c>
      <c r="E1067" s="282">
        <v>1.6669900010330248E-4</v>
      </c>
      <c r="F1067" s="287">
        <v>8.376578514275025</v>
      </c>
      <c r="G1067" s="235">
        <v>0.0</v>
      </c>
      <c r="H1067" s="235">
        <v>4153.13260831862</v>
      </c>
      <c r="I1067" s="287">
        <v>0.0</v>
      </c>
      <c r="J1067" s="233">
        <v>46977.401774984624</v>
      </c>
    </row>
    <row r="1068">
      <c r="A1068" s="184">
        <v>42622.0</v>
      </c>
      <c r="B1068" s="279">
        <v>0.09528444663236305</v>
      </c>
      <c r="C1068" s="279">
        <v>0.009435053124595588</v>
      </c>
      <c r="D1068" s="279">
        <v>0.10488398371916828</v>
      </c>
      <c r="E1068" s="282">
        <v>1.6671176176341897E-4</v>
      </c>
      <c r="F1068" s="287">
        <v>8.376578514275025</v>
      </c>
      <c r="G1068" s="235">
        <v>0.0</v>
      </c>
      <c r="H1068" s="235">
        <v>4144.756029804345</v>
      </c>
      <c r="I1068" s="287">
        <v>0.0</v>
      </c>
      <c r="J1068" s="233">
        <v>46969.02519647035</v>
      </c>
    </row>
    <row r="1069">
      <c r="A1069" s="184">
        <v>42621.0</v>
      </c>
      <c r="B1069" s="279">
        <v>0.09538758056427893</v>
      </c>
      <c r="C1069" s="279">
        <v>0.009466324359309766</v>
      </c>
      <c r="D1069" s="279">
        <v>0.10501893404611923</v>
      </c>
      <c r="E1069" s="282">
        <v>1.6673955920909036E-4</v>
      </c>
      <c r="F1069" s="287">
        <v>8.376578514275025</v>
      </c>
      <c r="G1069" s="235">
        <v>0.0</v>
      </c>
      <c r="H1069" s="235">
        <v>4136.37945129007</v>
      </c>
      <c r="I1069" s="287">
        <v>0.0</v>
      </c>
      <c r="J1069" s="233">
        <v>46960.648617956074</v>
      </c>
    </row>
    <row r="1070">
      <c r="A1070" s="184">
        <v>42620.0</v>
      </c>
      <c r="B1070" s="279">
        <v>0.09549136379414813</v>
      </c>
      <c r="C1070" s="279">
        <v>0.009497799929467511</v>
      </c>
      <c r="D1070" s="279">
        <v>0.10515474156870493</v>
      </c>
      <c r="E1070" s="282">
        <v>1.6676736592617536E-4</v>
      </c>
      <c r="F1070" s="287">
        <v>8.376578514275025</v>
      </c>
      <c r="G1070" s="235">
        <v>0.0</v>
      </c>
      <c r="H1070" s="235">
        <v>4128.002872775795</v>
      </c>
      <c r="I1070" s="287">
        <v>0.0</v>
      </c>
      <c r="J1070" s="233">
        <v>46952.2720394418</v>
      </c>
    </row>
    <row r="1071">
      <c r="A1071" s="184">
        <v>42619.0</v>
      </c>
      <c r="B1071" s="279">
        <v>0.0955958029594722</v>
      </c>
      <c r="C1071" s="279">
        <v>0.009529481869594486</v>
      </c>
      <c r="D1071" s="279">
        <v>0.10529141499442103</v>
      </c>
      <c r="E1071" s="282">
        <v>1.667951819193132E-4</v>
      </c>
      <c r="F1071" s="287">
        <v>8.376578514275025</v>
      </c>
      <c r="G1071" s="235">
        <v>0.0</v>
      </c>
      <c r="H1071" s="235">
        <v>4119.62629426152</v>
      </c>
      <c r="I1071" s="287">
        <v>0.0</v>
      </c>
      <c r="J1071" s="233">
        <v>46943.895460927524</v>
      </c>
    </row>
    <row r="1072">
      <c r="A1072" s="184">
        <v>42618.0</v>
      </c>
      <c r="B1072" s="279">
        <v>0.09570090479092702</v>
      </c>
      <c r="C1072" s="279">
        <v>0.009561372241791993</v>
      </c>
      <c r="D1072" s="279">
        <v>0.10542896315199392</v>
      </c>
      <c r="E1072" s="282">
        <v>1.6682300719314633E-4</v>
      </c>
      <c r="F1072" s="287">
        <v>8.376578514275025</v>
      </c>
      <c r="G1072" s="235">
        <v>0.0</v>
      </c>
      <c r="H1072" s="235">
        <v>4111.249715747245</v>
      </c>
      <c r="I1072" s="287">
        <v>0.0</v>
      </c>
      <c r="J1072" s="233">
        <v>46935.51888241325</v>
      </c>
    </row>
    <row r="1073">
      <c r="A1073" s="184">
        <v>42615.0</v>
      </c>
      <c r="B1073" s="279">
        <v>0.09642082147375725</v>
      </c>
      <c r="C1073" s="279">
        <v>0.009654969758884318</v>
      </c>
      <c r="D1073" s="279">
        <v>0.10624410906402884</v>
      </c>
      <c r="E1073" s="282">
        <v>1.668508417523292E-4</v>
      </c>
      <c r="F1073" s="287">
        <v>8.37657851427548</v>
      </c>
      <c r="G1073" s="235">
        <v>0.0</v>
      </c>
      <c r="H1073" s="235">
        <v>4102.87313723297</v>
      </c>
      <c r="I1073" s="287">
        <v>0.0</v>
      </c>
      <c r="J1073" s="233">
        <v>46927.142303898974</v>
      </c>
    </row>
    <row r="1074">
      <c r="A1074" s="184">
        <v>42614.0</v>
      </c>
      <c r="B1074" s="279">
        <v>0.09652992850596655</v>
      </c>
      <c r="C1074" s="279">
        <v>0.009687688836658576</v>
      </c>
      <c r="D1074" s="279">
        <v>0.10638650557499278</v>
      </c>
      <c r="E1074" s="282">
        <v>1.6687868560148327E-4</v>
      </c>
      <c r="F1074" s="287">
        <v>8.376578514275025</v>
      </c>
      <c r="G1074" s="235">
        <v>0.0</v>
      </c>
      <c r="H1074" s="235">
        <v>4094.496558718695</v>
      </c>
      <c r="I1074" s="287">
        <v>0.0</v>
      </c>
      <c r="J1074" s="233">
        <v>46918.7657253847</v>
      </c>
    </row>
    <row r="1075">
      <c r="A1075" s="184">
        <v>42613.0</v>
      </c>
      <c r="B1075" s="279">
        <v>0.09663974053845972</v>
      </c>
      <c r="C1075" s="279">
        <v>0.00972062670524207</v>
      </c>
      <c r="D1075" s="279">
        <v>0.10652982969129217</v>
      </c>
      <c r="E1075" s="282">
        <v>1.669065387452874E-4</v>
      </c>
      <c r="F1075" s="287">
        <v>8.376578514275025</v>
      </c>
      <c r="G1075" s="235">
        <v>0.0</v>
      </c>
      <c r="H1075" s="235">
        <v>4086.11998020442</v>
      </c>
      <c r="I1075" s="287">
        <v>0.0</v>
      </c>
      <c r="J1075" s="233">
        <v>46910.389146870424</v>
      </c>
    </row>
    <row r="1076">
      <c r="A1076" s="184">
        <v>42612.0</v>
      </c>
      <c r="B1076" s="174">
        <v>0.09675026494735402</v>
      </c>
      <c r="C1076" s="174">
        <v>0.009753785594884426</v>
      </c>
      <c r="D1076" s="174">
        <v>0.10667409105817446</v>
      </c>
      <c r="E1076" s="282">
        <v>2.449785598936305E-4</v>
      </c>
      <c r="F1076" s="287">
        <v>12.292745693245251</v>
      </c>
      <c r="G1076" s="235">
        <v>0.0</v>
      </c>
      <c r="H1076" s="235">
        <v>4077.7434016901448</v>
      </c>
      <c r="I1076" s="287">
        <v>0.0</v>
      </c>
      <c r="J1076" s="233">
        <v>46902.01256835615</v>
      </c>
    </row>
    <row r="1077">
      <c r="A1077" s="184">
        <v>42611.0</v>
      </c>
      <c r="B1077" s="279">
        <v>0.09675871134649126</v>
      </c>
      <c r="C1077" s="279">
        <v>0.009787167766796223</v>
      </c>
      <c r="D1077" s="279">
        <v>0.10671650159011242</v>
      </c>
      <c r="E1077" s="282">
        <v>2.450385890942961E-4</v>
      </c>
      <c r="F1077" s="287">
        <v>12.292745693244797</v>
      </c>
      <c r="G1077" s="235">
        <v>0.0</v>
      </c>
      <c r="H1077" s="235">
        <v>4065.4506559968995</v>
      </c>
      <c r="I1077" s="287">
        <v>0.0</v>
      </c>
      <c r="J1077" s="233">
        <v>46889.719822662904</v>
      </c>
    </row>
    <row r="1078">
      <c r="A1078" s="184">
        <v>42608.0</v>
      </c>
      <c r="B1078" s="279">
        <v>0.09740167899151395</v>
      </c>
      <c r="C1078" s="279">
        <v>0.00988517007384425</v>
      </c>
      <c r="D1078" s="279">
        <v>0.10745918004425048</v>
      </c>
      <c r="E1078" s="282">
        <v>2.4509864772112263E-4</v>
      </c>
      <c r="F1078" s="287">
        <v>12.292745693244797</v>
      </c>
      <c r="G1078" s="235">
        <v>0.0</v>
      </c>
      <c r="H1078" s="235">
        <v>4053.1579103036547</v>
      </c>
      <c r="I1078" s="287">
        <v>0.0</v>
      </c>
      <c r="J1078" s="233">
        <v>46877.42707696966</v>
      </c>
    </row>
    <row r="1079">
      <c r="A1079" s="184">
        <v>42607.0</v>
      </c>
      <c r="B1079" s="279">
        <v>0.09741223321528625</v>
      </c>
      <c r="C1079" s="279">
        <v>0.009919432126176646</v>
      </c>
      <c r="D1079" s="279">
        <v>0.10750459362044948</v>
      </c>
      <c r="E1079" s="282">
        <v>2.4515873579574317E-4</v>
      </c>
      <c r="F1079" s="287">
        <v>12.292745693244797</v>
      </c>
      <c r="G1079" s="235">
        <v>0.0</v>
      </c>
      <c r="H1079" s="235">
        <v>4040.86516461041</v>
      </c>
      <c r="I1079" s="287">
        <v>0.0</v>
      </c>
      <c r="J1079" s="233">
        <v>46865.134331276415</v>
      </c>
    </row>
    <row r="1080">
      <c r="A1080" s="184">
        <v>42606.0</v>
      </c>
      <c r="B1080" s="279">
        <v>0.09742278398126564</v>
      </c>
      <c r="C1080" s="279">
        <v>0.009953924655048388</v>
      </c>
      <c r="D1080" s="279">
        <v>0.10755023823335792</v>
      </c>
      <c r="E1080" s="282">
        <v>2.4521885333982123E-4</v>
      </c>
      <c r="F1080" s="287">
        <v>12.292745693244797</v>
      </c>
      <c r="G1080" s="235">
        <v>0.0</v>
      </c>
      <c r="H1080" s="235">
        <v>4028.572418917165</v>
      </c>
      <c r="I1080" s="287">
        <v>0.0</v>
      </c>
      <c r="J1080" s="233">
        <v>46852.84158558317</v>
      </c>
    </row>
    <row r="1081">
      <c r="A1081" s="184">
        <v>42605.0</v>
      </c>
      <c r="B1081" s="279">
        <v>0.0974333313788778</v>
      </c>
      <c r="C1081" s="279">
        <v>0.009988650006644745</v>
      </c>
      <c r="D1081" s="279">
        <v>0.10759611635948846</v>
      </c>
      <c r="E1081" s="282">
        <v>2.4527900037504157E-4</v>
      </c>
      <c r="F1081" s="287">
        <v>12.292745693244797</v>
      </c>
      <c r="G1081" s="235">
        <v>0.0</v>
      </c>
      <c r="H1081" s="235">
        <v>4016.2796732239203</v>
      </c>
      <c r="I1081" s="287">
        <v>0.0</v>
      </c>
      <c r="J1081" s="233">
        <v>46840.548839889925</v>
      </c>
    </row>
    <row r="1082">
      <c r="A1082" s="184">
        <v>42604.0</v>
      </c>
      <c r="B1082" s="279">
        <v>0.0975702291818463</v>
      </c>
      <c r="C1082" s="279">
        <v>0.009897256879298953</v>
      </c>
      <c r="D1082" s="279">
        <v>0.10764223051236198</v>
      </c>
      <c r="E1082" s="282">
        <v>2.4531616557658454E-4</v>
      </c>
      <c r="F1082" s="287">
        <v>12.292745693244797</v>
      </c>
      <c r="G1082" s="235">
        <v>0.0</v>
      </c>
      <c r="H1082" s="235">
        <v>4003.9869275306755</v>
      </c>
      <c r="I1082" s="287">
        <v>0.0</v>
      </c>
      <c r="J1082" s="233">
        <v>46828.25609419668</v>
      </c>
    </row>
    <row r="1083">
      <c r="A1083" s="184">
        <v>42601.0</v>
      </c>
      <c r="B1083" s="279">
        <v>0.09823612129739222</v>
      </c>
      <c r="C1083" s="279">
        <v>0.00999866914461163</v>
      </c>
      <c r="D1083" s="279">
        <v>0.10841132541264074</v>
      </c>
      <c r="E1083" s="282">
        <v>2.4537636036443225E-4</v>
      </c>
      <c r="F1083" s="287">
        <v>12.292745693244797</v>
      </c>
      <c r="G1083" s="235">
        <v>0.0</v>
      </c>
      <c r="H1083" s="235">
        <v>3991.6941818374307</v>
      </c>
      <c r="I1083" s="287">
        <v>0.0</v>
      </c>
      <c r="J1083" s="233">
        <v>46815.963348503436</v>
      </c>
    </row>
    <row r="1084">
      <c r="A1084" s="184">
        <v>42600.0</v>
      </c>
      <c r="B1084" s="279">
        <v>0.09824938493528476</v>
      </c>
      <c r="C1084" s="279">
        <v>0.010034120716687968</v>
      </c>
      <c r="D1084" s="279">
        <v>0.10846066655013509</v>
      </c>
      <c r="E1084" s="282">
        <v>2.454365847002863E-4</v>
      </c>
      <c r="F1084" s="287">
        <v>12.292745693244797</v>
      </c>
      <c r="G1084" s="235">
        <v>0.0</v>
      </c>
      <c r="H1084" s="235">
        <v>3979.401436144186</v>
      </c>
      <c r="I1084" s="287">
        <v>0.0</v>
      </c>
      <c r="J1084" s="233">
        <v>46803.67060281019</v>
      </c>
    </row>
    <row r="1085">
      <c r="A1085" s="184">
        <v>42599.0</v>
      </c>
      <c r="B1085" s="279">
        <v>0.09826266406270964</v>
      </c>
      <c r="C1085" s="279">
        <v>0.010069816493880312</v>
      </c>
      <c r="D1085" s="279">
        <v>0.10851027169392588</v>
      </c>
      <c r="E1085" s="282">
        <v>2.4549683860590845E-4</v>
      </c>
      <c r="F1085" s="287">
        <v>12.292745693244797</v>
      </c>
      <c r="G1085" s="235">
        <v>0.0</v>
      </c>
      <c r="H1085" s="235">
        <v>3967.108690450941</v>
      </c>
      <c r="I1085" s="287">
        <v>0.0</v>
      </c>
      <c r="J1085" s="233">
        <v>46791.377857116946</v>
      </c>
    </row>
    <row r="1086">
      <c r="A1086" s="184">
        <v>42598.0</v>
      </c>
      <c r="B1086" s="279">
        <v>0.09827595898076066</v>
      </c>
      <c r="C1086" s="279">
        <v>0.010105759022635389</v>
      </c>
      <c r="D1086" s="279">
        <v>0.10856014373651333</v>
      </c>
      <c r="E1086" s="282">
        <v>2.455571221030819E-4</v>
      </c>
      <c r="F1086" s="287">
        <v>12.292745693244797</v>
      </c>
      <c r="G1086" s="235">
        <v>0.0</v>
      </c>
      <c r="H1086" s="235">
        <v>3954.8159447576963</v>
      </c>
      <c r="I1086" s="287">
        <v>0.0</v>
      </c>
      <c r="J1086" s="233">
        <v>46779.0851114237</v>
      </c>
    </row>
    <row r="1087">
      <c r="A1087" s="184">
        <v>42597.0</v>
      </c>
      <c r="B1087" s="279">
        <v>0.09828926999810554</v>
      </c>
      <c r="C1087" s="279">
        <v>0.01014195088527553</v>
      </c>
      <c r="D1087" s="279">
        <v>0.10861028561448059</v>
      </c>
      <c r="E1087" s="282">
        <v>2.4561743521361136E-4</v>
      </c>
      <c r="F1087" s="287">
        <v>12.292745693244797</v>
      </c>
      <c r="G1087" s="235">
        <v>0.0</v>
      </c>
      <c r="H1087" s="235">
        <v>3942.5231990644515</v>
      </c>
      <c r="I1087" s="287">
        <v>0.0</v>
      </c>
      <c r="J1087" s="233">
        <v>46766.79236573046</v>
      </c>
    </row>
    <row r="1088">
      <c r="A1088" s="184">
        <v>42594.0</v>
      </c>
      <c r="B1088" s="174">
        <v>0.09897821665753227</v>
      </c>
      <c r="C1088" s="174">
        <v>0.010248349303394669</v>
      </c>
      <c r="D1088" s="174">
        <v>0.10940750924619672</v>
      </c>
      <c r="E1088" s="282">
        <v>1.963984686143678E-4</v>
      </c>
      <c r="F1088" s="287">
        <v>9.827003684553347</v>
      </c>
      <c r="G1088" s="235">
        <v>0.0</v>
      </c>
      <c r="H1088" s="235">
        <v>3930.2304533712067</v>
      </c>
      <c r="I1088" s="287">
        <v>0.0</v>
      </c>
      <c r="J1088" s="233">
        <v>46754.49962003721</v>
      </c>
    </row>
    <row r="1089">
      <c r="A1089" s="184">
        <v>42593.0</v>
      </c>
      <c r="B1089" s="279">
        <v>0.0990628716021414</v>
      </c>
      <c r="C1089" s="279">
        <v>0.01028554204284883</v>
      </c>
      <c r="D1089" s="279">
        <v>0.10953001359956993</v>
      </c>
      <c r="E1089" s="282">
        <v>1.9643704854986393E-4</v>
      </c>
      <c r="F1089" s="287">
        <v>9.827003684552437</v>
      </c>
      <c r="G1089" s="235">
        <v>0.0</v>
      </c>
      <c r="H1089" s="235">
        <v>3920.4034496866534</v>
      </c>
      <c r="I1089" s="287">
        <v>0.0</v>
      </c>
      <c r="J1089" s="233">
        <v>46744.67261635266</v>
      </c>
    </row>
    <row r="1090">
      <c r="A1090" s="184">
        <v>42592.0</v>
      </c>
      <c r="B1090" s="279">
        <v>0.09914808881030228</v>
      </c>
      <c r="C1090" s="279">
        <v>0.010323000054705067</v>
      </c>
      <c r="D1090" s="279">
        <v>0.10965335017250588</v>
      </c>
      <c r="E1090" s="282">
        <v>1.9647564364541357E-4</v>
      </c>
      <c r="F1090" s="287">
        <v>9.827003684552437</v>
      </c>
      <c r="G1090" s="235">
        <v>0.0</v>
      </c>
      <c r="H1090" s="235">
        <v>3910.576446002101</v>
      </c>
      <c r="I1090" s="287">
        <v>0.0</v>
      </c>
      <c r="J1090" s="233">
        <v>46734.84561266811</v>
      </c>
    </row>
    <row r="1091">
      <c r="A1091" s="184">
        <v>42591.0</v>
      </c>
      <c r="B1091" s="279">
        <v>0.09923387460905837</v>
      </c>
      <c r="C1091" s="279">
        <v>0.010360726217441375</v>
      </c>
      <c r="D1091" s="279">
        <v>0.10977752822134795</v>
      </c>
      <c r="E1091" s="282">
        <v>1.96514253909936E-4</v>
      </c>
      <c r="F1091" s="287">
        <v>9.827003684552437</v>
      </c>
      <c r="G1091" s="235">
        <v>0.0</v>
      </c>
      <c r="H1091" s="235">
        <v>3900.7494423175485</v>
      </c>
      <c r="I1091" s="287">
        <v>0.0</v>
      </c>
      <c r="J1091" s="233">
        <v>46725.01860898356</v>
      </c>
    </row>
    <row r="1092">
      <c r="A1092" s="184">
        <v>42590.0</v>
      </c>
      <c r="B1092" s="279">
        <v>0.09932023542347669</v>
      </c>
      <c r="C1092" s="279">
        <v>0.0103987234519769</v>
      </c>
      <c r="D1092" s="279">
        <v>0.10990255714365364</v>
      </c>
      <c r="E1092" s="282">
        <v>1.965528793523758E-4</v>
      </c>
      <c r="F1092" s="287">
        <v>9.827003684552437</v>
      </c>
      <c r="G1092" s="235">
        <v>0.0</v>
      </c>
      <c r="H1092" s="235">
        <v>3890.922438632996</v>
      </c>
      <c r="I1092" s="287">
        <v>0.0</v>
      </c>
      <c r="J1092" s="233">
        <v>46715.19160529901</v>
      </c>
    </row>
    <row r="1093">
      <c r="A1093" s="184">
        <v>42587.0</v>
      </c>
      <c r="B1093" s="279">
        <v>0.10010722832634789</v>
      </c>
      <c r="C1093" s="279">
        <v>0.010510494685307103</v>
      </c>
      <c r="D1093" s="279">
        <v>0.11080329469562754</v>
      </c>
      <c r="E1093" s="282">
        <v>1.9659151998168448E-4</v>
      </c>
      <c r="F1093" s="287">
        <v>9.827003684552437</v>
      </c>
      <c r="G1093" s="235">
        <v>0.0</v>
      </c>
      <c r="H1093" s="235">
        <v>3881.0954349484437</v>
      </c>
      <c r="I1093" s="287">
        <v>0.0</v>
      </c>
      <c r="J1093" s="233">
        <v>46705.36460161446</v>
      </c>
    </row>
    <row r="1094">
      <c r="A1094" s="184">
        <v>42586.0</v>
      </c>
      <c r="B1094" s="279">
        <v>0.100197851116367</v>
      </c>
      <c r="C1094" s="279">
        <v>0.010549575143421351</v>
      </c>
      <c r="D1094" s="279">
        <v>0.1109336879423423</v>
      </c>
      <c r="E1094" s="282">
        <v>1.9663017580682062E-4</v>
      </c>
      <c r="F1094" s="287">
        <v>9.827003684552437</v>
      </c>
      <c r="G1094" s="235">
        <v>0.0</v>
      </c>
      <c r="H1094" s="235">
        <v>3871.268431263891</v>
      </c>
      <c r="I1094" s="287">
        <v>0.0</v>
      </c>
      <c r="J1094" s="233">
        <v>46695.53759792991</v>
      </c>
    </row>
    <row r="1095">
      <c r="A1095" s="184">
        <v>42585.0</v>
      </c>
      <c r="B1095" s="279">
        <v>0.10028909495538442</v>
      </c>
      <c r="C1095" s="279">
        <v>0.010588941459414167</v>
      </c>
      <c r="D1095" s="279">
        <v>0.11106499314299685</v>
      </c>
      <c r="E1095" s="282">
        <v>1.9666884683674983E-4</v>
      </c>
      <c r="F1095" s="287">
        <v>9.827003684552437</v>
      </c>
      <c r="G1095" s="235">
        <v>0.0</v>
      </c>
      <c r="H1095" s="235">
        <v>3861.441427579339</v>
      </c>
      <c r="I1095" s="287">
        <v>0.0</v>
      </c>
      <c r="J1095" s="233">
        <v>46685.71059424536</v>
      </c>
    </row>
    <row r="1096">
      <c r="A1096" s="184">
        <v>42584.0</v>
      </c>
      <c r="B1096" s="279">
        <v>0.10038096700853909</v>
      </c>
      <c r="C1096" s="279">
        <v>0.010628596815723972</v>
      </c>
      <c r="D1096" s="279">
        <v>0.1111972207013572</v>
      </c>
      <c r="E1096" s="282">
        <v>1.9670753308044484E-4</v>
      </c>
      <c r="F1096" s="287">
        <v>9.827003684552437</v>
      </c>
      <c r="G1096" s="235">
        <v>0.0</v>
      </c>
      <c r="H1096" s="235">
        <v>3851.6144238947863</v>
      </c>
      <c r="I1096" s="287">
        <v>0.0</v>
      </c>
      <c r="J1096" s="233">
        <v>46675.883590560814</v>
      </c>
    </row>
    <row r="1097">
      <c r="A1097" s="184">
        <v>42583.0</v>
      </c>
      <c r="B1097" s="279">
        <v>0.10047347455477218</v>
      </c>
      <c r="C1097" s="279">
        <v>0.010668544442953313</v>
      </c>
      <c r="D1097" s="279">
        <v>0.11133038118400608</v>
      </c>
      <c r="E1097" s="282">
        <v>1.9674623454688547E-4</v>
      </c>
      <c r="F1097" s="287">
        <v>9.827003684552437</v>
      </c>
      <c r="G1097" s="235">
        <v>0.0</v>
      </c>
      <c r="H1097" s="235">
        <v>3841.787420210234</v>
      </c>
      <c r="I1097" s="287">
        <v>0.0</v>
      </c>
      <c r="J1097" s="233">
        <v>46666.056586876264</v>
      </c>
    </row>
    <row r="1098">
      <c r="A1098" s="184">
        <v>42580.0</v>
      </c>
      <c r="B1098" s="279">
        <v>0.10129273780497094</v>
      </c>
      <c r="C1098" s="279">
        <v>0.010786107387017458</v>
      </c>
      <c r="D1098" s="279">
        <v>0.11226928305159893</v>
      </c>
      <c r="E1098" s="282">
        <v>1.967849512450584E-4</v>
      </c>
      <c r="F1098" s="287">
        <v>9.827003684552437</v>
      </c>
      <c r="G1098" s="235">
        <v>0.0</v>
      </c>
      <c r="H1098" s="235">
        <v>3831.9604165256815</v>
      </c>
      <c r="I1098" s="287">
        <v>0.0</v>
      </c>
      <c r="J1098" s="233">
        <v>46656.229583191714</v>
      </c>
    </row>
    <row r="1099">
      <c r="A1099" s="184">
        <v>42579.0</v>
      </c>
      <c r="B1099" s="279">
        <v>0.10138984920088023</v>
      </c>
      <c r="C1099" s="279">
        <v>0.010827223372350476</v>
      </c>
      <c r="D1099" s="279">
        <v>0.11240823637037937</v>
      </c>
      <c r="E1099" s="282">
        <v>1.9682368318395764E-4</v>
      </c>
      <c r="F1099" s="287">
        <v>9.827003684552437</v>
      </c>
      <c r="G1099" s="235">
        <v>0.0</v>
      </c>
      <c r="H1099" s="235">
        <v>3822.133412841129</v>
      </c>
      <c r="I1099" s="287">
        <v>0.0</v>
      </c>
      <c r="J1099" s="233">
        <v>46646.402579507165</v>
      </c>
    </row>
    <row r="1100">
      <c r="A1100" s="184">
        <v>42578.0</v>
      </c>
      <c r="B1100" s="279">
        <v>0.10148764749569708</v>
      </c>
      <c r="C1100" s="279">
        <v>0.010868647991120133</v>
      </c>
      <c r="D1100" s="279">
        <v>0.11254819067068868</v>
      </c>
      <c r="E1100" s="282">
        <v>1.9686243037258413E-4</v>
      </c>
      <c r="F1100" s="287">
        <v>9.827003684552437</v>
      </c>
      <c r="G1100" s="235">
        <v>0.0</v>
      </c>
      <c r="H1100" s="235">
        <v>3812.3064091565766</v>
      </c>
      <c r="I1100" s="287">
        <v>0.0</v>
      </c>
      <c r="J1100" s="233">
        <v>46636.575575822615</v>
      </c>
    </row>
    <row r="1101">
      <c r="A1101" s="184">
        <v>42577.0</v>
      </c>
      <c r="B1101" s="279">
        <v>0.10158614082019389</v>
      </c>
      <c r="C1101" s="279">
        <v>0.0109103847709727</v>
      </c>
      <c r="D1101" s="279">
        <v>0.11268915767322912</v>
      </c>
      <c r="E1101" s="282">
        <v>1.9690119281994591E-4</v>
      </c>
      <c r="F1101" s="287">
        <v>9.827003684552437</v>
      </c>
      <c r="G1101" s="235">
        <v>0.0</v>
      </c>
      <c r="H1101" s="235">
        <v>3802.479405472024</v>
      </c>
      <c r="I1101" s="287">
        <v>0.0</v>
      </c>
      <c r="J1101" s="233">
        <v>46626.748572138065</v>
      </c>
    </row>
    <row r="1102">
      <c r="A1102" s="184">
        <v>42576.0</v>
      </c>
      <c r="B1102" s="279">
        <v>0.1016853374376323</v>
      </c>
      <c r="C1102" s="279">
        <v>0.010952437294393694</v>
      </c>
      <c r="D1102" s="279">
        <v>0.11283114928699968</v>
      </c>
      <c r="E1102" s="282">
        <v>1.969399705350582E-4</v>
      </c>
      <c r="F1102" s="287">
        <v>9.827003684552437</v>
      </c>
      <c r="G1102" s="235">
        <v>0.0</v>
      </c>
      <c r="H1102" s="235">
        <v>3792.6524017874717</v>
      </c>
      <c r="I1102" s="287">
        <v>0.0</v>
      </c>
      <c r="J1102" s="233">
        <v>46616.921568453516</v>
      </c>
    </row>
    <row r="1103">
      <c r="A1103" s="184">
        <v>42573.0</v>
      </c>
      <c r="B1103" s="279">
        <v>0.10253921052986324</v>
      </c>
      <c r="C1103" s="279">
        <v>0.011076252230909741</v>
      </c>
      <c r="D1103" s="279">
        <v>0.11381102337329754</v>
      </c>
      <c r="E1103" s="282">
        <v>1.9697876352694322E-4</v>
      </c>
      <c r="F1103" s="287">
        <v>9.827003684552437</v>
      </c>
      <c r="G1103" s="235">
        <v>0.0</v>
      </c>
      <c r="H1103" s="235">
        <v>3782.8253981029193</v>
      </c>
      <c r="I1103" s="287">
        <v>0.0</v>
      </c>
      <c r="J1103" s="233">
        <v>46607.094564768966</v>
      </c>
    </row>
    <row r="1104">
      <c r="A1104" s="184">
        <v>42572.0</v>
      </c>
      <c r="B1104" s="279">
        <v>0.10264339007758401</v>
      </c>
      <c r="C1104" s="279">
        <v>0.011119567410783395</v>
      </c>
      <c r="D1104" s="279">
        <v>0.11395928286707198</v>
      </c>
      <c r="E1104" s="282">
        <v>1.9701757180463035E-4</v>
      </c>
      <c r="F1104" s="287">
        <v>9.827003684552437</v>
      </c>
      <c r="G1104" s="235">
        <v>0.0</v>
      </c>
      <c r="H1104" s="235">
        <v>3772.998394418367</v>
      </c>
      <c r="I1104" s="287">
        <v>0.0</v>
      </c>
      <c r="J1104" s="233">
        <v>46597.267561084416</v>
      </c>
    </row>
    <row r="1105">
      <c r="A1105" s="184">
        <v>42571.0</v>
      </c>
      <c r="B1105" s="279">
        <v>0.10274833047093425</v>
      </c>
      <c r="C1105" s="279">
        <v>0.011163216489149185</v>
      </c>
      <c r="D1105" s="279">
        <v>0.11410864300022867</v>
      </c>
      <c r="E1105" s="282">
        <v>1.9705639537715615E-4</v>
      </c>
      <c r="F1105" s="287">
        <v>9.827003684552437</v>
      </c>
      <c r="G1105" s="235">
        <v>0.0</v>
      </c>
      <c r="H1105" s="235">
        <v>3763.1713907338144</v>
      </c>
      <c r="I1105" s="287">
        <v>0.0</v>
      </c>
      <c r="J1105" s="233">
        <v>46587.44055739987</v>
      </c>
    </row>
    <row r="1106">
      <c r="A1106" s="184">
        <v>42570.0</v>
      </c>
      <c r="B1106" s="279">
        <v>0.1028540409567546</v>
      </c>
      <c r="C1106" s="279">
        <v>0.011207203387015637</v>
      </c>
      <c r="D1106" s="279">
        <v>0.11425911700984549</v>
      </c>
      <c r="E1106" s="282">
        <v>1.9709523425356416E-4</v>
      </c>
      <c r="F1106" s="287">
        <v>9.827003684552437</v>
      </c>
      <c r="G1106" s="235">
        <v>0.0</v>
      </c>
      <c r="H1106" s="235">
        <v>3753.344387049262</v>
      </c>
      <c r="I1106" s="287">
        <v>0.0</v>
      </c>
      <c r="J1106" s="233">
        <v>46577.61355371532</v>
      </c>
    </row>
    <row r="1107">
      <c r="A1107" s="184">
        <v>42569.0</v>
      </c>
      <c r="B1107" s="279">
        <v>0.10296053093659033</v>
      </c>
      <c r="C1107" s="279">
        <v>0.011251532088047822</v>
      </c>
      <c r="D1107" s="279">
        <v>0.11441071835146774</v>
      </c>
      <c r="E1107" s="282">
        <v>1.9713408844290517E-4</v>
      </c>
      <c r="F1107" s="287">
        <v>9.827003684552437</v>
      </c>
      <c r="G1107" s="235">
        <v>0.0</v>
      </c>
      <c r="H1107" s="235">
        <v>3743.5173833647095</v>
      </c>
      <c r="I1107" s="287">
        <v>0.0</v>
      </c>
      <c r="J1107" s="233">
        <v>46567.78655003077</v>
      </c>
    </row>
    <row r="1108">
      <c r="A1108" s="184">
        <v>42566.0</v>
      </c>
      <c r="B1108" s="279">
        <v>0.10385159559718862</v>
      </c>
      <c r="C1108" s="279">
        <v>0.011382109351941009</v>
      </c>
      <c r="D1108" s="279">
        <v>0.11543466572812627</v>
      </c>
      <c r="E1108" s="282">
        <v>1.971729579542371E-4</v>
      </c>
      <c r="F1108" s="287">
        <v>9.827003684552437</v>
      </c>
      <c r="G1108" s="235">
        <v>0.0</v>
      </c>
      <c r="H1108" s="235">
        <v>3733.690379680157</v>
      </c>
      <c r="I1108" s="287">
        <v>0.0</v>
      </c>
      <c r="J1108" s="233">
        <v>46557.95954634622</v>
      </c>
    </row>
    <row r="1109">
      <c r="A1109" s="184">
        <v>42565.0</v>
      </c>
      <c r="B1109" s="279">
        <v>0.10396348997497465</v>
      </c>
      <c r="C1109" s="279">
        <v>0.011427805438914246</v>
      </c>
      <c r="D1109" s="279">
        <v>0.11559306299599659</v>
      </c>
      <c r="E1109" s="282">
        <v>1.972118427966249E-4</v>
      </c>
      <c r="F1109" s="287">
        <v>9.827003684552437</v>
      </c>
      <c r="G1109" s="235">
        <v>0.0</v>
      </c>
      <c r="H1109" s="235">
        <v>3723.8633759956047</v>
      </c>
      <c r="I1109" s="287">
        <v>0.0</v>
      </c>
      <c r="J1109" s="233">
        <v>46548.13254266167</v>
      </c>
    </row>
    <row r="1110">
      <c r="A1110" s="184">
        <v>42564.0</v>
      </c>
      <c r="B1110" s="279">
        <v>0.10407622845595957</v>
      </c>
      <c r="C1110" s="279">
        <v>0.011473863528868871</v>
      </c>
      <c r="D1110" s="279">
        <v>0.11575267276151632</v>
      </c>
      <c r="E1110" s="282">
        <v>1.9725074297914085E-4</v>
      </c>
      <c r="F1110" s="287">
        <v>9.827003684552437</v>
      </c>
      <c r="G1110" s="235">
        <v>0.0</v>
      </c>
      <c r="H1110" s="235">
        <v>3714.036372311052</v>
      </c>
      <c r="I1110" s="287">
        <v>0.0</v>
      </c>
      <c r="J1110" s="233">
        <v>46538.30553897712</v>
      </c>
    </row>
    <row r="1111">
      <c r="A1111" s="184">
        <v>42563.0</v>
      </c>
      <c r="B1111" s="279">
        <v>0.10418982158120646</v>
      </c>
      <c r="C1111" s="279">
        <v>0.011520287992625368</v>
      </c>
      <c r="D1111" s="279">
        <v>0.11591351001373966</v>
      </c>
      <c r="E1111" s="282">
        <v>1.972896585108642E-4</v>
      </c>
      <c r="F1111" s="287">
        <v>9.827003684552437</v>
      </c>
      <c r="G1111" s="235">
        <v>0.0</v>
      </c>
      <c r="H1111" s="235">
        <v>3704.2093686265</v>
      </c>
      <c r="I1111" s="287">
        <v>0.0</v>
      </c>
      <c r="J1111" s="233">
        <v>46528.47853529257</v>
      </c>
    </row>
    <row r="1112">
      <c r="A1112" s="184">
        <v>42562.0</v>
      </c>
      <c r="B1112" s="174">
        <v>0.10445163745599616</v>
      </c>
      <c r="C1112" s="174">
        <v>0.01141972588985976</v>
      </c>
      <c r="D1112" s="174">
        <v>0.11607558999606252</v>
      </c>
      <c r="E1112" s="282">
        <v>0.004424791043911193</v>
      </c>
      <c r="F1112" s="287">
        <v>220.3762416793561</v>
      </c>
      <c r="G1112" s="235">
        <v>0.0</v>
      </c>
      <c r="H1112" s="235">
        <v>3694.3823649419473</v>
      </c>
      <c r="I1112" s="287">
        <v>0.0</v>
      </c>
      <c r="J1112" s="233">
        <v>46518.65153160802</v>
      </c>
    </row>
    <row r="1113">
      <c r="A1113" s="184">
        <v>42559.0</v>
      </c>
      <c r="B1113" s="174">
        <v>0.0986902881704485</v>
      </c>
      <c r="C1113" s="174">
        <v>0.011555876012798774</v>
      </c>
      <c r="D1113" s="174">
        <v>0.11045282569781062</v>
      </c>
      <c r="E1113" s="282">
        <v>6.551099935661829E-4</v>
      </c>
      <c r="F1113" s="287">
        <v>32.48331203849284</v>
      </c>
      <c r="G1113" s="235">
        <v>0.0</v>
      </c>
      <c r="H1113" s="235">
        <v>3474.0061232625912</v>
      </c>
      <c r="I1113" s="287">
        <v>0.0</v>
      </c>
      <c r="J1113" s="233">
        <v>46298.275289928664</v>
      </c>
    </row>
    <row r="1114">
      <c r="A1114" s="184">
        <v>42558.0</v>
      </c>
      <c r="B1114" s="279">
        <v>0.09805776041263368</v>
      </c>
      <c r="C1114" s="279">
        <v>0.011603237762008303</v>
      </c>
      <c r="D1114" s="279">
        <v>0.10986850669126845</v>
      </c>
      <c r="E1114" s="282">
        <v>6.555394440071103E-4</v>
      </c>
      <c r="F1114" s="287">
        <v>32.48331203849193</v>
      </c>
      <c r="G1114" s="235">
        <v>0.0</v>
      </c>
      <c r="H1114" s="235">
        <v>3441.5228112240984</v>
      </c>
      <c r="I1114" s="287">
        <v>0.0</v>
      </c>
      <c r="J1114" s="233">
        <v>46265.79197789017</v>
      </c>
    </row>
    <row r="1115">
      <c r="A1115" s="184">
        <v>42557.0</v>
      </c>
      <c r="B1115" s="279">
        <v>0.09741968904489405</v>
      </c>
      <c r="C1115" s="279">
        <v>0.011650948976407376</v>
      </c>
      <c r="D1115" s="279">
        <v>0.1092789997897124</v>
      </c>
      <c r="E1115" s="282">
        <v>6.559694578608021E-4</v>
      </c>
      <c r="F1115" s="287">
        <v>32.48331203849193</v>
      </c>
      <c r="G1115" s="235">
        <v>0.0</v>
      </c>
      <c r="H1115" s="235">
        <v>3409.0394991856065</v>
      </c>
      <c r="I1115" s="287">
        <v>0.0</v>
      </c>
      <c r="J1115" s="233">
        <v>46233.30866585168</v>
      </c>
    </row>
    <row r="1116">
      <c r="A1116" s="184">
        <v>42556.0</v>
      </c>
      <c r="B1116" s="279">
        <v>0.09677053911230067</v>
      </c>
      <c r="C1116" s="279">
        <v>0.01169901336547788</v>
      </c>
      <c r="D1116" s="279">
        <v>0.1086842457566751</v>
      </c>
      <c r="E1116" s="282">
        <v>6.564022911367919E-4</v>
      </c>
      <c r="F1116" s="287">
        <v>32.48331203849193</v>
      </c>
      <c r="G1116" s="235">
        <v>0.0</v>
      </c>
      <c r="H1116" s="235">
        <v>3376.5561871471145</v>
      </c>
      <c r="I1116" s="287">
        <v>0.0</v>
      </c>
      <c r="J1116" s="233">
        <v>46200.82535381318</v>
      </c>
    </row>
    <row r="1117">
      <c r="A1117" s="184">
        <v>42555.0</v>
      </c>
      <c r="B1117" s="279">
        <v>0.0961211679172666</v>
      </c>
      <c r="C1117" s="279">
        <v>0.01174743468800949</v>
      </c>
      <c r="D1117" s="279">
        <v>0.10808418448325172</v>
      </c>
      <c r="E1117" s="282">
        <v>6.56833438110463E-4</v>
      </c>
      <c r="F1117" s="287">
        <v>32.48331203849193</v>
      </c>
      <c r="G1117" s="235">
        <v>0.0</v>
      </c>
      <c r="H1117" s="235">
        <v>3344.0728751086226</v>
      </c>
      <c r="I1117" s="287">
        <v>0.0</v>
      </c>
      <c r="J1117" s="233">
        <v>46168.34204177469</v>
      </c>
    </row>
    <row r="1118">
      <c r="A1118" s="184">
        <v>42552.0</v>
      </c>
      <c r="B1118" s="279">
        <v>0.09623285679428628</v>
      </c>
      <c r="C1118" s="279">
        <v>0.011890965481757113</v>
      </c>
      <c r="D1118" s="279">
        <v>0.10834203814508901</v>
      </c>
      <c r="E1118" s="282">
        <v>6.572651518398961E-4</v>
      </c>
      <c r="F1118" s="287">
        <v>32.48331203849193</v>
      </c>
      <c r="G1118" s="235">
        <v>0.0</v>
      </c>
      <c r="H1118" s="235">
        <v>3311.5895630701307</v>
      </c>
      <c r="I1118" s="287">
        <v>0.0</v>
      </c>
      <c r="J1118" s="233">
        <v>46135.858729736196</v>
      </c>
    </row>
    <row r="1119">
      <c r="A1119" s="184">
        <v>42551.0</v>
      </c>
      <c r="B1119" s="279">
        <v>0.09556971058207978</v>
      </c>
      <c r="C1119" s="279">
        <v>0.011940890543827583</v>
      </c>
      <c r="D1119" s="279">
        <v>0.1077297331897585</v>
      </c>
      <c r="E1119" s="282">
        <v>6.576974334433529E-4</v>
      </c>
      <c r="F1119" s="287">
        <v>32.48331203849193</v>
      </c>
      <c r="G1119" s="235">
        <v>0.0</v>
      </c>
      <c r="H1119" s="235">
        <v>3279.1062510316387</v>
      </c>
      <c r="I1119" s="287">
        <v>0.0</v>
      </c>
      <c r="J1119" s="233">
        <v>46103.3754176977</v>
      </c>
    </row>
    <row r="1120">
      <c r="A1120" s="184">
        <v>42550.0</v>
      </c>
      <c r="B1120" s="279">
        <v>0.09580493526746363</v>
      </c>
      <c r="C1120" s="279">
        <v>0.011086888636778616</v>
      </c>
      <c r="D1120" s="279">
        <v>0.10711187909605095</v>
      </c>
      <c r="E1120" s="282">
        <v>6.577649994385897E-4</v>
      </c>
      <c r="F1120" s="287">
        <v>32.48331203849193</v>
      </c>
      <c r="G1120" s="235">
        <v>0.0</v>
      </c>
      <c r="H1120" s="235">
        <v>3246.622938993147</v>
      </c>
      <c r="I1120" s="287">
        <v>0.0</v>
      </c>
      <c r="J1120" s="233">
        <v>46070.89210565921</v>
      </c>
    </row>
    <row r="1121">
      <c r="A1121" s="184">
        <v>42549.0</v>
      </c>
      <c r="B1121" s="279">
        <v>0.09699730640557669</v>
      </c>
      <c r="C1121" s="279">
        <v>0.009270119170007262</v>
      </c>
      <c r="D1121" s="279">
        <v>0.106488410903904</v>
      </c>
      <c r="E1121" s="282">
        <v>6.574485961979155E-4</v>
      </c>
      <c r="F1121" s="287">
        <v>32.48331203849193</v>
      </c>
      <c r="G1121" s="235">
        <v>0.0</v>
      </c>
      <c r="H1121" s="235">
        <v>3214.139626954655</v>
      </c>
      <c r="I1121" s="287">
        <v>0.0</v>
      </c>
      <c r="J1121" s="233">
        <v>46038.408793620714</v>
      </c>
    </row>
    <row r="1122">
      <c r="A1122" s="184">
        <v>42548.0</v>
      </c>
      <c r="B1122" s="279">
        <v>0.09632790542481127</v>
      </c>
      <c r="C1122" s="279">
        <v>0.009309434698209629</v>
      </c>
      <c r="D1122" s="279">
        <v>0.1058592626728317</v>
      </c>
      <c r="E1122" s="282">
        <v>6.578811192162092E-4</v>
      </c>
      <c r="F1122" s="287">
        <v>32.48331203849193</v>
      </c>
      <c r="G1122" s="235">
        <v>0.0</v>
      </c>
      <c r="H1122" s="235">
        <v>3181.656314916163</v>
      </c>
      <c r="I1122" s="287">
        <v>0.0</v>
      </c>
      <c r="J1122" s="233">
        <v>46005.92548158222</v>
      </c>
    </row>
    <row r="1123">
      <c r="A1123" s="184">
        <v>42545.0</v>
      </c>
      <c r="B1123" s="279">
        <v>0.09644296596086113</v>
      </c>
      <c r="C1123" s="279">
        <v>0.009426315565646562</v>
      </c>
      <c r="D1123" s="279">
        <v>0.1060939903357388</v>
      </c>
      <c r="E1123" s="282">
        <v>6.583142117066027E-4</v>
      </c>
      <c r="F1123" s="287">
        <v>32.48331203849193</v>
      </c>
      <c r="G1123" s="235">
        <v>0.0</v>
      </c>
      <c r="H1123" s="235">
        <v>3149.173002877671</v>
      </c>
      <c r="I1123" s="287">
        <v>0.0</v>
      </c>
      <c r="J1123" s="233">
        <v>45973.44216954373</v>
      </c>
    </row>
    <row r="1124">
      <c r="A1124" s="184">
        <v>42544.0</v>
      </c>
      <c r="B1124" s="279">
        <v>0.09575900832929579</v>
      </c>
      <c r="C1124" s="279">
        <v>0.009466887188037528</v>
      </c>
      <c r="D1124" s="279">
        <v>0.10545157149140126</v>
      </c>
      <c r="E1124" s="282">
        <v>6.587478747945115E-4</v>
      </c>
      <c r="F1124" s="287">
        <v>32.48331203849193</v>
      </c>
      <c r="G1124" s="235">
        <v>0.0</v>
      </c>
      <c r="H1124" s="235">
        <v>3116.689690839179</v>
      </c>
      <c r="I1124" s="287">
        <v>0.0</v>
      </c>
      <c r="J1124" s="233">
        <v>45940.95885750523</v>
      </c>
    </row>
    <row r="1125">
      <c r="A1125" s="184">
        <v>42543.0</v>
      </c>
      <c r="B1125" s="279">
        <v>0.0950687809106761</v>
      </c>
      <c r="C1125" s="279">
        <v>0.009507773891909703</v>
      </c>
      <c r="D1125" s="279">
        <v>0.10480320545254662</v>
      </c>
      <c r="E1125" s="282">
        <v>6.591821096083185E-4</v>
      </c>
      <c r="F1125" s="287">
        <v>32.48331203849193</v>
      </c>
      <c r="G1125" s="235">
        <v>0.0</v>
      </c>
      <c r="H1125" s="235">
        <v>3084.206378800687</v>
      </c>
      <c r="I1125" s="287">
        <v>0.0</v>
      </c>
      <c r="J1125" s="233">
        <v>45908.47554546674</v>
      </c>
    </row>
    <row r="1126">
      <c r="A1126" s="184">
        <v>42542.0</v>
      </c>
      <c r="B1126" s="279">
        <v>0.09437220868434801</v>
      </c>
      <c r="C1126" s="279">
        <v>0.009548979190102953</v>
      </c>
      <c r="D1126" s="279">
        <v>0.10414882079510139</v>
      </c>
      <c r="E1126" s="282">
        <v>6.596169172793841E-4</v>
      </c>
      <c r="F1126" s="287">
        <v>32.48331203849193</v>
      </c>
      <c r="G1126" s="235">
        <v>0.0</v>
      </c>
      <c r="H1126" s="235">
        <v>3051.7230667621952</v>
      </c>
      <c r="I1126" s="287">
        <v>0.0</v>
      </c>
      <c r="J1126" s="233">
        <v>45875.992233428246</v>
      </c>
    </row>
    <row r="1127">
      <c r="A1127" s="184">
        <v>42541.0</v>
      </c>
      <c r="B1127" s="279">
        <v>0.09366921547447654</v>
      </c>
      <c r="C1127" s="279">
        <v>0.00959050664420441</v>
      </c>
      <c r="D1127" s="279">
        <v>0.10348834498972043</v>
      </c>
      <c r="E1127" s="282">
        <v>6.600522989420554E-4</v>
      </c>
      <c r="F1127" s="287">
        <v>32.48331203849193</v>
      </c>
      <c r="G1127" s="235">
        <v>0.0</v>
      </c>
      <c r="H1127" s="235">
        <v>3019.2397547237033</v>
      </c>
      <c r="I1127" s="287">
        <v>0.0</v>
      </c>
      <c r="J1127" s="233">
        <v>45843.50892138975</v>
      </c>
    </row>
    <row r="1128">
      <c r="A1128" s="184">
        <v>42538.0</v>
      </c>
      <c r="B1128" s="279">
        <v>0.09375087051541366</v>
      </c>
      <c r="C1128" s="279">
        <v>0.009714337396045915</v>
      </c>
      <c r="D1128" s="279">
        <v>0.10369678271643322</v>
      </c>
      <c r="E1128" s="282">
        <v>0.0015991593102821105</v>
      </c>
      <c r="F1128" s="287">
        <v>78.64786455203694</v>
      </c>
      <c r="G1128" s="235">
        <v>0.0</v>
      </c>
      <c r="H1128" s="235">
        <v>2986.7564426852114</v>
      </c>
      <c r="I1128" s="287">
        <v>0.0</v>
      </c>
      <c r="J1128" s="233">
        <v>45811.02560935126</v>
      </c>
    </row>
    <row r="1129">
      <c r="A1129" s="184">
        <v>42537.0</v>
      </c>
      <c r="B1129" s="279">
        <v>0.0914222050574439</v>
      </c>
      <c r="C1129" s="279">
        <v>0.009757230912160231</v>
      </c>
      <c r="D1129" s="279">
        <v>0.10141203328977608</v>
      </c>
      <c r="E1129" s="282">
        <v>0.0016017207168789794</v>
      </c>
      <c r="F1129" s="287">
        <v>78.64786455203694</v>
      </c>
      <c r="G1129" s="235">
        <v>0.0</v>
      </c>
      <c r="H1129" s="235">
        <v>2908.1085781331744</v>
      </c>
      <c r="I1129" s="287">
        <v>0.0</v>
      </c>
      <c r="J1129" s="233">
        <v>45732.37774479922</v>
      </c>
    </row>
    <row r="1130">
      <c r="A1130" s="184">
        <v>42536.0</v>
      </c>
      <c r="B1130" s="279">
        <v>0.08907197505776951</v>
      </c>
      <c r="C1130" s="279">
        <v>0.009800404888646768</v>
      </c>
      <c r="D1130" s="279">
        <v>0.09910600646752876</v>
      </c>
      <c r="E1130" s="282">
        <v>0.0016042903419555784</v>
      </c>
      <c r="F1130" s="287">
        <v>78.64786455203694</v>
      </c>
      <c r="G1130" s="235">
        <v>0.0</v>
      </c>
      <c r="H1130" s="235">
        <v>2829.4607135811375</v>
      </c>
      <c r="I1130" s="287">
        <v>0.0</v>
      </c>
      <c r="J1130" s="233">
        <v>45653.72988024718</v>
      </c>
    </row>
    <row r="1131">
      <c r="A1131" s="184">
        <v>42535.0</v>
      </c>
      <c r="B1131" s="174">
        <v>0.08686601897932189</v>
      </c>
      <c r="C1131" s="174">
        <v>0.00967780326459816</v>
      </c>
      <c r="D1131" s="174">
        <v>0.0967784846976603</v>
      </c>
      <c r="E1131" s="282">
        <v>-3.86805341795339E-4</v>
      </c>
      <c r="F1131" s="287">
        <v>-18.93394078439087</v>
      </c>
      <c r="G1131" s="235">
        <v>0.0</v>
      </c>
      <c r="H1131" s="235">
        <v>2750.8128490291006</v>
      </c>
      <c r="I1131" s="287">
        <v>0.0</v>
      </c>
      <c r="J1131" s="233">
        <v>45575.08201569514</v>
      </c>
    </row>
    <row r="1132">
      <c r="A1132" s="184">
        <v>42534.0</v>
      </c>
      <c r="B1132" s="279">
        <v>0.08792109312598746</v>
      </c>
      <c r="C1132" s="279">
        <v>0.009720806070215887</v>
      </c>
      <c r="D1132" s="279">
        <v>0.09787760436011327</v>
      </c>
      <c r="E1132" s="282">
        <v>-3.8665578127395695E-4</v>
      </c>
      <c r="F1132" s="287">
        <v>-18.93394078440315</v>
      </c>
      <c r="G1132" s="235">
        <v>0.0</v>
      </c>
      <c r="H1132" s="235">
        <v>2769.7467898134914</v>
      </c>
      <c r="I1132" s="287">
        <v>0.0</v>
      </c>
      <c r="J1132" s="233">
        <v>45594.01595647953</v>
      </c>
    </row>
    <row r="1133">
      <c r="A1133" s="184">
        <v>42531.0</v>
      </c>
      <c r="B1133" s="279">
        <v>0.08976643485220247</v>
      </c>
      <c r="C1133" s="279">
        <v>0.009849873631432436</v>
      </c>
      <c r="D1133" s="279">
        <v>0.09985514321215626</v>
      </c>
      <c r="E1133" s="282">
        <v>-3.865063363645026E-4</v>
      </c>
      <c r="F1133" s="287">
        <v>-18.93394078440315</v>
      </c>
      <c r="G1133" s="235">
        <v>0.0</v>
      </c>
      <c r="H1133" s="235">
        <v>2788.6807305978946</v>
      </c>
      <c r="I1133" s="287">
        <v>0.0</v>
      </c>
      <c r="J1133" s="233">
        <v>45612.949897263934</v>
      </c>
    </row>
    <row r="1134">
      <c r="A1134" s="184">
        <v>42530.0</v>
      </c>
      <c r="B1134" s="279">
        <v>0.09085393751845786</v>
      </c>
      <c r="C1134" s="279">
        <v>0.009894473530484227</v>
      </c>
      <c r="D1134" s="279">
        <v>0.10098832721314278</v>
      </c>
      <c r="E1134" s="282">
        <v>-3.863570069332241E-4</v>
      </c>
      <c r="F1134" s="287">
        <v>-18.93394078440315</v>
      </c>
      <c r="G1134" s="235">
        <v>0.0</v>
      </c>
      <c r="H1134" s="235">
        <v>2807.6146713822977</v>
      </c>
      <c r="I1134" s="287">
        <v>0.0</v>
      </c>
      <c r="J1134" s="233">
        <v>45631.883838048336</v>
      </c>
    </row>
    <row r="1135">
      <c r="A1135" s="184">
        <v>42529.0</v>
      </c>
      <c r="B1135" s="279">
        <v>0.09195162002725599</v>
      </c>
      <c r="C1135" s="279">
        <v>0.009939510150691899</v>
      </c>
      <c r="D1135" s="279">
        <v>0.10213213836722052</v>
      </c>
      <c r="E1135" s="282">
        <v>-3.862077928463257E-4</v>
      </c>
      <c r="F1135" s="287">
        <v>-18.93394078440315</v>
      </c>
      <c r="G1135" s="235">
        <v>0.0</v>
      </c>
      <c r="H1135" s="235">
        <v>2826.548612166701</v>
      </c>
      <c r="I1135" s="287">
        <v>0.0</v>
      </c>
      <c r="J1135" s="233">
        <v>45650.81777883274</v>
      </c>
    </row>
    <row r="1136">
      <c r="A1136" s="184">
        <v>42528.0</v>
      </c>
      <c r="B1136" s="279">
        <v>0.09305963454522109</v>
      </c>
      <c r="C1136" s="279">
        <v>0.009984990143075833</v>
      </c>
      <c r="D1136" s="279">
        <v>0.10328673565330461</v>
      </c>
      <c r="E1136" s="282">
        <v>-3.860586939702183E-4</v>
      </c>
      <c r="F1136" s="287">
        <v>-18.93394078440315</v>
      </c>
      <c r="G1136" s="235">
        <v>0.0</v>
      </c>
      <c r="H1136" s="235">
        <v>2845.482552951104</v>
      </c>
      <c r="I1136" s="287">
        <v>0.0</v>
      </c>
      <c r="J1136" s="233">
        <v>45669.75171961714</v>
      </c>
    </row>
    <row r="1137">
      <c r="A1137" s="184">
        <v>42527.0</v>
      </c>
      <c r="B1137" s="279">
        <v>0.09417813639489372</v>
      </c>
      <c r="C1137" s="279">
        <v>0.010030920299754534</v>
      </c>
      <c r="D1137" s="279">
        <v>0.104452281350746</v>
      </c>
      <c r="E1137" s="282">
        <v>-3.8590971017151907E-4</v>
      </c>
      <c r="F1137" s="287">
        <v>-18.93394078440315</v>
      </c>
      <c r="G1137" s="235">
        <v>0.0</v>
      </c>
      <c r="H1137" s="235">
        <v>2864.416493735507</v>
      </c>
      <c r="I1137" s="287">
        <v>0.0</v>
      </c>
      <c r="J1137" s="233">
        <v>45688.68566040154</v>
      </c>
    </row>
    <row r="1138">
      <c r="A1138" s="184">
        <v>42524.0</v>
      </c>
      <c r="B1138" s="279">
        <v>0.09616979349910981</v>
      </c>
      <c r="C1138" s="279">
        <v>0.010168504911330442</v>
      </c>
      <c r="D1138" s="279">
        <v>0.10658485914825679</v>
      </c>
      <c r="E1138" s="282">
        <v>-3.857608413170509E-4</v>
      </c>
      <c r="F1138" s="287">
        <v>-18.93394078440315</v>
      </c>
      <c r="G1138" s="235">
        <v>0.0</v>
      </c>
      <c r="H1138" s="235">
        <v>2883.3504345199103</v>
      </c>
      <c r="I1138" s="287">
        <v>0.0</v>
      </c>
      <c r="J1138" s="233">
        <v>45707.61960118594</v>
      </c>
    </row>
    <row r="1139">
      <c r="A1139" s="184">
        <v>42523.0</v>
      </c>
      <c r="B1139" s="279">
        <v>0.09732403276384805</v>
      </c>
      <c r="C1139" s="279">
        <v>0.010216196812747548</v>
      </c>
      <c r="D1139" s="279">
        <v>0.10778794672339298</v>
      </c>
      <c r="E1139" s="282">
        <v>-3.8561208727384215E-4</v>
      </c>
      <c r="F1139" s="287">
        <v>-18.93394078440315</v>
      </c>
      <c r="G1139" s="235">
        <v>0.0</v>
      </c>
      <c r="H1139" s="235">
        <v>2902.2843753043135</v>
      </c>
      <c r="I1139" s="287">
        <v>0.0</v>
      </c>
      <c r="J1139" s="233">
        <v>45726.553541970345</v>
      </c>
    </row>
    <row r="1140">
      <c r="A1140" s="184">
        <v>42522.0</v>
      </c>
      <c r="B1140" s="279">
        <v>0.09848947579061255</v>
      </c>
      <c r="C1140" s="279">
        <v>0.010264372121969081</v>
      </c>
      <c r="D1140" s="279">
        <v>0.10900273318978657</v>
      </c>
      <c r="E1140" s="282">
        <v>-3.8546344790912614E-4</v>
      </c>
      <c r="F1140" s="287">
        <v>-18.93394078440315</v>
      </c>
      <c r="G1140" s="235">
        <v>0.0</v>
      </c>
      <c r="H1140" s="235">
        <v>2921.2183160887166</v>
      </c>
      <c r="I1140" s="287">
        <v>0.0</v>
      </c>
      <c r="J1140" s="233">
        <v>45745.48748275475</v>
      </c>
    </row>
    <row r="1141">
      <c r="A1141" s="184">
        <v>42521.0</v>
      </c>
      <c r="B1141" s="279">
        <v>0.09966629613498246</v>
      </c>
      <c r="C1141" s="279">
        <v>0.010313038468850315</v>
      </c>
      <c r="D1141" s="279">
        <v>0.11022939991787681</v>
      </c>
      <c r="E1141" s="282">
        <v>-3.853149230903409E-4</v>
      </c>
      <c r="F1141" s="287">
        <v>-18.93394078440315</v>
      </c>
      <c r="G1141" s="235">
        <v>0.0</v>
      </c>
      <c r="H1141" s="235">
        <v>2940.1522568731198</v>
      </c>
      <c r="I1141" s="287">
        <v>0.0</v>
      </c>
      <c r="J1141" s="233">
        <v>45764.42142353915</v>
      </c>
    </row>
    <row r="1142">
      <c r="A1142" s="184">
        <v>42520.0</v>
      </c>
      <c r="B1142" s="279">
        <v>0.10085467108753685</v>
      </c>
      <c r="C1142" s="279">
        <v>0.010362203651163741</v>
      </c>
      <c r="D1142" s="279">
        <v>0.11146813218509168</v>
      </c>
      <c r="E1142" s="282">
        <v>-3.851665126851286E-4</v>
      </c>
      <c r="F1142" s="287">
        <v>-18.93394078440315</v>
      </c>
      <c r="G1142" s="235">
        <v>0.0</v>
      </c>
      <c r="H1142" s="235">
        <v>2959.086197657523</v>
      </c>
      <c r="I1142" s="287">
        <v>0.0</v>
      </c>
      <c r="J1142" s="233">
        <v>45783.35536432355</v>
      </c>
    </row>
    <row r="1143">
      <c r="A1143" s="184">
        <v>42517.0</v>
      </c>
      <c r="B1143" s="279">
        <v>0.10300856478640993</v>
      </c>
      <c r="C1143" s="279">
        <v>0.01050918288841033</v>
      </c>
      <c r="D1143" s="279">
        <v>0.11377256899903758</v>
      </c>
      <c r="E1143" s="282">
        <v>-3.850182165613354E-4</v>
      </c>
      <c r="F1143" s="287">
        <v>-18.93394078440315</v>
      </c>
      <c r="G1143" s="235">
        <v>0.0</v>
      </c>
      <c r="H1143" s="235">
        <v>2978.020138441926</v>
      </c>
      <c r="I1143" s="287">
        <v>0.0</v>
      </c>
      <c r="J1143" s="233">
        <v>45802.28930510795</v>
      </c>
    </row>
    <row r="1144">
      <c r="A1144" s="184">
        <v>42516.0</v>
      </c>
      <c r="B1144" s="279">
        <v>0.10423645472923519</v>
      </c>
      <c r="C1144" s="279">
        <v>0.010560297911414529</v>
      </c>
      <c r="D1144" s="279">
        <v>0.11505281337595993</v>
      </c>
      <c r="E1144" s="282">
        <v>-3.848700345870109E-4</v>
      </c>
      <c r="F1144" s="287">
        <v>-18.93394078440315</v>
      </c>
      <c r="G1144" s="235">
        <v>0.0</v>
      </c>
      <c r="H1144" s="235">
        <v>2996.954079226329</v>
      </c>
      <c r="I1144" s="287">
        <v>0.0</v>
      </c>
      <c r="J1144" s="233">
        <v>45821.22324589235</v>
      </c>
    </row>
    <row r="1145">
      <c r="A1145" s="184">
        <v>42515.0</v>
      </c>
      <c r="B1145" s="279">
        <v>0.10547671848633162</v>
      </c>
      <c r="C1145" s="279">
        <v>0.01061194991213582</v>
      </c>
      <c r="D1145" s="279">
        <v>0.11634598156523328</v>
      </c>
      <c r="E1145" s="282">
        <v>-3.847219666304074E-4</v>
      </c>
      <c r="F1145" s="287">
        <v>-18.93394078440315</v>
      </c>
      <c r="G1145" s="235">
        <v>0.0</v>
      </c>
      <c r="H1145" s="235">
        <v>3015.8880200107324</v>
      </c>
      <c r="I1145" s="287">
        <v>0.0</v>
      </c>
      <c r="J1145" s="233">
        <v>45840.157186676755</v>
      </c>
    </row>
    <row r="1146">
      <c r="A1146" s="184">
        <v>42514.0</v>
      </c>
      <c r="B1146" s="279">
        <v>0.10672955496308799</v>
      </c>
      <c r="C1146" s="279">
        <v>0.0106641476856881</v>
      </c>
      <c r="D1146" s="279">
        <v>0.1176522814806197</v>
      </c>
      <c r="E1146" s="282">
        <v>-3.8457401255998045E-4</v>
      </c>
      <c r="F1146" s="287">
        <v>-18.93394078440315</v>
      </c>
      <c r="G1146" s="235">
        <v>0.0</v>
      </c>
      <c r="H1146" s="235">
        <v>3034.8219607951355</v>
      </c>
      <c r="I1146" s="287">
        <v>0.0</v>
      </c>
      <c r="J1146" s="233">
        <v>45859.09112746116</v>
      </c>
    </row>
    <row r="1147">
      <c r="A1147" s="184">
        <v>42513.0</v>
      </c>
      <c r="B1147" s="279">
        <v>0.10799516751260155</v>
      </c>
      <c r="C1147" s="279">
        <v>0.010716900228256611</v>
      </c>
      <c r="D1147" s="279">
        <v>0.11897192568953661</v>
      </c>
      <c r="E1147" s="282">
        <v>-3.8442617224438726E-4</v>
      </c>
      <c r="F1147" s="287">
        <v>-18.93394078440315</v>
      </c>
      <c r="G1147" s="235">
        <v>0.0</v>
      </c>
      <c r="H1147" s="235">
        <v>3053.7559015795387</v>
      </c>
      <c r="I1147" s="287">
        <v>0.0</v>
      </c>
      <c r="J1147" s="233">
        <v>45878.02506824556</v>
      </c>
    </row>
    <row r="1148">
      <c r="A1148" s="184">
        <v>42510.0</v>
      </c>
      <c r="B1148" s="279">
        <v>0.11032954922612398</v>
      </c>
      <c r="C1148" s="279">
        <v>0.01087427680827976</v>
      </c>
      <c r="D1148" s="279">
        <v>0.12146749997039046</v>
      </c>
      <c r="E1148" s="282">
        <v>-3.8427844555248753E-4</v>
      </c>
      <c r="F1148" s="287">
        <v>-18.93394078440315</v>
      </c>
      <c r="G1148" s="235">
        <v>0.0</v>
      </c>
      <c r="H1148" s="235">
        <v>3072.689842363942</v>
      </c>
      <c r="I1148" s="287">
        <v>0.0</v>
      </c>
      <c r="J1148" s="233">
        <v>45896.95900902996</v>
      </c>
    </row>
    <row r="1149">
      <c r="A1149" s="184">
        <v>42509.0</v>
      </c>
      <c r="B1149" s="279">
        <v>0.11163900928028227</v>
      </c>
      <c r="C1149" s="279">
        <v>0.010929195061000629</v>
      </c>
      <c r="D1149" s="279">
        <v>0.12283320990714328</v>
      </c>
      <c r="E1149" s="282">
        <v>-3.84130832353342E-4</v>
      </c>
      <c r="F1149" s="287">
        <v>-18.93394078440315</v>
      </c>
      <c r="G1149" s="235">
        <v>0.0</v>
      </c>
      <c r="H1149" s="235">
        <v>3091.623783148345</v>
      </c>
      <c r="I1149" s="287">
        <v>0.0</v>
      </c>
      <c r="J1149" s="233">
        <v>45915.89294981436</v>
      </c>
    </row>
    <row r="1150">
      <c r="A1150" s="184">
        <v>42508.0</v>
      </c>
      <c r="B1150" s="279">
        <v>0.11296218671016743</v>
      </c>
      <c r="C1150" s="279">
        <v>0.01098471205990372</v>
      </c>
      <c r="D1150" s="279">
        <v>0.12421325048389824</v>
      </c>
      <c r="E1150" s="282">
        <v>-3.8398333251621277E-4</v>
      </c>
      <c r="F1150" s="287">
        <v>-18.93394078440315</v>
      </c>
      <c r="G1150" s="235">
        <v>0.0</v>
      </c>
      <c r="H1150" s="235">
        <v>3110.557723932748</v>
      </c>
      <c r="I1150" s="287">
        <v>0.0</v>
      </c>
      <c r="J1150" s="233">
        <v>45934.826890598764</v>
      </c>
    </row>
    <row r="1151">
      <c r="A1151" s="184">
        <v>42507.0</v>
      </c>
      <c r="B1151" s="279">
        <v>0.11429931065344033</v>
      </c>
      <c r="C1151" s="279">
        <v>0.011040837995981373</v>
      </c>
      <c r="D1151" s="279">
        <v>0.12560786127641457</v>
      </c>
      <c r="E1151" s="282">
        <v>-3.838359459105625E-4</v>
      </c>
      <c r="F1151" s="287">
        <v>-18.93394078440315</v>
      </c>
      <c r="G1151" s="235">
        <v>0.0</v>
      </c>
      <c r="H1151" s="235">
        <v>3129.4916647171513</v>
      </c>
      <c r="I1151" s="287">
        <v>0.0</v>
      </c>
      <c r="J1151" s="233">
        <v>45953.760831383166</v>
      </c>
    </row>
    <row r="1152">
      <c r="A1152" s="184">
        <v>42506.0</v>
      </c>
      <c r="B1152" s="279">
        <v>0.11565061557938836</v>
      </c>
      <c r="C1152" s="279">
        <v>0.01109758330259768</v>
      </c>
      <c r="D1152" s="279">
        <v>0.12701728744032662</v>
      </c>
      <c r="E1152" s="282">
        <v>-3.836886724060543E-4</v>
      </c>
      <c r="F1152" s="287">
        <v>-18.93394078440315</v>
      </c>
      <c r="G1152" s="235">
        <v>0.0</v>
      </c>
      <c r="H1152" s="235">
        <v>3148.4256055015544</v>
      </c>
      <c r="I1152" s="287">
        <v>0.0</v>
      </c>
      <c r="J1152" s="233">
        <v>45972.69477216757</v>
      </c>
    </row>
    <row r="1153">
      <c r="A1153" s="184">
        <v>42503.0</v>
      </c>
      <c r="B1153" s="279">
        <v>0.11818650486625087</v>
      </c>
      <c r="C1153" s="279">
        <v>0.01126650824968769</v>
      </c>
      <c r="D1153" s="279">
        <v>0.1297261976805213</v>
      </c>
      <c r="E1153" s="282">
        <v>-3.8354151187255134E-4</v>
      </c>
      <c r="F1153" s="287">
        <v>-18.93394078440315</v>
      </c>
      <c r="G1153" s="235">
        <v>0.0</v>
      </c>
      <c r="H1153" s="235">
        <v>3167.3595462859575</v>
      </c>
      <c r="I1153" s="287">
        <v>0.0</v>
      </c>
      <c r="J1153" s="233">
        <v>45991.62871295197</v>
      </c>
    </row>
    <row r="1154">
      <c r="A1154" s="184">
        <v>42502.0</v>
      </c>
      <c r="B1154" s="279">
        <v>0.11958665082130383</v>
      </c>
      <c r="C1154" s="279">
        <v>0.011325668234736736</v>
      </c>
      <c r="D1154" s="279">
        <v>0.13118693810186613</v>
      </c>
      <c r="E1154" s="282">
        <v>-3.833944641801162E-4</v>
      </c>
      <c r="F1154" s="287">
        <v>-18.93394078440315</v>
      </c>
      <c r="G1154" s="235">
        <v>0.0</v>
      </c>
      <c r="H1154" s="235">
        <v>3186.2934870703607</v>
      </c>
      <c r="I1154" s="287">
        <v>0.0</v>
      </c>
      <c r="J1154" s="233">
        <v>46010.56265373637</v>
      </c>
    </row>
    <row r="1155">
      <c r="A1155" s="184">
        <v>42501.0</v>
      </c>
      <c r="B1155" s="279">
        <v>0.1210020650340367</v>
      </c>
      <c r="C1155" s="279">
        <v>0.011385498561549487</v>
      </c>
      <c r="D1155" s="279">
        <v>0.13266363337676088</v>
      </c>
      <c r="E1155" s="282">
        <v>-3.8324752919901054E-4</v>
      </c>
      <c r="F1155" s="287">
        <v>-18.93394078440315</v>
      </c>
      <c r="G1155" s="235">
        <v>0.0</v>
      </c>
      <c r="H1155" s="235">
        <v>3205.227427854764</v>
      </c>
      <c r="I1155" s="287">
        <v>0.0</v>
      </c>
      <c r="J1155" s="233">
        <v>46029.49659452077</v>
      </c>
    </row>
    <row r="1156">
      <c r="A1156" s="184">
        <v>42500.0</v>
      </c>
      <c r="B1156" s="279">
        <v>0.12262649829551367</v>
      </c>
      <c r="C1156" s="279">
        <v>0.011252525748850817</v>
      </c>
      <c r="D1156" s="279">
        <v>0.13415656110291876</v>
      </c>
      <c r="E1156" s="282">
        <v>-3.8306466578697835E-4</v>
      </c>
      <c r="F1156" s="287">
        <v>-18.93394078440315</v>
      </c>
      <c r="G1156" s="235">
        <v>0.0</v>
      </c>
      <c r="H1156" s="235">
        <v>3224.161368639167</v>
      </c>
      <c r="I1156" s="287">
        <v>0.0</v>
      </c>
      <c r="J1156" s="233">
        <v>46048.430535305175</v>
      </c>
    </row>
    <row r="1157">
      <c r="A1157" s="184">
        <v>42499.0</v>
      </c>
      <c r="B1157" s="279">
        <v>0.12407428641927394</v>
      </c>
      <c r="C1157" s="279">
        <v>0.011312698024085962</v>
      </c>
      <c r="D1157" s="279">
        <v>0.13566600561638306</v>
      </c>
      <c r="E1157" s="282">
        <v>-3.8291798343762895E-4</v>
      </c>
      <c r="F1157" s="287">
        <v>-18.93394078440315</v>
      </c>
      <c r="G1157" s="235">
        <v>0.0</v>
      </c>
      <c r="H1157" s="235">
        <v>3243.09530942357</v>
      </c>
      <c r="I1157" s="287">
        <v>0.0</v>
      </c>
      <c r="J1157" s="233">
        <v>46067.36447608958</v>
      </c>
    </row>
    <row r="1158">
      <c r="A1158" s="184">
        <v>42496.0</v>
      </c>
      <c r="B1158" s="279">
        <v>0.12683908425635929</v>
      </c>
      <c r="C1158" s="279">
        <v>0.01149142598708406</v>
      </c>
      <c r="D1158" s="279">
        <v>0.13861393963860605</v>
      </c>
      <c r="E1158" s="282">
        <v>-3.8277141337989993E-4</v>
      </c>
      <c r="F1158" s="287">
        <v>-18.93394078440315</v>
      </c>
      <c r="G1158" s="235">
        <v>0.0</v>
      </c>
      <c r="H1158" s="235">
        <v>3262.0292502079733</v>
      </c>
      <c r="I1158" s="287">
        <v>0.0</v>
      </c>
      <c r="J1158" s="233">
        <v>46086.29841687398</v>
      </c>
    </row>
    <row r="1159">
      <c r="A1159" s="184">
        <v>42495.0</v>
      </c>
      <c r="B1159" s="279">
        <v>0.1283415450504459</v>
      </c>
      <c r="C1159" s="279">
        <v>0.011554255910212044</v>
      </c>
      <c r="D1159" s="279">
        <v>0.14018078001964218</v>
      </c>
      <c r="E1159" s="282">
        <v>-3.826249554848946E-4</v>
      </c>
      <c r="F1159" s="287">
        <v>-18.93394078440315</v>
      </c>
      <c r="G1159" s="235">
        <v>0.0</v>
      </c>
      <c r="H1159" s="235">
        <v>3280.9631909923764</v>
      </c>
      <c r="I1159" s="287">
        <v>0.0</v>
      </c>
      <c r="J1159" s="233">
        <v>46105.23235765838</v>
      </c>
    </row>
    <row r="1160">
      <c r="A1160" s="184">
        <v>42494.0</v>
      </c>
      <c r="B1160" s="279">
        <v>0.12986108713616115</v>
      </c>
      <c r="C1160" s="279">
        <v>0.01161782688790291</v>
      </c>
      <c r="D1160" s="279">
        <v>0.14176546102455334</v>
      </c>
      <c r="E1160" s="282">
        <v>-3.824786096239133E-4</v>
      </c>
      <c r="F1160" s="287">
        <v>-18.93394078440315</v>
      </c>
      <c r="G1160" s="235">
        <v>0.0</v>
      </c>
      <c r="H1160" s="235">
        <v>3299.8971317767796</v>
      </c>
      <c r="I1160" s="287">
        <v>0.0</v>
      </c>
      <c r="J1160" s="233">
        <v>46124.16629844278</v>
      </c>
    </row>
    <row r="1161">
      <c r="A1161" s="184">
        <v>42493.0</v>
      </c>
      <c r="B1161" s="279">
        <v>0.1313980200803135</v>
      </c>
      <c r="C1161" s="279">
        <v>0.011682152604108773</v>
      </c>
      <c r="D1161" s="279">
        <v>0.1433683062416068</v>
      </c>
      <c r="E1161" s="282">
        <v>-3.8233237566845347E-4</v>
      </c>
      <c r="F1161" s="287">
        <v>-18.93394078440315</v>
      </c>
      <c r="G1161" s="235">
        <v>0.0</v>
      </c>
      <c r="H1161" s="235">
        <v>3318.8310725611827</v>
      </c>
      <c r="I1161" s="287">
        <v>0.0</v>
      </c>
      <c r="J1161" s="233">
        <v>46143.100239227184</v>
      </c>
    </row>
    <row r="1162">
      <c r="A1162" s="184">
        <v>42492.0</v>
      </c>
      <c r="B1162" s="279">
        <v>0.1329526612872586</v>
      </c>
      <c r="C1162" s="279">
        <v>0.011747247096673255</v>
      </c>
      <c r="D1162" s="279">
        <v>0.14498964745923715</v>
      </c>
      <c r="E1162" s="282">
        <v>-3.821862534902087E-4</v>
      </c>
      <c r="F1162" s="287">
        <v>-18.93394078440315</v>
      </c>
      <c r="G1162" s="235">
        <v>0.0</v>
      </c>
      <c r="H1162" s="235">
        <v>3337.765013345586</v>
      </c>
      <c r="I1162" s="287">
        <v>0.0</v>
      </c>
      <c r="J1162" s="233">
        <v>46162.034180011586</v>
      </c>
    </row>
    <row r="1163">
      <c r="A1163" s="184">
        <v>42489.0</v>
      </c>
      <c r="B1163" s="279">
        <v>0.13597184525190642</v>
      </c>
      <c r="C1163" s="279">
        <v>0.01194014761635127</v>
      </c>
      <c r="D1163" s="279">
        <v>0.1482064897236401</v>
      </c>
      <c r="E1163" s="282">
        <v>-3.820402429610689E-4</v>
      </c>
      <c r="F1163" s="287">
        <v>-18.93394078440315</v>
      </c>
      <c r="G1163" s="235">
        <v>0.0</v>
      </c>
      <c r="H1163" s="235">
        <v>3356.698954129989</v>
      </c>
      <c r="I1163" s="287">
        <v>0.0</v>
      </c>
      <c r="J1163" s="233">
        <v>46180.96812079599</v>
      </c>
    </row>
    <row r="1164">
      <c r="A1164" s="184">
        <v>42488.0</v>
      </c>
      <c r="B1164" s="279">
        <v>0.13758790729167897</v>
      </c>
      <c r="C1164" s="279">
        <v>0.012008230679092645</v>
      </c>
      <c r="D1164" s="279">
        <v>0.1498923140556348</v>
      </c>
      <c r="E1164" s="282">
        <v>-3.818943439531196E-4</v>
      </c>
      <c r="F1164" s="287">
        <v>-18.93394078440315</v>
      </c>
      <c r="G1164" s="235">
        <v>0.0</v>
      </c>
      <c r="H1164" s="235">
        <v>3375.632894914392</v>
      </c>
      <c r="I1164" s="287">
        <v>0.0</v>
      </c>
      <c r="J1164" s="233">
        <v>46199.90206158039</v>
      </c>
    </row>
    <row r="1165">
      <c r="A1165" s="184">
        <v>42487.0</v>
      </c>
      <c r="B1165" s="279">
        <v>0.13922315481933262</v>
      </c>
      <c r="C1165" s="279">
        <v>0.012077151014616217</v>
      </c>
      <c r="D1165" s="279">
        <v>0.1515981817991431</v>
      </c>
      <c r="E1165" s="282">
        <v>-3.817485563386416E-4</v>
      </c>
      <c r="F1165" s="287">
        <v>-18.93394078440315</v>
      </c>
      <c r="G1165" s="235">
        <v>0.0</v>
      </c>
      <c r="H1165" s="235">
        <v>3394.5668356987953</v>
      </c>
      <c r="I1165" s="287">
        <v>0.0</v>
      </c>
      <c r="J1165" s="233">
        <v>46218.83600236479</v>
      </c>
    </row>
    <row r="1166">
      <c r="A1166" s="184">
        <v>42486.0</v>
      </c>
      <c r="B1166" s="279">
        <v>0.14087795094503586</v>
      </c>
      <c r="C1166" s="279">
        <v>0.012146924767945115</v>
      </c>
      <c r="D1166" s="279">
        <v>0.1533244726075644</v>
      </c>
      <c r="E1166" s="282">
        <v>-3.8160287999011077E-4</v>
      </c>
      <c r="F1166" s="287">
        <v>-18.93394078440315</v>
      </c>
      <c r="G1166" s="235">
        <v>0.0</v>
      </c>
      <c r="H1166" s="235">
        <v>3413.5007764831985</v>
      </c>
      <c r="I1166" s="287">
        <v>0.0</v>
      </c>
      <c r="J1166" s="233">
        <v>46237.76994314919</v>
      </c>
    </row>
    <row r="1167">
      <c r="A1167" s="184">
        <v>42485.0</v>
      </c>
      <c r="B1167" s="279">
        <v>0.14255266839423994</v>
      </c>
      <c r="C1167" s="279">
        <v>0.012217568520666348</v>
      </c>
      <c r="D1167" s="279">
        <v>0.15507157619691214</v>
      </c>
      <c r="E1167" s="282">
        <v>-3.8145731478019733E-4</v>
      </c>
      <c r="F1167" s="287">
        <v>-18.93394078440315</v>
      </c>
      <c r="G1167" s="235">
        <v>0.0</v>
      </c>
      <c r="H1167" s="235">
        <v>3432.4347172676016</v>
      </c>
      <c r="I1167" s="287">
        <v>0.0</v>
      </c>
      <c r="J1167" s="233">
        <v>46256.703883933595</v>
      </c>
    </row>
    <row r="1168">
      <c r="A1168" s="184">
        <v>42482.0</v>
      </c>
      <c r="B1168" s="279">
        <v>0.14585939587467162</v>
      </c>
      <c r="C1168" s="279">
        <v>0.01242640767860967</v>
      </c>
      <c r="D1168" s="279">
        <v>0.15859229373268566</v>
      </c>
      <c r="E1168" s="282">
        <v>-3.813118605817659E-4</v>
      </c>
      <c r="F1168" s="287">
        <v>-18.93394078440315</v>
      </c>
      <c r="G1168" s="235">
        <v>0.0</v>
      </c>
      <c r="H1168" s="235">
        <v>3451.368658052005</v>
      </c>
      <c r="I1168" s="287">
        <v>0.0</v>
      </c>
      <c r="J1168" s="233">
        <v>46275.637824718</v>
      </c>
    </row>
    <row r="1169">
      <c r="A1169" s="184">
        <v>42481.0</v>
      </c>
      <c r="B1169" s="279">
        <v>0.14760344656264307</v>
      </c>
      <c r="C1169" s="279">
        <v>0.012500428274886462</v>
      </c>
      <c r="D1169" s="279">
        <v>0.16041219069225532</v>
      </c>
      <c r="E1169" s="282">
        <v>-3.811665172678751E-4</v>
      </c>
      <c r="F1169" s="287">
        <v>-18.93394078440315</v>
      </c>
      <c r="G1169" s="235">
        <v>0.0</v>
      </c>
      <c r="H1169" s="235">
        <v>3470.302598836408</v>
      </c>
      <c r="I1169" s="287">
        <v>0.0</v>
      </c>
      <c r="J1169" s="233">
        <v>46294.5717655024</v>
      </c>
    </row>
    <row r="1170">
      <c r="A1170" s="184">
        <v>42480.0</v>
      </c>
      <c r="B1170" s="279">
        <v>0.14936915643269244</v>
      </c>
      <c r="C1170" s="279">
        <v>0.012575399730318274</v>
      </c>
      <c r="D1170" s="279">
        <v>0.16225472114545061</v>
      </c>
      <c r="E1170" s="282">
        <v>-3.8102128471177656E-4</v>
      </c>
      <c r="F1170" s="287">
        <v>-18.93394078440315</v>
      </c>
      <c r="G1170" s="235">
        <v>0.0</v>
      </c>
      <c r="H1170" s="235">
        <v>3489.236539620811</v>
      </c>
      <c r="I1170" s="287">
        <v>0.0</v>
      </c>
      <c r="J1170" s="233">
        <v>46313.5057062868</v>
      </c>
    </row>
    <row r="1171">
      <c r="A1171" s="184">
        <v>42479.0</v>
      </c>
      <c r="B1171" s="279">
        <v>0.15115695440869453</v>
      </c>
      <c r="C1171" s="279">
        <v>0.012651341228439176</v>
      </c>
      <c r="D1171" s="279">
        <v>0.16412033367283124</v>
      </c>
      <c r="E1171" s="282">
        <v>-3.808761627869154E-4</v>
      </c>
      <c r="F1171" s="287">
        <v>-18.93394078440315</v>
      </c>
      <c r="G1171" s="235">
        <v>0.0</v>
      </c>
      <c r="H1171" s="235">
        <v>3508.170480405214</v>
      </c>
      <c r="I1171" s="287">
        <v>0.0</v>
      </c>
      <c r="J1171" s="233">
        <v>46332.4396470712</v>
      </c>
    </row>
    <row r="1172">
      <c r="A1172" s="184">
        <v>42478.0</v>
      </c>
      <c r="B1172" s="279">
        <v>0.15296728131793305</v>
      </c>
      <c r="C1172" s="279">
        <v>0.01272827249621613</v>
      </c>
      <c r="D1172" s="279">
        <v>0.16600948931520218</v>
      </c>
      <c r="E1172" s="282">
        <v>-3.8073115136692934E-4</v>
      </c>
      <c r="F1172" s="287">
        <v>-18.93394078440315</v>
      </c>
      <c r="G1172" s="235">
        <v>0.0</v>
      </c>
      <c r="H1172" s="235">
        <v>3527.1044211896174</v>
      </c>
      <c r="I1172" s="287">
        <v>0.0</v>
      </c>
      <c r="J1172" s="233">
        <v>46351.3735878556</v>
      </c>
    </row>
    <row r="1173">
      <c r="A1173" s="184">
        <v>42475.0</v>
      </c>
      <c r="B1173" s="279">
        <v>0.1569306670774457</v>
      </c>
      <c r="C1173" s="279">
        <v>0.012955123287405683</v>
      </c>
      <c r="D1173" s="279">
        <v>0.16987525112318727</v>
      </c>
      <c r="E1173" s="282">
        <v>-4.2515250503293294E-4</v>
      </c>
      <c r="F1173" s="287">
        <v>-18.93394078440315</v>
      </c>
      <c r="G1173" s="235">
        <v>0.0</v>
      </c>
      <c r="H1173" s="235">
        <v>3546.0383619740205</v>
      </c>
      <c r="I1173" s="287">
        <v>0.0</v>
      </c>
      <c r="J1173" s="233">
        <v>46370.307528640005</v>
      </c>
    </row>
    <row r="1174">
      <c r="A1174" s="184">
        <v>42474.0</v>
      </c>
      <c r="B1174" s="279">
        <v>0.15882172472889974</v>
      </c>
      <c r="C1174" s="279">
        <v>0.01303589001928238</v>
      </c>
      <c r="D1174" s="279">
        <v>0.17184700980123008</v>
      </c>
      <c r="E1174" s="282">
        <v>-4.2497182719603206E-4</v>
      </c>
      <c r="F1174" s="287">
        <v>-18.93394078440315</v>
      </c>
      <c r="G1174" s="235">
        <v>0.0</v>
      </c>
      <c r="H1174" s="235">
        <v>3564.9723027584237</v>
      </c>
      <c r="I1174" s="287">
        <v>0.0</v>
      </c>
      <c r="J1174" s="233">
        <v>46389.24146942441</v>
      </c>
    </row>
    <row r="1175">
      <c r="A1175" s="184">
        <v>42473.0</v>
      </c>
      <c r="B1175" s="279">
        <v>0.1607373981634286</v>
      </c>
      <c r="C1175" s="279">
        <v>0.013117742662755989</v>
      </c>
      <c r="D1175" s="279">
        <v>0.17384446929053468</v>
      </c>
      <c r="E1175" s="282">
        <v>-4.2479130285987866E-4</v>
      </c>
      <c r="F1175" s="287">
        <v>-18.93394078440315</v>
      </c>
      <c r="G1175" s="235">
        <v>0.0</v>
      </c>
      <c r="H1175" s="235">
        <v>3583.906243542827</v>
      </c>
      <c r="I1175" s="287">
        <v>0.0</v>
      </c>
      <c r="J1175" s="233">
        <v>46408.17541020881</v>
      </c>
    </row>
    <row r="1176">
      <c r="A1176" s="184">
        <v>42472.0</v>
      </c>
      <c r="B1176" s="279">
        <v>0.16267819853338394</v>
      </c>
      <c r="C1176" s="279">
        <v>0.01320070418742368</v>
      </c>
      <c r="D1176" s="279">
        <v>0.17586816369436367</v>
      </c>
      <c r="E1176" s="282">
        <v>-4.2461093182893857E-4</v>
      </c>
      <c r="F1176" s="287">
        <v>-18.93394078440315</v>
      </c>
      <c r="G1176" s="235">
        <v>0.0</v>
      </c>
      <c r="H1176" s="235">
        <v>3602.84018432723</v>
      </c>
      <c r="I1176" s="287">
        <v>0.0</v>
      </c>
      <c r="J1176" s="233">
        <v>46427.10935099321</v>
      </c>
    </row>
    <row r="1177">
      <c r="A1177" s="184">
        <v>42471.0</v>
      </c>
      <c r="B1177" s="279">
        <v>0.16464465189045774</v>
      </c>
      <c r="C1177" s="279">
        <v>0.013284798246028925</v>
      </c>
      <c r="D1177" s="279">
        <v>0.1779186426979106</v>
      </c>
      <c r="E1177" s="282">
        <v>-4.2443071390800926E-4</v>
      </c>
      <c r="F1177" s="287">
        <v>-18.93394078440315</v>
      </c>
      <c r="G1177" s="235">
        <v>0.0</v>
      </c>
      <c r="H1177" s="235">
        <v>3621.774125111633</v>
      </c>
      <c r="I1177" s="287">
        <v>0.0</v>
      </c>
      <c r="J1177" s="233">
        <v>46446.04329177761</v>
      </c>
    </row>
    <row r="1178">
      <c r="A1178" s="184">
        <v>42468.0</v>
      </c>
      <c r="B1178" s="279">
        <v>0.16886130589651183</v>
      </c>
      <c r="C1178" s="279">
        <v>0.013327950323648413</v>
      </c>
      <c r="D1178" s="279">
        <v>0.18217824758839302</v>
      </c>
      <c r="E1178" s="282">
        <v>-4.242118674133976E-4</v>
      </c>
      <c r="F1178" s="287">
        <v>-18.93394078440315</v>
      </c>
      <c r="G1178" s="235">
        <v>0.0</v>
      </c>
      <c r="H1178" s="235">
        <v>3640.7080658960363</v>
      </c>
      <c r="I1178" s="287">
        <v>0.0</v>
      </c>
      <c r="J1178" s="233">
        <v>46464.977232562014</v>
      </c>
    </row>
    <row r="1179">
      <c r="A1179" s="184">
        <v>42467.0</v>
      </c>
      <c r="B1179" s="279">
        <v>0.17091898366972078</v>
      </c>
      <c r="C1179" s="279">
        <v>0.013415090682104976</v>
      </c>
      <c r="D1179" s="279">
        <v>0.18432299374379096</v>
      </c>
      <c r="E1179" s="282">
        <v>-4.2403198801192E-4</v>
      </c>
      <c r="F1179" s="287">
        <v>-18.93394078440315</v>
      </c>
      <c r="G1179" s="235">
        <v>0.0</v>
      </c>
      <c r="H1179" s="235">
        <v>3659.6420066804394</v>
      </c>
      <c r="I1179" s="287">
        <v>0.0</v>
      </c>
      <c r="J1179" s="233">
        <v>46483.911173346416</v>
      </c>
    </row>
    <row r="1180">
      <c r="A1180" s="184">
        <v>42466.0</v>
      </c>
      <c r="B1180" s="279">
        <v>0.1730047952592915</v>
      </c>
      <c r="C1180" s="279">
        <v>0.013503459960016562</v>
      </c>
      <c r="D1180" s="279">
        <v>0.1864971016199418</v>
      </c>
      <c r="E1180" s="282">
        <v>-4.2385226109502446E-4</v>
      </c>
      <c r="F1180" s="287">
        <v>-18.93394078440315</v>
      </c>
      <c r="G1180" s="235">
        <v>0.0</v>
      </c>
      <c r="H1180" s="235">
        <v>3678.5759474648426</v>
      </c>
      <c r="I1180" s="287">
        <v>0.0</v>
      </c>
      <c r="J1180" s="233">
        <v>46502.84511413082</v>
      </c>
    </row>
    <row r="1181">
      <c r="A1181" s="184">
        <v>42465.0</v>
      </c>
      <c r="B1181" s="279">
        <v>0.1751193546587511</v>
      </c>
      <c r="C1181" s="279">
        <v>0.013593085473598344</v>
      </c>
      <c r="D1181" s="279">
        <v>0.18870121250402505</v>
      </c>
      <c r="E1181" s="282">
        <v>-4.236726864689005E-4</v>
      </c>
      <c r="F1181" s="287">
        <v>-18.93394078440315</v>
      </c>
      <c r="G1181" s="235">
        <v>0.0</v>
      </c>
      <c r="H1181" s="235">
        <v>3697.5098882492457</v>
      </c>
      <c r="I1181" s="287">
        <v>0.0</v>
      </c>
      <c r="J1181" s="233">
        <v>46521.77905491522</v>
      </c>
    </row>
    <row r="1182">
      <c r="A1182" s="184">
        <v>42464.0</v>
      </c>
      <c r="B1182" s="279">
        <v>0.1772632947041313</v>
      </c>
      <c r="C1182" s="279">
        <v>0.013683995394027364</v>
      </c>
      <c r="D1182" s="279">
        <v>0.19093598737998077</v>
      </c>
      <c r="E1182" s="282">
        <v>-4.234932639400655E-4</v>
      </c>
      <c r="F1182" s="287">
        <v>-18.93394078440315</v>
      </c>
      <c r="G1182" s="235">
        <v>0.0</v>
      </c>
      <c r="H1182" s="235">
        <v>3716.443829033649</v>
      </c>
      <c r="I1182" s="287">
        <v>0.0</v>
      </c>
      <c r="J1182" s="233">
        <v>46540.71299569962</v>
      </c>
    </row>
    <row r="1183">
      <c r="A1183" s="184">
        <v>42461.0</v>
      </c>
      <c r="B1183" s="279">
        <v>0.18170862565866253</v>
      </c>
      <c r="C1183" s="279">
        <v>0.01395060129900236</v>
      </c>
      <c r="D1183" s="279">
        <v>0.19564770402811438</v>
      </c>
      <c r="E1183" s="282">
        <v>-4.2331399331536494E-4</v>
      </c>
      <c r="F1183" s="287">
        <v>-18.93394078440315</v>
      </c>
      <c r="G1183" s="235">
        <v>0.0</v>
      </c>
      <c r="H1183" s="235">
        <v>3735.377769818052</v>
      </c>
      <c r="I1183" s="287">
        <v>0.0</v>
      </c>
      <c r="J1183" s="233">
        <v>46559.64693648402</v>
      </c>
    </row>
    <row r="1184">
      <c r="A1184" s="184">
        <v>42460.0</v>
      </c>
      <c r="B1184" s="279">
        <v>0.1839558570640028</v>
      </c>
      <c r="C1184" s="279">
        <v>0.014046470795965146</v>
      </c>
      <c r="D1184" s="279">
        <v>0.1979907257440486</v>
      </c>
      <c r="E1184" s="282">
        <v>-4.231348744019708E-4</v>
      </c>
      <c r="F1184" s="287">
        <v>-18.93394078440315</v>
      </c>
      <c r="G1184" s="235">
        <v>0.0</v>
      </c>
      <c r="H1184" s="235">
        <v>3754.311710602455</v>
      </c>
      <c r="I1184" s="287">
        <v>0.0</v>
      </c>
      <c r="J1184" s="233">
        <v>46578.580877268425</v>
      </c>
    </row>
    <row r="1185">
      <c r="A1185" s="184">
        <v>42459.0</v>
      </c>
      <c r="B1185" s="279">
        <v>0.18623543662379538</v>
      </c>
      <c r="C1185" s="279">
        <v>0.014143761847469303</v>
      </c>
      <c r="D1185" s="279">
        <v>0.2003675159947997</v>
      </c>
      <c r="E1185" s="282">
        <v>-4.229559070073816E-4</v>
      </c>
      <c r="F1185" s="287">
        <v>-18.93394078440315</v>
      </c>
      <c r="G1185" s="235">
        <v>0.0</v>
      </c>
      <c r="H1185" s="235">
        <v>3773.2456513868583</v>
      </c>
      <c r="I1185" s="287">
        <v>0.0</v>
      </c>
      <c r="J1185" s="233">
        <v>46597.51481805283</v>
      </c>
    </row>
    <row r="1186">
      <c r="A1186" s="184">
        <v>42458.0</v>
      </c>
      <c r="B1186" s="279">
        <v>0.19076188636892574</v>
      </c>
      <c r="C1186" s="279">
        <v>0.012028729553140603</v>
      </c>
      <c r="D1186" s="279">
        <v>0.20277885188338357</v>
      </c>
      <c r="E1186" s="282">
        <v>-4.2238662699924437E-4</v>
      </c>
      <c r="F1186" s="287">
        <v>-18.93394078440315</v>
      </c>
      <c r="G1186" s="235">
        <v>0.0</v>
      </c>
      <c r="H1186" s="235">
        <v>3792.1795921712614</v>
      </c>
      <c r="I1186" s="287">
        <v>0.0</v>
      </c>
      <c r="J1186" s="233">
        <v>46616.44875883723</v>
      </c>
    </row>
    <row r="1187">
      <c r="A1187" s="184">
        <v>42453.0</v>
      </c>
      <c r="B1187" s="279">
        <v>0.19827397114162273</v>
      </c>
      <c r="C1187" s="279">
        <v>0.012436408264330331</v>
      </c>
      <c r="D1187" s="279">
        <v>0.2106982166594843</v>
      </c>
      <c r="E1187" s="282">
        <v>-4.222082918629532E-4</v>
      </c>
      <c r="F1187" s="287">
        <v>-18.93394078440315</v>
      </c>
      <c r="G1187" s="235">
        <v>0.0</v>
      </c>
      <c r="H1187" s="235">
        <v>3811.1135329556646</v>
      </c>
      <c r="I1187" s="287">
        <v>0.0</v>
      </c>
      <c r="J1187" s="233">
        <v>46635.38269962163</v>
      </c>
    </row>
    <row r="1188">
      <c r="A1188" s="184">
        <v>42452.0</v>
      </c>
      <c r="B1188" s="279">
        <v>0.20076988525413814</v>
      </c>
      <c r="C1188" s="279">
        <v>0.012526826282809206</v>
      </c>
      <c r="D1188" s="279">
        <v>0.21328446036209864</v>
      </c>
      <c r="E1188" s="282">
        <v>-4.220301072522556E-4</v>
      </c>
      <c r="F1188" s="287">
        <v>-18.93394078440315</v>
      </c>
      <c r="G1188" s="235">
        <v>0.0</v>
      </c>
      <c r="H1188" s="235">
        <v>3830.0474737400677</v>
      </c>
      <c r="I1188" s="287">
        <v>0.0</v>
      </c>
      <c r="J1188" s="233">
        <v>46654.31664040603</v>
      </c>
    </row>
    <row r="1189">
      <c r="A1189" s="184">
        <v>42451.0</v>
      </c>
      <c r="B1189" s="279">
        <v>0.20464674005809952</v>
      </c>
      <c r="C1189" s="279">
        <v>0.011275735438470824</v>
      </c>
      <c r="D1189" s="279">
        <v>0.21591013450957236</v>
      </c>
      <c r="E1189" s="282">
        <v>-4.2162718205674245E-4</v>
      </c>
      <c r="F1189" s="287">
        <v>-18.93394078440315</v>
      </c>
      <c r="G1189" s="235">
        <v>0.0</v>
      </c>
      <c r="H1189" s="235">
        <v>3848.981414524471</v>
      </c>
      <c r="I1189" s="287">
        <v>0.0</v>
      </c>
      <c r="J1189" s="233">
        <v>46673.250581190434</v>
      </c>
    </row>
    <row r="1190">
      <c r="A1190" s="184">
        <v>42450.0</v>
      </c>
      <c r="B1190" s="279">
        <v>0.20722953823971832</v>
      </c>
      <c r="C1190" s="279">
        <v>0.011359090689731071</v>
      </c>
      <c r="D1190" s="279">
        <v>0.21857619671238684</v>
      </c>
      <c r="E1190" s="282">
        <v>-4.2144948749694983E-4</v>
      </c>
      <c r="F1190" s="287">
        <v>-18.93394078440315</v>
      </c>
      <c r="G1190" s="235">
        <v>0.0</v>
      </c>
      <c r="H1190" s="235">
        <v>3867.915355308874</v>
      </c>
      <c r="I1190" s="287">
        <v>0.0</v>
      </c>
      <c r="J1190" s="233">
        <v>46692.184521974836</v>
      </c>
    </row>
    <row r="1191">
      <c r="A1191" s="184">
        <v>42447.0</v>
      </c>
      <c r="B1191" s="279">
        <v>0.21276700494404457</v>
      </c>
      <c r="C1191" s="279">
        <v>0.011602715048325727</v>
      </c>
      <c r="D1191" s="279">
        <v>0.22435702113504663</v>
      </c>
      <c r="E1191" s="282">
        <v>-4.212719426526221E-4</v>
      </c>
      <c r="F1191" s="287">
        <v>-18.93394078440315</v>
      </c>
      <c r="G1191" s="235">
        <v>0.0</v>
      </c>
      <c r="H1191" s="235">
        <v>3886.849296093277</v>
      </c>
      <c r="I1191" s="287">
        <v>0.0</v>
      </c>
      <c r="J1191" s="233">
        <v>46711.11846275924</v>
      </c>
    </row>
    <row r="1192">
      <c r="A1192" s="184">
        <v>42446.0</v>
      </c>
      <c r="B1192" s="279">
        <v>0.2154885374535655</v>
      </c>
      <c r="C1192" s="279">
        <v>0.011691074219083993</v>
      </c>
      <c r="D1192" s="279">
        <v>0.22716681610860692</v>
      </c>
      <c r="E1192" s="282">
        <v>-4.21094547334626E-4</v>
      </c>
      <c r="F1192" s="287">
        <v>-18.93394078440315</v>
      </c>
      <c r="G1192" s="235">
        <v>0.0</v>
      </c>
      <c r="H1192" s="235">
        <v>3905.7832368776803</v>
      </c>
      <c r="I1192" s="287">
        <v>0.0</v>
      </c>
      <c r="J1192" s="233">
        <v>46730.05240354364</v>
      </c>
    </row>
    <row r="1193">
      <c r="A1193" s="184">
        <v>42445.0</v>
      </c>
      <c r="B1193" s="279">
        <v>0.2182535430909583</v>
      </c>
      <c r="C1193" s="279">
        <v>0.011780881473696337</v>
      </c>
      <c r="D1193" s="279">
        <v>0.23002153070900458</v>
      </c>
      <c r="E1193" s="282">
        <v>-4.20917301354147E-4</v>
      </c>
      <c r="F1193" s="287">
        <v>-18.93394078440315</v>
      </c>
      <c r="G1193" s="235">
        <v>0.0</v>
      </c>
      <c r="H1193" s="235">
        <v>3924.7171776620835</v>
      </c>
      <c r="I1193" s="287">
        <v>0.0</v>
      </c>
      <c r="J1193" s="233">
        <v>46748.98634432804</v>
      </c>
    </row>
    <row r="1194">
      <c r="A1194" s="184">
        <v>42444.0</v>
      </c>
      <c r="B1194" s="279">
        <v>0.22106312860069216</v>
      </c>
      <c r="C1194" s="279">
        <v>0.011872174273585848</v>
      </c>
      <c r="D1194" s="279">
        <v>0.23292230910113146</v>
      </c>
      <c r="E1194" s="282">
        <v>-4.207402045226881E-4</v>
      </c>
      <c r="F1194" s="287">
        <v>-18.93394078440315</v>
      </c>
      <c r="G1194" s="235">
        <v>0.0</v>
      </c>
      <c r="H1194" s="235">
        <v>3943.6511184464866</v>
      </c>
      <c r="I1194" s="287">
        <v>0.0</v>
      </c>
      <c r="J1194" s="233">
        <v>46767.92028511244</v>
      </c>
    </row>
    <row r="1195">
      <c r="A1195" s="184">
        <v>42443.0</v>
      </c>
      <c r="B1195" s="279">
        <v>0.22391844037824052</v>
      </c>
      <c r="C1195" s="279">
        <v>0.011964991444704729</v>
      </c>
      <c r="D1195" s="279">
        <v>0.23587033646391914</v>
      </c>
      <c r="E1195" s="282">
        <v>-4.205632566520695E-4</v>
      </c>
      <c r="F1195" s="287">
        <v>-18.93394078440315</v>
      </c>
      <c r="G1195" s="235">
        <v>0.0</v>
      </c>
      <c r="H1195" s="235">
        <v>3962.58505923089</v>
      </c>
      <c r="I1195" s="287">
        <v>0.0</v>
      </c>
      <c r="J1195" s="233">
        <v>46786.854225896845</v>
      </c>
    </row>
    <row r="1196">
      <c r="A1196" s="184">
        <v>42440.0</v>
      </c>
      <c r="B1196" s="279">
        <v>0.23013191694886287</v>
      </c>
      <c r="C1196" s="279">
        <v>0.01223542248748953</v>
      </c>
      <c r="D1196" s="279">
        <v>0.24235394809787544</v>
      </c>
      <c r="E1196" s="282">
        <v>-4.2038645755442807E-4</v>
      </c>
      <c r="F1196" s="287">
        <v>-18.93394078440315</v>
      </c>
      <c r="G1196" s="235">
        <v>0.0</v>
      </c>
      <c r="H1196" s="235">
        <v>3981.519000015293</v>
      </c>
      <c r="I1196" s="287">
        <v>0.0</v>
      </c>
      <c r="J1196" s="233">
        <v>46805.78816668125</v>
      </c>
    </row>
    <row r="1197">
      <c r="A1197" s="184">
        <v>42439.0</v>
      </c>
      <c r="B1197" s="279">
        <v>0.23315002378890015</v>
      </c>
      <c r="C1197" s="279">
        <v>0.01233411673929774</v>
      </c>
      <c r="D1197" s="279">
        <v>0.2454706411715358</v>
      </c>
      <c r="E1197" s="282">
        <v>-4.202098070422159E-4</v>
      </c>
      <c r="F1197" s="287">
        <v>-18.93394078440315</v>
      </c>
      <c r="G1197" s="235">
        <v>0.0</v>
      </c>
      <c r="H1197" s="235">
        <v>4000.452940799696</v>
      </c>
      <c r="I1197" s="287">
        <v>0.0</v>
      </c>
      <c r="J1197" s="233">
        <v>46824.72210746565</v>
      </c>
    </row>
    <row r="1198">
      <c r="A1198" s="184">
        <v>42438.0</v>
      </c>
      <c r="B1198" s="279">
        <v>0.2362192889823117</v>
      </c>
      <c r="C1198" s="279">
        <v>0.01243452523290098</v>
      </c>
      <c r="D1198" s="279">
        <v>0.24864020496417424</v>
      </c>
      <c r="E1198" s="282">
        <v>-4.200333049282008E-4</v>
      </c>
      <c r="F1198" s="287">
        <v>-18.93394078440315</v>
      </c>
      <c r="G1198" s="235">
        <v>0.0</v>
      </c>
      <c r="H1198" s="235">
        <v>4019.3868815840992</v>
      </c>
      <c r="I1198" s="287">
        <v>0.0</v>
      </c>
      <c r="J1198" s="233">
        <v>46843.65604825005</v>
      </c>
    </row>
    <row r="1199">
      <c r="A1199" s="184">
        <v>42437.0</v>
      </c>
      <c r="B1199" s="279">
        <v>0.23934109607512197</v>
      </c>
      <c r="C1199" s="279">
        <v>0.012536695064866495</v>
      </c>
      <c r="D1199" s="279">
        <v>0.25186407006683653</v>
      </c>
      <c r="E1199" s="282">
        <v>-4.198569510254644E-4</v>
      </c>
      <c r="F1199" s="287">
        <v>-18.93394078440315</v>
      </c>
      <c r="G1199" s="235">
        <v>0.0</v>
      </c>
      <c r="H1199" s="235">
        <v>4038.3208223685024</v>
      </c>
      <c r="I1199" s="287">
        <v>0.0</v>
      </c>
      <c r="J1199" s="233">
        <v>46862.58998903445</v>
      </c>
    </row>
    <row r="1200">
      <c r="A1200" s="184">
        <v>42436.0</v>
      </c>
      <c r="B1200" s="279">
        <v>0.24276339370990224</v>
      </c>
      <c r="C1200" s="279">
        <v>0.012394162810653881</v>
      </c>
      <c r="D1200" s="279">
        <v>0.25514372164401067</v>
      </c>
      <c r="E1200" s="282">
        <v>-4.196442827342718E-4</v>
      </c>
      <c r="F1200" s="287">
        <v>-18.93394078440315</v>
      </c>
      <c r="G1200" s="235">
        <v>0.0</v>
      </c>
      <c r="H1200" s="235">
        <v>4057.2547631529055</v>
      </c>
      <c r="I1200" s="287">
        <v>0.0</v>
      </c>
      <c r="J1200" s="233">
        <v>46881.52392981885</v>
      </c>
    </row>
    <row r="1201">
      <c r="A1201" s="184">
        <v>42433.0</v>
      </c>
      <c r="B1201" s="174">
        <v>0.249781277779331</v>
      </c>
      <c r="C1201" s="174">
        <v>0.012690215936000062</v>
      </c>
      <c r="D1201" s="174">
        <v>0.2624573283720568</v>
      </c>
      <c r="E1201" s="282">
        <v>0.0025973718353049426</v>
      </c>
      <c r="F1201" s="287">
        <v>117.24006264076434</v>
      </c>
      <c r="G1201" s="235">
        <v>0.0</v>
      </c>
      <c r="H1201" s="235">
        <v>4076.1887039373087</v>
      </c>
      <c r="I1201" s="287">
        <v>0.0</v>
      </c>
      <c r="J1201" s="233">
        <v>46900.457870603255</v>
      </c>
    </row>
    <row r="1202">
      <c r="A1202" s="184">
        <v>42432.0</v>
      </c>
      <c r="B1202" s="279">
        <v>0.24430888392720598</v>
      </c>
      <c r="C1202" s="279">
        <v>0.012798998246516865</v>
      </c>
      <c r="D1202" s="279">
        <v>0.2570935954031397</v>
      </c>
      <c r="E1202" s="282">
        <v>0.0026041357441421286</v>
      </c>
      <c r="F1202" s="287">
        <v>117.24006264076615</v>
      </c>
      <c r="G1202" s="235">
        <v>0.0</v>
      </c>
      <c r="H1202" s="235">
        <v>3958.9486412965443</v>
      </c>
      <c r="I1202" s="287">
        <v>0.0</v>
      </c>
      <c r="J1202" s="233">
        <v>46783.217807962494</v>
      </c>
    </row>
    <row r="1203">
      <c r="A1203" s="184">
        <v>42431.0</v>
      </c>
      <c r="B1203" s="279">
        <v>0.23873603378332958</v>
      </c>
      <c r="C1203" s="279">
        <v>0.012909346705748885</v>
      </c>
      <c r="D1203" s="279">
        <v>0.2516309705429865</v>
      </c>
      <c r="E1203" s="282">
        <v>0.0026109349732315514</v>
      </c>
      <c r="F1203" s="287">
        <v>117.24006264076615</v>
      </c>
      <c r="G1203" s="235">
        <v>0.0</v>
      </c>
      <c r="H1203" s="235">
        <v>3841.708578655778</v>
      </c>
      <c r="I1203" s="287">
        <v>0.0</v>
      </c>
      <c r="J1203" s="233">
        <v>46665.977745321725</v>
      </c>
    </row>
    <row r="1204">
      <c r="A1204" s="184">
        <v>42430.0</v>
      </c>
      <c r="B1204" s="279">
        <v>0.23306049152152652</v>
      </c>
      <c r="C1204" s="279">
        <v>0.013021292549433135</v>
      </c>
      <c r="D1204" s="279">
        <v>0.24606724916629236</v>
      </c>
      <c r="E1204" s="282">
        <v>0.0026177697999541214</v>
      </c>
      <c r="F1204" s="287">
        <v>117.24006264076615</v>
      </c>
      <c r="G1204" s="235">
        <v>0.0</v>
      </c>
      <c r="H1204" s="235">
        <v>3724.468516015012</v>
      </c>
      <c r="I1204" s="287">
        <v>0.0</v>
      </c>
      <c r="J1204" s="233">
        <v>46548.737682680956</v>
      </c>
    </row>
    <row r="1205">
      <c r="A1205" s="184">
        <v>42429.0</v>
      </c>
      <c r="B1205" s="279">
        <v>0.22727995974594356</v>
      </c>
      <c r="C1205" s="279">
        <v>0.013134867750340947</v>
      </c>
      <c r="D1205" s="279">
        <v>0.24040016581428605</v>
      </c>
      <c r="E1205" s="282">
        <v>0.0026246405046028067</v>
      </c>
      <c r="F1205" s="287">
        <v>117.24006264076615</v>
      </c>
      <c r="G1205" s="235">
        <v>0.0</v>
      </c>
      <c r="H1205" s="235">
        <v>3607.228453374246</v>
      </c>
      <c r="I1205" s="287">
        <v>0.0</v>
      </c>
      <c r="J1205" s="233">
        <v>46431.49762004019</v>
      </c>
    </row>
    <row r="1206">
      <c r="A1206" s="184">
        <v>42426.0</v>
      </c>
      <c r="B1206" s="279">
        <v>0.22499194874107628</v>
      </c>
      <c r="C1206" s="279">
        <v>0.013465553896318318</v>
      </c>
      <c r="D1206" s="279">
        <v>0.238442471829859</v>
      </c>
      <c r="E1206" s="282">
        <v>0.0026315473704209944</v>
      </c>
      <c r="F1206" s="287">
        <v>117.24006264076615</v>
      </c>
      <c r="G1206" s="235">
        <v>0.0</v>
      </c>
      <c r="H1206" s="235">
        <v>3489.9883907334797</v>
      </c>
      <c r="I1206" s="287">
        <v>0.0</v>
      </c>
      <c r="J1206" s="233">
        <v>46314.25755739942</v>
      </c>
    </row>
    <row r="1207">
      <c r="A1207" s="184">
        <v>42425.0</v>
      </c>
      <c r="B1207" s="279">
        <v>0.21892547462670345</v>
      </c>
      <c r="C1207" s="279">
        <v>0.01358616966289439</v>
      </c>
      <c r="D1207" s="279">
        <v>0.23249647884576083</v>
      </c>
      <c r="E1207" s="282">
        <v>0.002638490683641412</v>
      </c>
      <c r="F1207" s="287">
        <v>117.24006264076615</v>
      </c>
      <c r="G1207" s="235">
        <v>0.0</v>
      </c>
      <c r="H1207" s="235">
        <v>3372.7483280927136</v>
      </c>
      <c r="I1207" s="287">
        <v>0.0</v>
      </c>
      <c r="J1207" s="233">
        <v>46197.01749475865</v>
      </c>
    </row>
    <row r="1208">
      <c r="A1208" s="184">
        <v>42424.0</v>
      </c>
      <c r="B1208" s="279">
        <v>0.21274373664792437</v>
      </c>
      <c r="C1208" s="279">
        <v>0.013708604750533924</v>
      </c>
      <c r="D1208" s="279">
        <v>0.22643703928751854</v>
      </c>
      <c r="E1208" s="282">
        <v>0.002645470733525665</v>
      </c>
      <c r="F1208" s="287">
        <v>117.24006264076615</v>
      </c>
      <c r="G1208" s="235">
        <v>0.0</v>
      </c>
      <c r="H1208" s="235">
        <v>3255.5082654519474</v>
      </c>
      <c r="I1208" s="287">
        <v>0.0</v>
      </c>
      <c r="J1208" s="233">
        <v>46079.77743211788</v>
      </c>
    </row>
    <row r="1209">
      <c r="A1209" s="184">
        <v>42423.0</v>
      </c>
      <c r="B1209" s="279">
        <v>0.20644405369099808</v>
      </c>
      <c r="C1209" s="279">
        <v>0.013832897056601186</v>
      </c>
      <c r="D1209" s="279">
        <v>0.22026150989645282</v>
      </c>
      <c r="E1209" s="282">
        <v>0.002652487812404414</v>
      </c>
      <c r="F1209" s="287">
        <v>117.24006264076615</v>
      </c>
      <c r="G1209" s="235">
        <v>0.0</v>
      </c>
      <c r="H1209" s="235">
        <v>3138.2682028111813</v>
      </c>
      <c r="I1209" s="287">
        <v>0.0</v>
      </c>
      <c r="J1209" s="233">
        <v>45962.53736947711</v>
      </c>
    </row>
    <row r="1210">
      <c r="A1210" s="184">
        <v>42422.0</v>
      </c>
      <c r="B1210" s="279">
        <v>0.20002366767683408</v>
      </c>
      <c r="C1210" s="279">
        <v>0.013959085400241922</v>
      </c>
      <c r="D1210" s="279">
        <v>0.21396717136928742</v>
      </c>
      <c r="E1210" s="282">
        <v>0.0026595422157181824</v>
      </c>
      <c r="F1210" s="287">
        <v>117.24006264076615</v>
      </c>
      <c r="G1210" s="235">
        <v>0.0</v>
      </c>
      <c r="H1210" s="235">
        <v>3021.028140170415</v>
      </c>
      <c r="I1210" s="287">
        <v>0.0</v>
      </c>
      <c r="J1210" s="233">
        <v>45845.29730683634</v>
      </c>
    </row>
    <row r="1211">
      <c r="A1211" s="184">
        <v>42419.0</v>
      </c>
      <c r="B1211" s="279">
        <v>0.19681559868418377</v>
      </c>
      <c r="C1211" s="279">
        <v>0.014330092464440643</v>
      </c>
      <c r="D1211" s="279">
        <v>0.21112969530742406</v>
      </c>
      <c r="E1211" s="282">
        <v>0.002666634242058817</v>
      </c>
      <c r="F1211" s="287">
        <v>117.24006264076615</v>
      </c>
      <c r="G1211" s="235">
        <v>0.0</v>
      </c>
      <c r="H1211" s="235">
        <v>2903.788077529649</v>
      </c>
      <c r="I1211" s="287">
        <v>0.0</v>
      </c>
      <c r="J1211" s="233">
        <v>45728.057244195574</v>
      </c>
    </row>
    <row r="1212">
      <c r="A1212" s="184">
        <v>42418.0</v>
      </c>
      <c r="B1212" s="279">
        <v>0.19005821270771436</v>
      </c>
      <c r="C1212" s="279">
        <v>0.014464567767576575</v>
      </c>
      <c r="D1212" s="279">
        <v>0.2045066345272019</v>
      </c>
      <c r="E1212" s="282">
        <v>0.002673764193211626</v>
      </c>
      <c r="F1212" s="287">
        <v>117.24006264076615</v>
      </c>
      <c r="G1212" s="235">
        <v>0.0</v>
      </c>
      <c r="H1212" s="235">
        <v>2786.548014888883</v>
      </c>
      <c r="I1212" s="287">
        <v>0.0</v>
      </c>
      <c r="J1212" s="233">
        <v>45610.817181554805</v>
      </c>
    </row>
    <row r="1213">
      <c r="A1213" s="184">
        <v>42417.0</v>
      </c>
      <c r="B1213" s="279">
        <v>0.18316756485698843</v>
      </c>
      <c r="C1213" s="279">
        <v>0.014601173438888003</v>
      </c>
      <c r="D1213" s="279">
        <v>0.19775243986289376</v>
      </c>
      <c r="E1213" s="282">
        <v>0.0026809323741981794</v>
      </c>
      <c r="F1213" s="287">
        <v>117.24006264076615</v>
      </c>
      <c r="G1213" s="235">
        <v>0.0</v>
      </c>
      <c r="H1213" s="235">
        <v>2669.3079522481166</v>
      </c>
      <c r="I1213" s="287">
        <v>0.0</v>
      </c>
      <c r="J1213" s="233">
        <v>45493.577118914036</v>
      </c>
    </row>
    <row r="1214">
      <c r="A1214" s="184">
        <v>42416.0</v>
      </c>
      <c r="B1214" s="279">
        <v>0.1761404081067319</v>
      </c>
      <c r="C1214" s="279">
        <v>0.014739955902195304</v>
      </c>
      <c r="D1214" s="279">
        <v>0.19086391066122574</v>
      </c>
      <c r="E1214" s="282">
        <v>0.0026881390933198076</v>
      </c>
      <c r="F1214" s="287">
        <v>117.24006264076615</v>
      </c>
      <c r="G1214" s="235">
        <v>0.0</v>
      </c>
      <c r="H1214" s="235">
        <v>2552.0678896073505</v>
      </c>
      <c r="I1214" s="287">
        <v>0.0</v>
      </c>
      <c r="J1214" s="233">
        <v>45376.33705627327</v>
      </c>
    </row>
    <row r="1215">
      <c r="A1215" s="184">
        <v>42415.0</v>
      </c>
      <c r="B1215" s="279">
        <v>0.16897339816554938</v>
      </c>
      <c r="C1215" s="279">
        <v>0.014880962743425897</v>
      </c>
      <c r="D1215" s="279">
        <v>0.18383775016361248</v>
      </c>
      <c r="E1215" s="282">
        <v>0.0026953846622018067</v>
      </c>
      <c r="F1215" s="287">
        <v>117.24006264076615</v>
      </c>
      <c r="G1215" s="235">
        <v>0.0</v>
      </c>
      <c r="H1215" s="235">
        <v>2434.8278269665843</v>
      </c>
      <c r="I1215" s="287">
        <v>0.0</v>
      </c>
      <c r="J1215" s="233">
        <v>45259.0969936325</v>
      </c>
    </row>
    <row r="1216">
      <c r="A1216" s="184">
        <v>42412.0</v>
      </c>
      <c r="B1216" s="279">
        <v>0.16462938549367845</v>
      </c>
      <c r="C1216" s="279">
        <v>0.015299916911510386</v>
      </c>
      <c r="D1216" s="279">
        <v>0.17991222400587617</v>
      </c>
      <c r="E1216" s="282">
        <v>0.0027026693958383512</v>
      </c>
      <c r="F1216" s="287">
        <v>117.24006264076615</v>
      </c>
      <c r="G1216" s="235">
        <v>0.0</v>
      </c>
      <c r="H1216" s="235">
        <v>2317.587764325818</v>
      </c>
      <c r="I1216" s="287">
        <v>0.0</v>
      </c>
      <c r="J1216" s="233">
        <v>45141.85693099173</v>
      </c>
    </row>
    <row r="1217">
      <c r="A1217" s="184">
        <v>42411.0</v>
      </c>
      <c r="B1217" s="279">
        <v>0.1570616013046241</v>
      </c>
      <c r="C1217" s="279">
        <v>0.015450768918013419</v>
      </c>
      <c r="D1217" s="279">
        <v>0.17249512343608334</v>
      </c>
      <c r="E1217" s="282">
        <v>0.0027099936126381463</v>
      </c>
      <c r="F1217" s="287">
        <v>117.24006264076615</v>
      </c>
      <c r="G1217" s="235">
        <v>0.0</v>
      </c>
      <c r="H1217" s="235">
        <v>2200.347701685052</v>
      </c>
      <c r="I1217" s="287">
        <v>0.0</v>
      </c>
      <c r="J1217" s="233">
        <v>45024.61686835096</v>
      </c>
    </row>
    <row r="1218">
      <c r="A1218" s="184">
        <v>42410.0</v>
      </c>
      <c r="B1218" s="279">
        <v>0.14933843387094106</v>
      </c>
      <c r="C1218" s="279">
        <v>0.015604137740850545</v>
      </c>
      <c r="D1218" s="279">
        <v>0.16492515362862153</v>
      </c>
      <c r="E1218" s="282">
        <v>0.00271735763447081</v>
      </c>
      <c r="F1218" s="287">
        <v>117.24006264076593</v>
      </c>
      <c r="G1218" s="235">
        <v>0.0</v>
      </c>
      <c r="H1218" s="235">
        <v>2083.107639044286</v>
      </c>
      <c r="I1218" s="287">
        <v>0.0</v>
      </c>
      <c r="J1218" s="233">
        <v>44907.37680571019</v>
      </c>
    </row>
    <row r="1219">
      <c r="A1219" s="184">
        <v>42409.0</v>
      </c>
      <c r="B1219" s="279">
        <v>0.14145590758069038</v>
      </c>
      <c r="C1219" s="279">
        <v>0.015760080848589444</v>
      </c>
      <c r="D1219" s="279">
        <v>0.15719839637597072</v>
      </c>
      <c r="E1219" s="282">
        <v>0.002724761786714057</v>
      </c>
      <c r="F1219" s="287">
        <v>117.24006264076615</v>
      </c>
      <c r="G1219" s="235">
        <v>0.0</v>
      </c>
      <c r="H1219" s="235">
        <v>1965.8675764035202</v>
      </c>
      <c r="I1219" s="287">
        <v>0.0</v>
      </c>
      <c r="J1219" s="233">
        <v>44790.13674306942</v>
      </c>
    </row>
    <row r="1220">
      <c r="A1220" s="184">
        <v>42408.0</v>
      </c>
      <c r="B1220" s="279">
        <v>0.13372653484435817</v>
      </c>
      <c r="C1220" s="279">
        <v>0.015602044795050703</v>
      </c>
      <c r="D1220" s="279">
        <v>0.14931081057664078</v>
      </c>
      <c r="E1220" s="282">
        <v>0.0027319568254386647</v>
      </c>
      <c r="F1220" s="287">
        <v>117.24006264076615</v>
      </c>
      <c r="G1220" s="235">
        <v>0.0</v>
      </c>
      <c r="H1220" s="235">
        <v>1848.627513762754</v>
      </c>
      <c r="I1220" s="287">
        <v>0.0</v>
      </c>
      <c r="J1220" s="233">
        <v>44672.896680428654</v>
      </c>
    </row>
    <row r="1221">
      <c r="A1221" s="184">
        <v>42405.0</v>
      </c>
      <c r="B1221" s="279">
        <v>0.12797716930619446</v>
      </c>
      <c r="C1221" s="279">
        <v>0.016069128957337992</v>
      </c>
      <c r="D1221" s="279">
        <v>0.14402799724178678</v>
      </c>
      <c r="E1221" s="282">
        <v>0.002739440859592915</v>
      </c>
      <c r="F1221" s="287">
        <v>117.24006264076615</v>
      </c>
      <c r="G1221" s="235">
        <v>0.0</v>
      </c>
      <c r="H1221" s="235">
        <v>1731.3874511219879</v>
      </c>
      <c r="I1221" s="287">
        <v>0.0</v>
      </c>
      <c r="J1221" s="233">
        <v>44555.656617787885</v>
      </c>
    </row>
    <row r="1222">
      <c r="A1222" s="184">
        <v>42404.0</v>
      </c>
      <c r="B1222" s="279">
        <v>0.11945308840754712</v>
      </c>
      <c r="C1222" s="279">
        <v>0.01623613530020975</v>
      </c>
      <c r="D1222" s="279">
        <v>0.13567073248362246</v>
      </c>
      <c r="E1222" s="282">
        <v>0.002746966010522052</v>
      </c>
      <c r="F1222" s="287">
        <v>117.24006264076615</v>
      </c>
      <c r="G1222" s="235">
        <v>0.0</v>
      </c>
      <c r="H1222" s="235">
        <v>1614.1473884812217</v>
      </c>
      <c r="I1222" s="287">
        <v>0.0</v>
      </c>
      <c r="J1222" s="233">
        <v>44438.416555147116</v>
      </c>
    </row>
    <row r="1223">
      <c r="A1223" s="184">
        <v>42403.0</v>
      </c>
      <c r="B1223" s="279">
        <v>0.11074615384222564</v>
      </c>
      <c r="C1223" s="279">
        <v>0.01640608485704403</v>
      </c>
      <c r="D1223" s="279">
        <v>0.12713355392074013</v>
      </c>
      <c r="E1223" s="282">
        <v>0.0027545326179985686</v>
      </c>
      <c r="F1223" s="287">
        <v>117.24006264076615</v>
      </c>
      <c r="G1223" s="235">
        <v>0.0</v>
      </c>
      <c r="H1223" s="235">
        <v>1496.9073258404555</v>
      </c>
      <c r="I1223" s="287">
        <v>0.0</v>
      </c>
      <c r="J1223" s="233">
        <v>44321.17649250635</v>
      </c>
    </row>
    <row r="1224">
      <c r="A1224" s="184">
        <v>42402.0</v>
      </c>
      <c r="B1224" s="279">
        <v>0.10185143995478449</v>
      </c>
      <c r="C1224" s="279">
        <v>0.016579048157619205</v>
      </c>
      <c r="D1224" s="279">
        <v>0.1184116063471468</v>
      </c>
      <c r="E1224" s="282">
        <v>0.002762141025548955</v>
      </c>
      <c r="F1224" s="287">
        <v>117.24006264076615</v>
      </c>
      <c r="G1224" s="235">
        <v>0.0</v>
      </c>
      <c r="H1224" s="235">
        <v>1379.6672631996894</v>
      </c>
      <c r="I1224" s="287">
        <v>0.0</v>
      </c>
      <c r="J1224" s="233">
        <v>44203.93642986558</v>
      </c>
    </row>
    <row r="1225">
      <c r="A1225" s="184">
        <v>42401.0</v>
      </c>
      <c r="B1225" s="279">
        <v>0.09276386011080666</v>
      </c>
      <c r="C1225" s="279">
        <v>0.016755097582482087</v>
      </c>
      <c r="D1225" s="279">
        <v>0.1094998754265385</v>
      </c>
      <c r="E1225" s="282">
        <v>0.0027697915805056897</v>
      </c>
      <c r="F1225" s="287">
        <v>117.24006264076615</v>
      </c>
      <c r="G1225" s="235">
        <v>0.0</v>
      </c>
      <c r="H1225" s="235">
        <v>1262.4272005589232</v>
      </c>
      <c r="I1225" s="287">
        <v>0.0</v>
      </c>
      <c r="J1225" s="233">
        <v>44086.69636722481</v>
      </c>
    </row>
    <row r="1226">
      <c r="A1226" s="184">
        <v>42398.0</v>
      </c>
      <c r="B1226" s="279">
        <v>0.08523559617474015</v>
      </c>
      <c r="C1226" s="279">
        <v>0.017290819122084782</v>
      </c>
      <c r="D1226" s="279">
        <v>0.1025067229004546</v>
      </c>
      <c r="E1226" s="282">
        <v>0.002777484634060091</v>
      </c>
      <c r="F1226" s="287">
        <v>117.24006264076604</v>
      </c>
      <c r="G1226" s="235">
        <v>0.0</v>
      </c>
      <c r="H1226" s="235">
        <v>1145.187137918157</v>
      </c>
      <c r="I1226" s="287">
        <v>0.0</v>
      </c>
      <c r="J1226" s="233">
        <v>43969.45630458404</v>
      </c>
    </row>
    <row r="1227">
      <c r="A1227" s="184">
        <v>42397.0</v>
      </c>
      <c r="B1227" s="279">
        <v>0.07556315034176835</v>
      </c>
      <c r="C1227" s="279">
        <v>0.017480939974155403</v>
      </c>
      <c r="D1227" s="279">
        <v>0.09302418139220726</v>
      </c>
      <c r="E1227" s="282">
        <v>0.002785220541316065</v>
      </c>
      <c r="F1227" s="287">
        <v>117.24006264076604</v>
      </c>
      <c r="G1227" s="235">
        <v>0.0</v>
      </c>
      <c r="H1227" s="235">
        <v>1027.947075277391</v>
      </c>
      <c r="I1227" s="287">
        <v>0.0</v>
      </c>
      <c r="J1227" s="233">
        <v>43852.21624194327</v>
      </c>
    </row>
    <row r="1228">
      <c r="A1228" s="184">
        <v>42396.0</v>
      </c>
      <c r="B1228" s="279">
        <v>0.06567311966656844</v>
      </c>
      <c r="C1228" s="279">
        <v>0.01767461174554004</v>
      </c>
      <c r="D1228" s="279">
        <v>0.08332760191692797</v>
      </c>
      <c r="E1228" s="282">
        <v>0.0027929996613447307</v>
      </c>
      <c r="F1228" s="287">
        <v>117.24006264076604</v>
      </c>
      <c r="G1228" s="235">
        <v>0.0</v>
      </c>
      <c r="H1228" s="235">
        <v>910.707012636625</v>
      </c>
      <c r="I1228" s="287">
        <v>0.0</v>
      </c>
      <c r="J1228" s="233">
        <v>43734.9761793025</v>
      </c>
    </row>
    <row r="1229">
      <c r="A1229" s="184">
        <v>42395.0</v>
      </c>
      <c r="B1229" s="279">
        <v>0.0555593167096315</v>
      </c>
      <c r="C1229" s="279">
        <v>0.017871923863054195</v>
      </c>
      <c r="D1229" s="279">
        <v>0.0734108863600757</v>
      </c>
      <c r="E1229" s="282">
        <v>0.0028008223572399886</v>
      </c>
      <c r="F1229" s="287">
        <v>117.24006264076604</v>
      </c>
      <c r="G1229" s="235">
        <v>0.0</v>
      </c>
      <c r="H1229" s="235">
        <v>793.466949995859</v>
      </c>
      <c r="I1229" s="287">
        <v>0.0</v>
      </c>
      <c r="J1229" s="233">
        <v>43617.736116661734</v>
      </c>
    </row>
    <row r="1230">
      <c r="A1230" s="184">
        <v>42394.0</v>
      </c>
      <c r="B1230" s="279">
        <v>0.04521534287842241</v>
      </c>
      <c r="C1230" s="279">
        <v>0.018072968131429123</v>
      </c>
      <c r="D1230" s="279">
        <v>0.06326772782929081</v>
      </c>
      <c r="E1230" s="282">
        <v>0.00280868899617501</v>
      </c>
      <c r="F1230" s="287">
        <v>117.24006264076604</v>
      </c>
      <c r="G1230" s="235">
        <v>0.0</v>
      </c>
      <c r="H1230" s="235">
        <v>676.2268873550929</v>
      </c>
      <c r="I1230" s="287">
        <v>0.0</v>
      </c>
      <c r="J1230" s="233">
        <v>43500.496054020965</v>
      </c>
    </row>
    <row r="1231">
      <c r="A1231" s="184">
        <v>42391.0</v>
      </c>
      <c r="B1231" s="279">
        <v>0.03542173081799763</v>
      </c>
      <c r="C1231" s="279">
        <v>0.01869324417687417</v>
      </c>
      <c r="D1231" s="279">
        <v>0.05409368538613902</v>
      </c>
      <c r="E1231" s="282">
        <v>0.0028165999494596844</v>
      </c>
      <c r="F1231" s="287">
        <v>117.24006264076604</v>
      </c>
      <c r="G1231" s="235">
        <v>0.0</v>
      </c>
      <c r="H1231" s="235">
        <v>558.9868247143269</v>
      </c>
      <c r="I1231" s="287">
        <v>0.0</v>
      </c>
      <c r="J1231" s="233">
        <v>43383.255991380196</v>
      </c>
    </row>
    <row r="1232">
      <c r="A1232" s="184">
        <v>42390.0</v>
      </c>
      <c r="B1232" s="279">
        <v>0.024357549957260922</v>
      </c>
      <c r="C1232" s="279">
        <v>0.018911612378029817</v>
      </c>
      <c r="D1232" s="279">
        <v>0.04324762402849793</v>
      </c>
      <c r="E1232" s="282">
        <v>0.0028245555925990443</v>
      </c>
      <c r="F1232" s="287">
        <v>117.24006264076604</v>
      </c>
      <c r="G1232" s="235">
        <v>0.0</v>
      </c>
      <c r="H1232" s="235">
        <v>441.74676207356083</v>
      </c>
      <c r="I1232" s="287">
        <v>0.0</v>
      </c>
      <c r="J1232" s="233">
        <v>43266.01592873943</v>
      </c>
    </row>
    <row r="1233">
      <c r="A1233" s="184">
        <v>42389.0</v>
      </c>
      <c r="B1233" s="279">
        <v>0.013031256505000274</v>
      </c>
      <c r="C1233" s="279">
        <v>0.019134318738034534</v>
      </c>
      <c r="D1233" s="279">
        <v>0.03214378329748235</v>
      </c>
      <c r="E1233" s="282">
        <v>2.2289361012564073E-4</v>
      </c>
      <c r="F1233" s="287">
        <v>9.225610366146952</v>
      </c>
      <c r="G1233" s="235">
        <v>0.0</v>
      </c>
      <c r="H1233" s="235">
        <v>324.5066994327948</v>
      </c>
      <c r="I1233" s="287">
        <v>0.0</v>
      </c>
      <c r="J1233" s="233">
        <v>43148.77586609866</v>
      </c>
    </row>
    <row r="1234">
      <c r="A1234" s="184">
        <v>42388.0</v>
      </c>
      <c r="B1234" s="279">
        <v>0.012261276146406212</v>
      </c>
      <c r="C1234" s="279">
        <v>0.019361478192276106</v>
      </c>
      <c r="D1234" s="279">
        <v>0.03160070368277146</v>
      </c>
      <c r="E1234" s="282">
        <v>2.2294330276324562E-4</v>
      </c>
      <c r="F1234" s="287">
        <v>9.225610366146896</v>
      </c>
      <c r="G1234" s="235">
        <v>0.0</v>
      </c>
      <c r="H1234" s="235">
        <v>315.28108906664784</v>
      </c>
      <c r="I1234" s="287">
        <v>0.0</v>
      </c>
      <c r="J1234" s="233">
        <v>43139.55025573251</v>
      </c>
    </row>
    <row r="1235">
      <c r="A1235" s="184">
        <v>42387.0</v>
      </c>
      <c r="B1235" s="279">
        <v>0.01147276438728186</v>
      </c>
      <c r="C1235" s="279">
        <v>0.019594045506492526</v>
      </c>
      <c r="D1235" s="279">
        <v>0.031044494368530153</v>
      </c>
      <c r="E1235" s="282">
        <v>2.229930175630742E-4</v>
      </c>
      <c r="F1235" s="287">
        <v>9.225610366146896</v>
      </c>
      <c r="G1235" s="235">
        <v>0.0</v>
      </c>
      <c r="H1235" s="235">
        <v>306.05547870050094</v>
      </c>
      <c r="I1235" s="287">
        <v>0.0</v>
      </c>
      <c r="J1235" s="233">
        <v>43130.32464536636</v>
      </c>
    </row>
    <row r="1236">
      <c r="A1236" s="184">
        <v>42384.0</v>
      </c>
      <c r="B1236" s="279">
        <v>0.010928386091510695</v>
      </c>
      <c r="C1236" s="279">
        <v>0.020321900433127326</v>
      </c>
      <c r="D1236" s="279">
        <v>0.031227142050365163</v>
      </c>
      <c r="E1236" s="282">
        <v>2.2304275453995467E-4</v>
      </c>
      <c r="F1236" s="287">
        <v>9.225610366146896</v>
      </c>
      <c r="G1236" s="235">
        <v>0.0</v>
      </c>
      <c r="H1236" s="235">
        <v>296.82986833435405</v>
      </c>
      <c r="I1236" s="287">
        <v>0.0</v>
      </c>
      <c r="J1236" s="233">
        <v>43121.09903500021</v>
      </c>
    </row>
    <row r="1237">
      <c r="A1237" s="184">
        <v>42383.0</v>
      </c>
      <c r="B1237" s="279">
        <v>0.010083370919866315</v>
      </c>
      <c r="C1237" s="279">
        <v>0.02057809973265876</v>
      </c>
      <c r="D1237" s="279">
        <v>0.030638034394611397</v>
      </c>
      <c r="E1237" s="282">
        <v>2.230925137087295E-4</v>
      </c>
      <c r="F1237" s="287">
        <v>9.225610366146896</v>
      </c>
      <c r="G1237" s="235">
        <v>0.0</v>
      </c>
      <c r="H1237" s="235">
        <v>287.60425796820715</v>
      </c>
      <c r="I1237" s="287">
        <v>0.0</v>
      </c>
      <c r="J1237" s="233">
        <v>43111.87342463406</v>
      </c>
    </row>
    <row r="1238">
      <c r="A1238" s="184">
        <v>42382.0</v>
      </c>
      <c r="B1238" s="279">
        <v>0.009216752106544502</v>
      </c>
      <c r="C1238" s="279">
        <v>0.020840784144384172</v>
      </c>
      <c r="D1238" s="279">
        <v>0.03003380082352398</v>
      </c>
      <c r="E1238" s="282">
        <v>2.231422950842546E-4</v>
      </c>
      <c r="F1238" s="287">
        <v>9.225610366146896</v>
      </c>
      <c r="G1238" s="235">
        <v>0.0</v>
      </c>
      <c r="H1238" s="235">
        <v>278.37864760206025</v>
      </c>
      <c r="I1238" s="287">
        <v>0.0</v>
      </c>
      <c r="J1238" s="233">
        <v>43102.64781426791</v>
      </c>
    </row>
    <row r="1239">
      <c r="A1239" s="184">
        <v>42381.0</v>
      </c>
      <c r="B1239" s="279">
        <v>0.008327698848454728</v>
      </c>
      <c r="C1239" s="279">
        <v>0.0211102030169194</v>
      </c>
      <c r="D1239" s="279">
        <v>0.02941385959864678</v>
      </c>
      <c r="E1239" s="282">
        <v>2.2319209868139906E-4</v>
      </c>
      <c r="F1239" s="287">
        <v>9.225610366146896</v>
      </c>
      <c r="G1239" s="235">
        <v>0.0</v>
      </c>
      <c r="H1239" s="235">
        <v>269.15303723591336</v>
      </c>
      <c r="I1239" s="287">
        <v>0.0</v>
      </c>
      <c r="J1239" s="233">
        <v>43093.42220390176</v>
      </c>
    </row>
    <row r="1240">
      <c r="A1240" s="184">
        <v>42380.0</v>
      </c>
      <c r="B1240" s="279">
        <v>0.007415337197095584</v>
      </c>
      <c r="C1240" s="279">
        <v>0.02138661864613296</v>
      </c>
      <c r="D1240" s="279">
        <v>0.028777598768619912</v>
      </c>
      <c r="E1240" s="282">
        <v>2.2324192451504587E-4</v>
      </c>
      <c r="F1240" s="287">
        <v>9.225610366146924</v>
      </c>
      <c r="G1240" s="235">
        <v>0.0</v>
      </c>
      <c r="H1240" s="235">
        <v>259.92742686976646</v>
      </c>
      <c r="I1240" s="287">
        <v>0.0</v>
      </c>
      <c r="J1240" s="233">
        <v>43084.19659353561</v>
      </c>
    </row>
    <row r="1241">
      <c r="A1241" s="184">
        <v>42377.0</v>
      </c>
      <c r="B1241" s="279">
        <v>0.0066538484975558814</v>
      </c>
      <c r="C1241" s="279">
        <v>0.022255991102761483</v>
      </c>
      <c r="D1241" s="279">
        <v>0.02888449240332711</v>
      </c>
      <c r="E1241" s="282">
        <v>2.232917726000895E-4</v>
      </c>
      <c r="F1241" s="287">
        <v>9.225610366146924</v>
      </c>
      <c r="G1241" s="235">
        <v>0.0</v>
      </c>
      <c r="H1241" s="235">
        <v>250.7018165036195</v>
      </c>
      <c r="I1241" s="287">
        <v>0.0</v>
      </c>
      <c r="J1241" s="233">
        <v>43074.97098316946</v>
      </c>
    </row>
    <row r="1242">
      <c r="A1242" s="184">
        <v>42376.0</v>
      </c>
      <c r="B1242" s="279">
        <v>0.0056681095306589675</v>
      </c>
      <c r="C1242" s="279">
        <v>0.022563245825061314</v>
      </c>
      <c r="D1242" s="279">
        <v>0.028205658228415247</v>
      </c>
      <c r="E1242" s="282">
        <v>2.2334164295143954E-4</v>
      </c>
      <c r="F1242" s="287">
        <v>9.225610366146924</v>
      </c>
      <c r="G1242" s="235">
        <v>0.0</v>
      </c>
      <c r="H1242" s="235">
        <v>241.4762061374726</v>
      </c>
      <c r="I1242" s="287">
        <v>0.0</v>
      </c>
      <c r="J1242" s="233">
        <v>43065.745372803314</v>
      </c>
    </row>
    <row r="1243">
      <c r="A1243" s="184">
        <v>42375.0</v>
      </c>
      <c r="B1243" s="279">
        <v>0.004654758304196573</v>
      </c>
      <c r="C1243" s="279">
        <v>0.02287903386639479</v>
      </c>
      <c r="D1243" s="279">
        <v>0.027507735394432502</v>
      </c>
      <c r="E1243" s="282">
        <v>2.2339153558401835E-4</v>
      </c>
      <c r="F1243" s="287">
        <v>9.225610366146924</v>
      </c>
      <c r="G1243" s="235">
        <v>0.0</v>
      </c>
      <c r="H1243" s="235">
        <v>232.25059577132566</v>
      </c>
      <c r="I1243" s="287">
        <v>0.0</v>
      </c>
      <c r="J1243" s="233">
        <v>43056.519762437165</v>
      </c>
    </row>
    <row r="1244">
      <c r="A1244" s="184">
        <v>42374.0</v>
      </c>
      <c r="B1244" s="279">
        <v>0.0035862017523263442</v>
      </c>
      <c r="C1244" s="279">
        <v>0.023203715664075086</v>
      </c>
      <c r="D1244" s="279">
        <v>0.02678991741640143</v>
      </c>
      <c r="E1244" s="282">
        <v>2.2344264108943736E-4</v>
      </c>
      <c r="F1244" s="287">
        <v>9.225610366146924</v>
      </c>
      <c r="G1244" s="235">
        <v>0.0</v>
      </c>
      <c r="H1244" s="235">
        <v>223.02498540517874</v>
      </c>
      <c r="I1244" s="287">
        <v>0.0</v>
      </c>
      <c r="J1244" s="233">
        <v>43047.294152071016</v>
      </c>
    </row>
    <row r="1245">
      <c r="A1245" s="184">
        <v>42373.0</v>
      </c>
      <c r="B1245" s="279">
        <v>0.006643159809889967</v>
      </c>
      <c r="C1245" s="279">
        <v>0.019408191927397143</v>
      </c>
      <c r="D1245" s="279">
        <v>0.02605135173728711</v>
      </c>
      <c r="E1245" s="282">
        <v>2.233092434881884E-4</v>
      </c>
      <c r="F1245" s="287">
        <v>9.225610366146924</v>
      </c>
      <c r="G1245" s="235">
        <v>0.0</v>
      </c>
      <c r="H1245" s="235">
        <v>213.79937503903182</v>
      </c>
      <c r="I1245" s="287">
        <v>0.0</v>
      </c>
      <c r="J1245" s="233">
        <v>43038.068541704866</v>
      </c>
    </row>
    <row r="1246">
      <c r="A1246" s="184">
        <v>42369.0</v>
      </c>
      <c r="B1246" s="279">
        <v>0.025382193037515977</v>
      </c>
      <c r="C1246" s="279">
        <v>0.0010585404619547875</v>
      </c>
      <c r="D1246" s="279">
        <v>0.026440733499470764</v>
      </c>
      <c r="E1246" s="282">
        <v>2.225450507161161E-4</v>
      </c>
      <c r="F1246" s="287">
        <v>9.225610366146924</v>
      </c>
      <c r="G1246" s="235">
        <v>0.0</v>
      </c>
      <c r="H1246" s="235">
        <v>204.5737646728849</v>
      </c>
      <c r="I1246" s="287">
        <v>0.0</v>
      </c>
      <c r="J1246" s="233">
        <v>43028.84293133872</v>
      </c>
    </row>
    <row r="1247">
      <c r="A1247" s="184">
        <v>42368.0</v>
      </c>
      <c r="B1247" s="279">
        <v>0.024564530919365102</v>
      </c>
      <c r="C1247" s="279">
        <v>0.001074938513765613</v>
      </c>
      <c r="D1247" s="279">
        <v>0.025639469433130717</v>
      </c>
      <c r="E1247" s="282">
        <v>2.2259458804000062E-4</v>
      </c>
      <c r="F1247" s="287">
        <v>9.225610366146924</v>
      </c>
      <c r="G1247" s="235">
        <v>0.0</v>
      </c>
      <c r="H1247" s="235">
        <v>195.34815430673797</v>
      </c>
      <c r="I1247" s="287">
        <v>0.0</v>
      </c>
      <c r="J1247" s="233">
        <v>43019.61732097257</v>
      </c>
    </row>
    <row r="1248">
      <c r="A1248" s="184">
        <v>42367.0</v>
      </c>
      <c r="B1248" s="279">
        <v>0.02372105638325516</v>
      </c>
      <c r="C1248" s="279">
        <v>0.0010918488966454912</v>
      </c>
      <c r="D1248" s="279">
        <v>0.02481290527990065</v>
      </c>
      <c r="E1248" s="282">
        <v>2.226441474222756E-4</v>
      </c>
      <c r="F1248" s="287">
        <v>9.225610366146924</v>
      </c>
      <c r="G1248" s="235">
        <v>0.0</v>
      </c>
      <c r="H1248" s="235">
        <v>186.12254394059104</v>
      </c>
      <c r="I1248" s="287">
        <v>0.0</v>
      </c>
      <c r="J1248" s="233">
        <v>43010.39171060642</v>
      </c>
    </row>
    <row r="1249">
      <c r="A1249" s="184">
        <v>42366.0</v>
      </c>
      <c r="B1249" s="279">
        <v>0.022850540451445304</v>
      </c>
      <c r="C1249" s="279">
        <v>0.0011092959982866172</v>
      </c>
      <c r="D1249" s="279">
        <v>0.02395983644973192</v>
      </c>
      <c r="E1249" s="282">
        <v>2.226937288776778E-4</v>
      </c>
      <c r="F1249" s="287">
        <v>9.225610366146924</v>
      </c>
      <c r="G1249" s="235">
        <v>0.0</v>
      </c>
      <c r="H1249" s="235">
        <v>176.89693357444412</v>
      </c>
      <c r="I1249" s="287">
        <v>0.0</v>
      </c>
      <c r="J1249" s="233">
        <v>43001.16610024027</v>
      </c>
    </row>
    <row r="1250">
      <c r="A1250" s="184">
        <v>42362.0</v>
      </c>
      <c r="B1250" s="279">
        <v>0.02306786174080943</v>
      </c>
      <c r="C1250" s="279">
        <v>0.0011846264117740912</v>
      </c>
      <c r="D1250" s="279">
        <v>0.02425248815258352</v>
      </c>
      <c r="E1250" s="282">
        <v>2.2274333242095726E-4</v>
      </c>
      <c r="F1250" s="287">
        <v>9.225610366146924</v>
      </c>
      <c r="G1250" s="235">
        <v>0.0</v>
      </c>
      <c r="H1250" s="235">
        <v>167.6713232082972</v>
      </c>
      <c r="I1250" s="287">
        <v>0.0</v>
      </c>
      <c r="J1250" s="233">
        <v>42991.94048987412</v>
      </c>
    </row>
    <row r="1251">
      <c r="A1251" s="184">
        <v>42361.0</v>
      </c>
      <c r="B1251" s="279">
        <v>0.02211046562543036</v>
      </c>
      <c r="C1251" s="279">
        <v>0.0012051768950875862</v>
      </c>
      <c r="D1251" s="279">
        <v>0.023315642520517946</v>
      </c>
      <c r="E1251" s="282">
        <v>2.2279295806687703E-4</v>
      </c>
      <c r="F1251" s="287">
        <v>9.225610366146924</v>
      </c>
      <c r="G1251" s="235">
        <v>0.0</v>
      </c>
      <c r="H1251" s="235">
        <v>158.44571284215027</v>
      </c>
      <c r="I1251" s="287">
        <v>0.0</v>
      </c>
      <c r="J1251" s="233">
        <v>42982.71487950797</v>
      </c>
    </row>
    <row r="1252">
      <c r="A1252" s="184">
        <v>42360.0</v>
      </c>
      <c r="B1252" s="279">
        <v>0.021119185193539225</v>
      </c>
      <c r="C1252" s="279">
        <v>0.001226448280887528</v>
      </c>
      <c r="D1252" s="279">
        <v>0.02234563347442675</v>
      </c>
      <c r="E1252" s="282">
        <v>2.2284260583021329E-4</v>
      </c>
      <c r="F1252" s="287">
        <v>9.225610366146924</v>
      </c>
      <c r="G1252" s="235">
        <v>0.0</v>
      </c>
      <c r="H1252" s="235">
        <v>149.22010247600335</v>
      </c>
      <c r="I1252" s="287">
        <v>0.0</v>
      </c>
      <c r="J1252" s="233">
        <v>42973.48926914182</v>
      </c>
    </row>
    <row r="1253">
      <c r="A1253" s="184">
        <v>42359.0</v>
      </c>
      <c r="B1253" s="279">
        <v>0.02009220555440789</v>
      </c>
      <c r="C1253" s="279">
        <v>0.0012484791743929877</v>
      </c>
      <c r="D1253" s="279">
        <v>0.021340684728800876</v>
      </c>
      <c r="E1253" s="282">
        <v>2.2289227572575511E-4</v>
      </c>
      <c r="F1253" s="287">
        <v>9.22561036614691</v>
      </c>
      <c r="G1253" s="235">
        <v>0.0</v>
      </c>
      <c r="H1253" s="235">
        <v>139.99449210985642</v>
      </c>
      <c r="I1253" s="287">
        <v>0.0</v>
      </c>
      <c r="J1253" s="233">
        <v>42964.26365877567</v>
      </c>
    </row>
    <row r="1254">
      <c r="A1254" s="184">
        <v>42356.0</v>
      </c>
      <c r="B1254" s="279">
        <v>0.019745601751725322</v>
      </c>
      <c r="C1254" s="279">
        <v>0.0013192849865015946</v>
      </c>
      <c r="D1254" s="279">
        <v>0.02106488673822692</v>
      </c>
      <c r="E1254" s="282">
        <v>2.2294196776830578E-4</v>
      </c>
      <c r="F1254" s="287">
        <v>9.22561036614691</v>
      </c>
      <c r="G1254" s="235">
        <v>0.0</v>
      </c>
      <c r="H1254" s="235">
        <v>130.76888174370953</v>
      </c>
      <c r="I1254" s="287">
        <v>0.0</v>
      </c>
      <c r="J1254" s="233">
        <v>42955.03804840952</v>
      </c>
    </row>
    <row r="1255">
      <c r="A1255" s="184">
        <v>42355.0</v>
      </c>
      <c r="B1255" s="279">
        <v>0.018612571648149372</v>
      </c>
      <c r="C1255" s="279">
        <v>0.0013447954341837991</v>
      </c>
      <c r="D1255" s="279">
        <v>0.01995736708233317</v>
      </c>
      <c r="E1255" s="282">
        <v>2.2299168197268066E-4</v>
      </c>
      <c r="F1255" s="287">
        <v>9.22561036614691</v>
      </c>
      <c r="G1255" s="235">
        <v>0.0</v>
      </c>
      <c r="H1255" s="235">
        <v>121.54327137756263</v>
      </c>
      <c r="I1255" s="287">
        <v>0.0</v>
      </c>
      <c r="J1255" s="233">
        <v>42945.81243804337</v>
      </c>
    </row>
    <row r="1256">
      <c r="A1256" s="184">
        <v>42354.0</v>
      </c>
      <c r="B1256" s="279">
        <v>0.01743478504026375</v>
      </c>
      <c r="C1256" s="279">
        <v>0.0013713060304322564</v>
      </c>
      <c r="D1256" s="279">
        <v>0.018806091070696005</v>
      </c>
      <c r="E1256" s="282">
        <v>2.2304141835370893E-4</v>
      </c>
      <c r="F1256" s="287">
        <v>9.22561036614691</v>
      </c>
      <c r="G1256" s="235">
        <v>0.0</v>
      </c>
      <c r="H1256" s="235">
        <v>112.31766101141572</v>
      </c>
      <c r="I1256" s="287">
        <v>0.0</v>
      </c>
      <c r="J1256" s="233">
        <v>42936.58682767722</v>
      </c>
    </row>
    <row r="1257">
      <c r="A1257" s="184">
        <v>42353.0</v>
      </c>
      <c r="B1257" s="279">
        <v>0.016209557157298774</v>
      </c>
      <c r="C1257" s="279">
        <v>0.0013988767599395946</v>
      </c>
      <c r="D1257" s="279">
        <v>0.01760843391723837</v>
      </c>
      <c r="E1257" s="282">
        <v>2.2309117692623277E-4</v>
      </c>
      <c r="F1257" s="287">
        <v>9.22561036614691</v>
      </c>
      <c r="G1257" s="235">
        <v>0.0</v>
      </c>
      <c r="H1257" s="235">
        <v>103.09205064526881</v>
      </c>
      <c r="I1257" s="287">
        <v>0.0</v>
      </c>
      <c r="J1257" s="233">
        <v>42927.361217311074</v>
      </c>
    </row>
    <row r="1258">
      <c r="A1258" s="184">
        <v>42352.0</v>
      </c>
      <c r="B1258" s="279">
        <v>0.014933984146152083</v>
      </c>
      <c r="C1258" s="279">
        <v>0.0014275725013611535</v>
      </c>
      <c r="D1258" s="279">
        <v>0.016361556647513237</v>
      </c>
      <c r="E1258" s="282">
        <v>2.2314095770510766E-4</v>
      </c>
      <c r="F1258" s="287">
        <v>9.22561036614691</v>
      </c>
      <c r="G1258" s="235">
        <v>0.0</v>
      </c>
      <c r="H1258" s="235">
        <v>93.8664402791219</v>
      </c>
      <c r="I1258" s="287">
        <v>0.0</v>
      </c>
      <c r="J1258" s="233">
        <v>42918.135606944925</v>
      </c>
    </row>
    <row r="1259">
      <c r="A1259" s="184">
        <v>42349.0</v>
      </c>
      <c r="B1259" s="279">
        <v>0.014196438534643955</v>
      </c>
      <c r="C1259" s="279">
        <v>0.0015208315165588702</v>
      </c>
      <c r="D1259" s="279">
        <v>0.015717270051202825</v>
      </c>
      <c r="E1259" s="282">
        <v>2.2319076070520237E-4</v>
      </c>
      <c r="F1259" s="287">
        <v>9.22561036614691</v>
      </c>
      <c r="G1259" s="235">
        <v>0.0</v>
      </c>
      <c r="H1259" s="235">
        <v>84.640829912975</v>
      </c>
      <c r="I1259" s="287">
        <v>0.0</v>
      </c>
      <c r="J1259" s="233">
        <v>42908.909996578775</v>
      </c>
    </row>
    <row r="1260">
      <c r="A1260" s="184">
        <v>42348.0</v>
      </c>
      <c r="B1260" s="279">
        <v>0.01276201669156015</v>
      </c>
      <c r="C1260" s="279">
        <v>0.0015547872868019409</v>
      </c>
      <c r="D1260" s="279">
        <v>0.014316803978362092</v>
      </c>
      <c r="E1260" s="282">
        <v>1.4640761630498782E-4</v>
      </c>
      <c r="F1260" s="287">
        <v>6.050421418535052</v>
      </c>
      <c r="G1260" s="235">
        <v>0.0</v>
      </c>
      <c r="H1260" s="235">
        <v>75.41521954682808</v>
      </c>
      <c r="I1260" s="287">
        <v>0.0</v>
      </c>
      <c r="J1260" s="233">
        <v>42899.684386212626</v>
      </c>
    </row>
    <row r="1261">
      <c r="A1261" s="184">
        <v>42347.0</v>
      </c>
      <c r="B1261" s="279">
        <v>0.011878562463303592</v>
      </c>
      <c r="C1261" s="279">
        <v>0.0015902860254713683</v>
      </c>
      <c r="D1261" s="279">
        <v>0.01346884848877496</v>
      </c>
      <c r="E1261" s="282">
        <v>1.518466452997405E-4</v>
      </c>
      <c r="F1261" s="287">
        <v>6.050421418535024</v>
      </c>
      <c r="G1261" s="235">
        <v>0.0</v>
      </c>
      <c r="H1261" s="235">
        <v>69.36479812829303</v>
      </c>
      <c r="I1261" s="287">
        <v>0.0</v>
      </c>
      <c r="J1261" s="233">
        <v>42893.63396479409</v>
      </c>
    </row>
    <row r="1262">
      <c r="A1262" s="184">
        <v>42346.0</v>
      </c>
      <c r="B1262" s="279">
        <v>0.011768506339931687</v>
      </c>
      <c r="C1262" s="279">
        <v>8.127260024399718E-4</v>
      </c>
      <c r="D1262" s="279">
        <v>0.012581232342371658</v>
      </c>
      <c r="E1262" s="282">
        <v>1.518540784770923E-4</v>
      </c>
      <c r="F1262" s="287">
        <v>6.050421418535024</v>
      </c>
      <c r="G1262" s="235">
        <v>0.0</v>
      </c>
      <c r="H1262" s="235">
        <v>63.31437670975801</v>
      </c>
      <c r="I1262" s="287">
        <v>0.0</v>
      </c>
      <c r="J1262" s="233">
        <v>42887.58354337556</v>
      </c>
    </row>
    <row r="1263">
      <c r="A1263" s="184">
        <v>42345.0</v>
      </c>
      <c r="B1263" s="279">
        <v>0.010818952319360317</v>
      </c>
      <c r="C1263" s="279">
        <v>8.32165197112723E-4</v>
      </c>
      <c r="D1263" s="279">
        <v>0.01165111751647304</v>
      </c>
      <c r="E1263" s="282">
        <v>1.5187714164047785E-4</v>
      </c>
      <c r="F1263" s="287">
        <v>6.050421418535024</v>
      </c>
      <c r="G1263" s="235">
        <v>0.0</v>
      </c>
      <c r="H1263" s="235">
        <v>57.263955291222985</v>
      </c>
      <c r="I1263" s="287">
        <v>0.0</v>
      </c>
      <c r="J1263" s="233">
        <v>42881.53312195702</v>
      </c>
    </row>
    <row r="1264">
      <c r="A1264" s="184">
        <v>42342.0</v>
      </c>
      <c r="B1264" s="279">
        <v>0.01032656878356971</v>
      </c>
      <c r="C1264" s="279">
        <v>8.962754457020725E-4</v>
      </c>
      <c r="D1264" s="279">
        <v>0.011222844229271783</v>
      </c>
      <c r="E1264" s="282">
        <v>1.519002118104622E-4</v>
      </c>
      <c r="F1264" s="287">
        <v>6.050421418535024</v>
      </c>
      <c r="G1264" s="235">
        <v>0.0</v>
      </c>
      <c r="H1264" s="235">
        <v>51.21353387268796</v>
      </c>
      <c r="I1264" s="287">
        <v>0.0</v>
      </c>
      <c r="J1264" s="233">
        <v>42875.48270053849</v>
      </c>
    </row>
    <row r="1265">
      <c r="A1265" s="184">
        <v>42341.0</v>
      </c>
      <c r="B1265" s="279">
        <v>0.00923858006615195</v>
      </c>
      <c r="C1265" s="279">
        <v>9.199641861263651E-4</v>
      </c>
      <c r="D1265" s="279">
        <v>0.010158544252278315</v>
      </c>
      <c r="E1265" s="282">
        <v>1.5192328899023876E-4</v>
      </c>
      <c r="F1265" s="287">
        <v>6.050421418535024</v>
      </c>
      <c r="G1265" s="235">
        <v>0.0</v>
      </c>
      <c r="H1265" s="235">
        <v>45.16311245415294</v>
      </c>
      <c r="I1265" s="287">
        <v>0.0</v>
      </c>
      <c r="J1265" s="233">
        <v>42869.43227911995</v>
      </c>
    </row>
    <row r="1266">
      <c r="A1266" s="184">
        <v>42340.0</v>
      </c>
      <c r="B1266" s="279">
        <v>0.008091493273322141</v>
      </c>
      <c r="C1266" s="279">
        <v>9.449361687892829E-4</v>
      </c>
      <c r="D1266" s="279">
        <v>0.009036429442111424</v>
      </c>
      <c r="E1266" s="282">
        <v>1.5194637318300286E-4</v>
      </c>
      <c r="F1266" s="287">
        <v>6.050421418535024</v>
      </c>
      <c r="G1266" s="235">
        <v>0.0</v>
      </c>
      <c r="H1266" s="235">
        <v>39.112691035617914</v>
      </c>
      <c r="I1266" s="287">
        <v>0.0</v>
      </c>
      <c r="J1266" s="233">
        <v>42863.38185770142</v>
      </c>
    </row>
    <row r="1267">
      <c r="A1267" s="184">
        <v>42339.0</v>
      </c>
      <c r="B1267" s="279">
        <v>0.006781476633483412</v>
      </c>
      <c r="C1267" s="279">
        <v>9.573374746793418E-4</v>
      </c>
      <c r="D1267" s="279">
        <v>0.007738814108162754</v>
      </c>
      <c r="E1267" s="282">
        <v>1.5196946439195177E-4</v>
      </c>
      <c r="F1267" s="287">
        <v>6.050421418535024</v>
      </c>
      <c r="G1267" s="235">
        <v>0.0</v>
      </c>
      <c r="H1267" s="235">
        <v>33.06226961708289</v>
      </c>
      <c r="I1267" s="287">
        <v>0.0</v>
      </c>
      <c r="J1267" s="233">
        <v>42857.33143628288</v>
      </c>
    </row>
    <row r="1268">
      <c r="A1268" s="184">
        <v>42338.0</v>
      </c>
      <c r="B1268" s="279">
        <v>0.0053659181257333325</v>
      </c>
      <c r="C1268" s="279">
        <v>9.574535588993073E-4</v>
      </c>
      <c r="D1268" s="279">
        <v>0.00632337168463264</v>
      </c>
      <c r="E1268" s="282">
        <v>1.5199256262028482E-4</v>
      </c>
      <c r="F1268" s="287">
        <v>6.050421418535027</v>
      </c>
      <c r="G1268" s="235">
        <v>0.0</v>
      </c>
      <c r="H1268" s="235">
        <v>27.011848198547867</v>
      </c>
      <c r="I1268" s="287">
        <v>0.0</v>
      </c>
      <c r="J1268" s="233">
        <v>42851.28101486435</v>
      </c>
    </row>
    <row r="1269">
      <c r="A1269" s="184">
        <v>42335.0</v>
      </c>
      <c r="B1269" s="279">
        <v>0.003950032223134473</v>
      </c>
      <c r="C1269" s="279">
        <v>9.575735356158005E-4</v>
      </c>
      <c r="D1269" s="279">
        <v>0.004907605758750273</v>
      </c>
      <c r="E1269" s="282">
        <v>1.5201566787120295E-4</v>
      </c>
      <c r="F1269" s="287">
        <v>6.050421418535025</v>
      </c>
      <c r="G1269" s="235">
        <v>0.0</v>
      </c>
      <c r="H1269" s="235">
        <v>20.96142678001284</v>
      </c>
      <c r="I1269" s="287">
        <v>0.0</v>
      </c>
      <c r="J1269" s="233">
        <v>42845.23059344581</v>
      </c>
    </row>
    <row r="1270">
      <c r="A1270" s="184">
        <v>42334.0</v>
      </c>
      <c r="B1270" s="279">
        <v>0.002533802936984131</v>
      </c>
      <c r="C1270" s="279">
        <v>9.576978909148045E-4</v>
      </c>
      <c r="D1270" s="279">
        <v>0.0034915008278989354</v>
      </c>
      <c r="E1270" s="282">
        <v>1.5203878014790947E-4</v>
      </c>
      <c r="F1270" s="287">
        <v>6.050421418535025</v>
      </c>
      <c r="G1270" s="235">
        <v>0.0</v>
      </c>
      <c r="H1270" s="235">
        <v>14.911005361477814</v>
      </c>
      <c r="I1270" s="287">
        <v>0.0</v>
      </c>
      <c r="J1270" s="233">
        <v>42839.18017202728</v>
      </c>
    </row>
    <row r="1271">
      <c r="A1271" s="184">
        <v>42333.0</v>
      </c>
      <c r="B1271" s="279">
        <v>0.0011172115010269444</v>
      </c>
      <c r="C1271" s="279">
        <v>9.578271955490464E-4</v>
      </c>
      <c r="D1271" s="279">
        <v>0.002075038696575991</v>
      </c>
      <c r="E1271" s="282">
        <v>1.5206189945360938E-4</v>
      </c>
      <c r="F1271" s="287">
        <v>6.050421418535025</v>
      </c>
      <c r="G1271" s="235">
        <v>0.0</v>
      </c>
      <c r="H1271" s="235">
        <v>8.860583942942789</v>
      </c>
      <c r="I1271" s="287">
        <v>0.0</v>
      </c>
      <c r="J1271" s="233">
        <v>42833.12975060874</v>
      </c>
    </row>
    <row r="1272">
      <c r="A1272" s="184">
        <v>42332.0</v>
      </c>
      <c r="B1272" s="279">
        <v>-2.997642608224422E-4</v>
      </c>
      <c r="C1272" s="279">
        <v>9.579621242114732E-4</v>
      </c>
      <c r="D1272" s="279">
        <v>6.58197863389031E-4</v>
      </c>
      <c r="E1272" s="282">
        <v>1.5208502579150968E-4</v>
      </c>
      <c r="F1272" s="287">
        <v>6.050421418535025</v>
      </c>
      <c r="G1272" s="235">
        <v>0.0</v>
      </c>
      <c r="H1272" s="235">
        <v>2.8101625244077635</v>
      </c>
      <c r="I1272" s="287">
        <v>0.0</v>
      </c>
      <c r="J1272" s="233">
        <v>42827.07932919021</v>
      </c>
    </row>
    <row r="1273">
      <c r="A1273" s="184">
        <v>42331.0</v>
      </c>
      <c r="B1273" s="279">
        <v>-0.0017171507477126435</v>
      </c>
      <c r="C1273" s="279">
        <v>9.581034803247403E-4</v>
      </c>
      <c r="D1273" s="279">
        <v>-7.590472673879032E-4</v>
      </c>
      <c r="E1273" s="282">
        <v>1.5210815916481935E-4</v>
      </c>
      <c r="F1273" s="287">
        <v>6.050421418535025</v>
      </c>
      <c r="G1273" s="235">
        <v>0.0</v>
      </c>
      <c r="H1273" s="235">
        <v>-3.240258894127262</v>
      </c>
      <c r="I1273" s="287">
        <v>0.0</v>
      </c>
      <c r="J1273" s="233">
        <v>42821.02890777167</v>
      </c>
    </row>
    <row r="1274">
      <c r="A1274" s="184">
        <v>42328.0</v>
      </c>
      <c r="B1274" s="279">
        <v>-0.0031349796394916597</v>
      </c>
      <c r="C1274" s="279">
        <v>9.582522282807417E-4</v>
      </c>
      <c r="D1274" s="279">
        <v>-0.002176727411210918</v>
      </c>
      <c r="E1274" s="282">
        <v>1.5213129957674932E-4</v>
      </c>
      <c r="F1274" s="287">
        <v>6.050421418535025</v>
      </c>
      <c r="G1274" s="235">
        <v>0.0</v>
      </c>
      <c r="H1274" s="235">
        <v>-9.290680312662287</v>
      </c>
      <c r="I1274" s="287">
        <v>0.0</v>
      </c>
      <c r="J1274" s="233">
        <v>42814.97848635314</v>
      </c>
    </row>
    <row r="1275">
      <c r="A1275" s="184">
        <v>42327.0</v>
      </c>
      <c r="B1275" s="279">
        <v>-0.004553289288957237</v>
      </c>
      <c r="C1275" s="279">
        <v>9.584095358800628E-4</v>
      </c>
      <c r="D1275" s="279">
        <v>-0.0035948797530771744</v>
      </c>
      <c r="E1275" s="282">
        <v>1.521544470305124E-4</v>
      </c>
      <c r="F1275" s="287">
        <v>6.050421418535024</v>
      </c>
      <c r="G1275" s="235">
        <v>0.0</v>
      </c>
      <c r="H1275" s="235">
        <v>-15.341101731197313</v>
      </c>
      <c r="I1275" s="287">
        <v>0.0</v>
      </c>
      <c r="J1275" s="233">
        <v>42808.928064934604</v>
      </c>
    </row>
    <row r="1276">
      <c r="A1276" s="184">
        <v>42326.0</v>
      </c>
      <c r="B1276" s="279">
        <v>-0.005972126579105814</v>
      </c>
      <c r="C1276" s="279">
        <v>9.585768309458125E-4</v>
      </c>
      <c r="D1276" s="279">
        <v>-0.005013549748160002</v>
      </c>
      <c r="E1276" s="282">
        <v>1.5217760152932353E-4</v>
      </c>
      <c r="F1276" s="287">
        <v>6.050421418535024</v>
      </c>
      <c r="G1276" s="235">
        <v>0.0</v>
      </c>
      <c r="H1276" s="235">
        <v>-21.391523149732336</v>
      </c>
      <c r="I1276" s="287">
        <v>0.0</v>
      </c>
      <c r="J1276" s="233">
        <v>42802.87764351607</v>
      </c>
    </row>
    <row r="1277">
      <c r="A1277" s="184">
        <v>42325.0</v>
      </c>
      <c r="B1277" s="279">
        <v>-0.0073915494372498655</v>
      </c>
      <c r="C1277" s="279">
        <v>9.587558779605304E-4</v>
      </c>
      <c r="D1277" s="279">
        <v>-0.006432793559289335</v>
      </c>
      <c r="E1277" s="282">
        <v>1.5220076307639944E-4</v>
      </c>
      <c r="F1277" s="287">
        <v>6.050421418535024</v>
      </c>
      <c r="G1277" s="235">
        <v>0.0</v>
      </c>
      <c r="H1277" s="235">
        <v>-27.44194456826736</v>
      </c>
      <c r="I1277" s="287">
        <v>0.0</v>
      </c>
      <c r="J1277" s="233">
        <v>42796.827222097534</v>
      </c>
    </row>
    <row r="1278">
      <c r="A1278" s="184">
        <v>42324.0</v>
      </c>
      <c r="B1278" s="279">
        <v>-0.008811630294021284</v>
      </c>
      <c r="C1278" s="279">
        <v>9.589488835057081E-4</v>
      </c>
      <c r="D1278" s="279">
        <v>-0.007852681410515575</v>
      </c>
      <c r="E1278" s="282">
        <v>1.5222393167495886E-4</v>
      </c>
      <c r="F1278" s="287">
        <v>6.050421418535024</v>
      </c>
      <c r="G1278" s="235">
        <v>0.0</v>
      </c>
      <c r="H1278" s="235">
        <v>-33.49236598680238</v>
      </c>
      <c r="I1278" s="287">
        <v>0.0</v>
      </c>
      <c r="J1278" s="233">
        <v>42790.776800679</v>
      </c>
    </row>
    <row r="1279">
      <c r="A1279" s="184">
        <v>42321.0</v>
      </c>
      <c r="B1279" s="279">
        <v>-0.010232460929251376</v>
      </c>
      <c r="C1279" s="279">
        <v>9.591586439769537E-4</v>
      </c>
      <c r="D1279" s="279">
        <v>-0.009273302285274423</v>
      </c>
      <c r="E1279" s="282">
        <v>1.522471073282225E-4</v>
      </c>
      <c r="F1279" s="287">
        <v>6.050421418535024</v>
      </c>
      <c r="G1279" s="235">
        <v>0.0</v>
      </c>
      <c r="H1279" s="235">
        <v>-39.54278740533741</v>
      </c>
      <c r="I1279" s="287">
        <v>0.0</v>
      </c>
      <c r="J1279" s="233">
        <v>42784.726379260464</v>
      </c>
    </row>
    <row r="1280">
      <c r="A1280" s="184">
        <v>42320.0</v>
      </c>
      <c r="B1280" s="279">
        <v>-0.011654159399924965</v>
      </c>
      <c r="C1280" s="279">
        <v>9.593887567662531E-4</v>
      </c>
      <c r="D1280" s="279">
        <v>-0.010694770643158713</v>
      </c>
      <c r="E1280" s="282">
        <v>1.52270290039413E-4</v>
      </c>
      <c r="F1280" s="287">
        <v>6.050421418535024</v>
      </c>
      <c r="G1280" s="235">
        <v>0.0</v>
      </c>
      <c r="H1280" s="235">
        <v>-45.59320882387243</v>
      </c>
      <c r="I1280" s="287">
        <v>0.0</v>
      </c>
      <c r="J1280" s="233">
        <v>42778.67595784193</v>
      </c>
    </row>
    <row r="1281">
      <c r="A1281" s="184">
        <v>42319.0</v>
      </c>
      <c r="B1281" s="279">
        <v>-0.013076880174388636</v>
      </c>
      <c r="C1281" s="279">
        <v>9.596439291792888E-4</v>
      </c>
      <c r="D1281" s="279">
        <v>-0.012117236245209348</v>
      </c>
      <c r="E1281" s="282">
        <v>1.5229347981175507E-4</v>
      </c>
      <c r="F1281" s="287">
        <v>6.050421418535024</v>
      </c>
      <c r="G1281" s="235">
        <v>0.0</v>
      </c>
      <c r="H1281" s="235">
        <v>-51.643630242407454</v>
      </c>
      <c r="I1281" s="287">
        <v>0.0</v>
      </c>
      <c r="J1281" s="233">
        <v>42772.625536423395</v>
      </c>
    </row>
    <row r="1282">
      <c r="A1282" s="184">
        <v>42318.0</v>
      </c>
      <c r="B1282" s="279">
        <v>-0.014500829348665803</v>
      </c>
      <c r="C1282" s="279">
        <v>9.599304422687391E-4</v>
      </c>
      <c r="D1282" s="279">
        <v>-0.013540898906397064</v>
      </c>
      <c r="E1282" s="282">
        <v>1.5231667664847523E-4</v>
      </c>
      <c r="F1282" s="287">
        <v>6.050421418535024</v>
      </c>
      <c r="G1282" s="235">
        <v>0.0</v>
      </c>
      <c r="H1282" s="235">
        <v>-57.69405166094248</v>
      </c>
      <c r="I1282" s="287">
        <v>0.0</v>
      </c>
      <c r="J1282" s="233">
        <v>42766.57511500486</v>
      </c>
    </row>
    <row r="1283">
      <c r="A1283" s="184">
        <v>42317.0</v>
      </c>
      <c r="B1283" s="279">
        <v>-0.014966031320910192</v>
      </c>
      <c r="C1283" s="279">
        <v>0.0</v>
      </c>
      <c r="D1283" s="279">
        <v>-0.014966031320910192</v>
      </c>
      <c r="E1283" s="282">
        <v>1.5232419426483405E-4</v>
      </c>
      <c r="F1283" s="287">
        <v>6.050421418535024</v>
      </c>
      <c r="G1283" s="235">
        <v>0.0</v>
      </c>
      <c r="H1283" s="235">
        <v>-63.7444730794775</v>
      </c>
      <c r="I1283" s="287">
        <v>0.0</v>
      </c>
      <c r="J1283" s="233">
        <v>42760.524693586325</v>
      </c>
    </row>
    <row r="1284">
      <c r="A1284" s="184">
        <v>42314.0</v>
      </c>
      <c r="B1284" s="279">
        <v>-0.016393015631302195</v>
      </c>
      <c r="C1284" s="279">
        <v>0.0</v>
      </c>
      <c r="D1284" s="279">
        <v>-0.016393015631302195</v>
      </c>
      <c r="E1284" s="282">
        <v>1.5234740045985744E-4</v>
      </c>
      <c r="F1284" s="287">
        <v>6.050421418535024</v>
      </c>
      <c r="G1284" s="235">
        <v>0.0</v>
      </c>
      <c r="H1284" s="235">
        <v>-69.79489449801252</v>
      </c>
      <c r="I1284" s="287">
        <v>0.0</v>
      </c>
      <c r="J1284" s="233">
        <v>42754.47427216779</v>
      </c>
    </row>
    <row r="1285">
      <c r="A1285" s="184">
        <v>42313.0</v>
      </c>
      <c r="B1285" s="279">
        <v>-0.0178224044734091</v>
      </c>
      <c r="C1285" s="279">
        <v>0.0</v>
      </c>
      <c r="D1285" s="279">
        <v>-0.0178224044734091</v>
      </c>
      <c r="E1285" s="282">
        <v>1.603944173695922E-4</v>
      </c>
      <c r="F1285" s="287">
        <v>6.050421418535024</v>
      </c>
      <c r="G1285" s="235">
        <v>0.0</v>
      </c>
      <c r="H1285" s="235">
        <v>-75.84531591654755</v>
      </c>
      <c r="I1285" s="287">
        <v>0.0</v>
      </c>
      <c r="J1285" s="233">
        <v>42748.423850749256</v>
      </c>
    </row>
    <row r="1286">
      <c r="A1286" s="184">
        <v>42312.0</v>
      </c>
      <c r="B1286" s="174">
        <v>-0.01925502800859039</v>
      </c>
      <c r="C1286" s="174">
        <v>0.0</v>
      </c>
      <c r="D1286" s="174">
        <v>-0.01925502800859039</v>
      </c>
      <c r="E1286" s="282">
        <v>0.007352045278671571</v>
      </c>
      <c r="F1286" s="287">
        <v>277.29043275375744</v>
      </c>
      <c r="G1286" s="235">
        <v>0.0</v>
      </c>
      <c r="H1286" s="235">
        <v>-81.89573733508257</v>
      </c>
      <c r="I1286" s="287">
        <v>0.0</v>
      </c>
      <c r="J1286" s="233">
        <v>42742.37342933072</v>
      </c>
    </row>
    <row r="1287">
      <c r="A1287" s="184">
        <v>42311.0</v>
      </c>
      <c r="B1287" s="279">
        <v>-0.08451022442408837</v>
      </c>
      <c r="C1287" s="279">
        <v>0.0</v>
      </c>
      <c r="D1287" s="279">
        <v>-0.08451022442408837</v>
      </c>
      <c r="E1287" s="282">
        <v>0.007406498188711376</v>
      </c>
      <c r="F1287" s="287">
        <v>277.29043275375744</v>
      </c>
      <c r="G1287" s="235">
        <v>0.0</v>
      </c>
      <c r="H1287" s="235">
        <v>-359.18617008884</v>
      </c>
      <c r="I1287" s="287">
        <v>0.0</v>
      </c>
      <c r="J1287" s="233">
        <v>42465.082996576966</v>
      </c>
    </row>
    <row r="1288">
      <c r="A1288" s="184">
        <v>42310.0</v>
      </c>
      <c r="B1288" s="174">
        <v>-0.14973008172538002</v>
      </c>
      <c r="C1288" s="174">
        <v>0.0</v>
      </c>
      <c r="D1288" s="174">
        <v>-0.14973008172538002</v>
      </c>
      <c r="E1288" s="282">
        <v>-0.003461549117420455</v>
      </c>
      <c r="F1288" s="287">
        <v>-128.6364039019386</v>
      </c>
      <c r="G1288" s="235">
        <v>0.0</v>
      </c>
      <c r="H1288" s="235">
        <v>-636.4766028425975</v>
      </c>
      <c r="I1288" s="287">
        <v>0.0</v>
      </c>
      <c r="J1288" s="233">
        <v>42187.79256382321</v>
      </c>
    </row>
    <row r="1289">
      <c r="A1289" s="184">
        <v>42307.0</v>
      </c>
      <c r="B1289" s="279">
        <v>-0.11928871258683904</v>
      </c>
      <c r="C1289" s="279">
        <v>0.0</v>
      </c>
      <c r="D1289" s="279">
        <v>-0.11928871258683904</v>
      </c>
      <c r="E1289" s="282">
        <v>-0.0034496081294445283</v>
      </c>
      <c r="F1289" s="287">
        <v>-128.63640390193854</v>
      </c>
      <c r="G1289" s="235">
        <v>0.0</v>
      </c>
      <c r="H1289" s="235">
        <v>-507.8401989406589</v>
      </c>
      <c r="I1289" s="287">
        <v>0.0</v>
      </c>
      <c r="J1289" s="233">
        <v>42316.42896772515</v>
      </c>
    </row>
    <row r="1290">
      <c r="A1290" s="184">
        <v>42306.0</v>
      </c>
      <c r="B1290" s="279">
        <v>-0.08893910054292561</v>
      </c>
      <c r="C1290" s="279">
        <v>0.0</v>
      </c>
      <c r="D1290" s="279">
        <v>-0.08893910054292561</v>
      </c>
      <c r="E1290" s="282">
        <v>-0.003437749241713322</v>
      </c>
      <c r="F1290" s="287">
        <v>-128.63640390193854</v>
      </c>
      <c r="G1290" s="235">
        <v>0.0</v>
      </c>
      <c r="H1290" s="235">
        <v>-379.2037950387204</v>
      </c>
      <c r="I1290" s="287">
        <v>0.0</v>
      </c>
      <c r="J1290" s="233">
        <v>42445.06537162709</v>
      </c>
    </row>
    <row r="1291">
      <c r="A1291" s="184">
        <v>42305.0</v>
      </c>
      <c r="B1291" s="279">
        <v>-0.05868074834948109</v>
      </c>
      <c r="C1291" s="279">
        <v>0.0</v>
      </c>
      <c r="D1291" s="279">
        <v>-0.05868074834948109</v>
      </c>
      <c r="E1291" s="282">
        <v>-0.008505947458203135</v>
      </c>
      <c r="F1291" s="287">
        <v>-319.376403901939</v>
      </c>
      <c r="G1291" s="235">
        <v>0.0</v>
      </c>
      <c r="H1291" s="235">
        <v>-250.56739113678185</v>
      </c>
      <c r="I1291" s="287">
        <v>0.0</v>
      </c>
      <c r="J1291" s="233">
        <v>42573.70177552903</v>
      </c>
    </row>
    <row r="1292">
      <c r="A1292" s="184">
        <v>42304.0</v>
      </c>
      <c r="B1292" s="279">
        <v>0.016090668994773835</v>
      </c>
      <c r="C1292" s="279">
        <v>0.0</v>
      </c>
      <c r="D1292" s="279">
        <v>0.016090668994773835</v>
      </c>
      <c r="E1292" s="282">
        <v>0.006854384391206759</v>
      </c>
      <c r="F1292" s="287">
        <v>259.553596098061</v>
      </c>
      <c r="G1292" s="235">
        <v>0.0</v>
      </c>
      <c r="H1292" s="235">
        <v>68.80901276515715</v>
      </c>
      <c r="I1292" s="287">
        <v>0.0</v>
      </c>
      <c r="J1292" s="233">
        <v>42893.078179430966</v>
      </c>
    </row>
    <row r="1293">
      <c r="A1293" s="184">
        <v>42303.0</v>
      </c>
      <c r="B1293" s="279">
        <v>-0.044740514699897295</v>
      </c>
      <c r="C1293" s="279">
        <v>0.0</v>
      </c>
      <c r="D1293" s="279">
        <v>-0.044740514699897295</v>
      </c>
      <c r="E1293" s="282">
        <v>-0.005072016873864632</v>
      </c>
      <c r="F1293" s="287">
        <v>-190.74458333290386</v>
      </c>
      <c r="G1293" s="235">
        <v>0.0</v>
      </c>
      <c r="H1293" s="235">
        <v>-190.74458333290386</v>
      </c>
      <c r="I1293" s="287">
        <v>0.0</v>
      </c>
      <c r="J1293" s="233">
        <v>42633.5245833329</v>
      </c>
    </row>
  </sheetData>
  <conditionalFormatting sqref="E2:E1293">
    <cfRule type="cellIs" dxfId="13" priority="1" operator="greaterThanOrEqual">
      <formula>0</formula>
    </cfRule>
  </conditionalFormatting>
  <conditionalFormatting sqref="E2:E1293">
    <cfRule type="cellIs" dxfId="14" priority="2" operator="lessThan">
      <formula>0</formula>
    </cfRule>
  </conditionalFormatting>
  <conditionalFormatting sqref="H1:J1293">
    <cfRule type="expression" dxfId="15" priority="3">
      <formula>H1=MAX(H:H)</formula>
    </cfRule>
  </conditionalFormatting>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4.43" defaultRowHeight="12.75"/>
  <cols>
    <col customWidth="1" min="1" max="1" width="31.43"/>
    <col customWidth="1" min="2" max="2" width="23.57"/>
  </cols>
  <sheetData>
    <row r="1">
      <c r="A1" s="289" t="s">
        <v>1430</v>
      </c>
    </row>
    <row r="2">
      <c r="A2" s="290" t="s">
        <v>42</v>
      </c>
      <c r="B2" s="18">
        <f t="array" ref="B2">INDEX(Investment!O:O,ROWS(Investment!O:O))</f>
        <v>1261670.727</v>
      </c>
    </row>
    <row r="3">
      <c r="A3" s="290" t="s">
        <v>1431</v>
      </c>
      <c r="B3" s="18">
        <f>Dashboard!$B36</f>
        <v>-880317.55</v>
      </c>
    </row>
    <row r="4">
      <c r="A4" s="290" t="s">
        <v>1432</v>
      </c>
      <c r="B4" s="18">
        <f>B2+B3</f>
        <v>381353.1768</v>
      </c>
    </row>
    <row r="5">
      <c r="A5" s="290" t="s">
        <v>1433</v>
      </c>
      <c r="B5" s="18">
        <f>B2*0.3</f>
        <v>378501.218</v>
      </c>
    </row>
    <row r="6">
      <c r="A6" s="291" t="s">
        <v>1430</v>
      </c>
      <c r="B6" s="292">
        <f>B4-B5</f>
        <v>2851.95876</v>
      </c>
    </row>
    <row r="7">
      <c r="A7" s="293" t="s">
        <v>1434</v>
      </c>
      <c r="B7" s="219"/>
    </row>
    <row r="8">
      <c r="A8" s="290" t="s">
        <v>1435</v>
      </c>
      <c r="B8" s="18">
        <f>B2*0.7</f>
        <v>883169.5088</v>
      </c>
    </row>
    <row r="9">
      <c r="A9" s="290" t="s">
        <v>1431</v>
      </c>
      <c r="B9" s="18">
        <f>B3</f>
        <v>-880317.55</v>
      </c>
    </row>
    <row r="10">
      <c r="A10" s="291" t="s">
        <v>1434</v>
      </c>
      <c r="B10" s="292">
        <f>B8+B9</f>
        <v>2851.95876</v>
      </c>
    </row>
    <row r="11">
      <c r="A11" s="294" t="s">
        <v>1436</v>
      </c>
      <c r="B11" s="207">
        <f>B10</f>
        <v>2851.95876</v>
      </c>
    </row>
    <row r="12">
      <c r="A12" s="291" t="s">
        <v>1437</v>
      </c>
      <c r="B12" s="295">
        <v>878000.0</v>
      </c>
    </row>
    <row r="13">
      <c r="A13" s="291" t="s">
        <v>1438</v>
      </c>
      <c r="B13" s="292">
        <f>ROUNDUP((MIN(-B3,$B$15*2.3)-Investment!$T$7-Investment!$AU$7-Dashboard!$B$20-Dashboard!$B$57)/1000)*1000</f>
        <v>883000</v>
      </c>
    </row>
    <row r="14">
      <c r="A14" s="291" t="s">
        <v>1439</v>
      </c>
      <c r="B14" s="295"/>
    </row>
    <row r="15">
      <c r="A15" s="296" t="s">
        <v>1440</v>
      </c>
      <c r="B15" s="297">
        <f>Dashboard!$B$47+AVERAGEIFS(Evolution!$H:$H,Evolution!$A:$A,"&gt;="&amp;DATE(DateTime!$B$4,DateTime!$B$5-1,DateTime!$B$6))</f>
        <v>383655.8336</v>
      </c>
    </row>
    <row r="16">
      <c r="A16" s="290" t="s">
        <v>1441</v>
      </c>
      <c r="B16" s="15">
        <f>$B$15-Dashboard!$B$47</f>
        <v>212474.6936</v>
      </c>
    </row>
    <row r="17">
      <c r="A17" s="290" t="s">
        <v>1442</v>
      </c>
      <c r="B17" s="15">
        <f>$B$4+$B$15*2.3</f>
        <v>1263761.594</v>
      </c>
    </row>
  </sheetData>
  <mergeCells count="2">
    <mergeCell ref="A1:B1"/>
    <mergeCell ref="A7:B7"/>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2.75"/>
  <cols>
    <col customWidth="1" min="1" max="1" width="10.71"/>
    <col customWidth="1" min="2" max="4" width="12.29"/>
    <col customWidth="1" min="5" max="5" width="8.71"/>
    <col customWidth="1" min="6" max="6" width="13.86"/>
    <col customWidth="1" min="7" max="7" width="8.71"/>
    <col customWidth="1" min="8" max="8" width="11.86"/>
    <col customWidth="1" min="9" max="9" width="8.29"/>
    <col customWidth="1" min="10" max="10" width="10.43"/>
    <col customWidth="1" min="11" max="11" width="6.57"/>
    <col customWidth="1" min="12" max="12" width="9.14"/>
    <col customWidth="1" min="13" max="13" width="10.14"/>
    <col customWidth="1" min="14" max="14" width="8.57"/>
    <col customWidth="1" min="15" max="15" width="9.43"/>
    <col customWidth="1" min="16" max="16" width="6.57"/>
  </cols>
  <sheetData>
    <row r="1">
      <c r="A1" s="51" t="s">
        <v>46</v>
      </c>
      <c r="B1" s="9" t="s">
        <v>18</v>
      </c>
      <c r="C1" s="51" t="s">
        <v>1443</v>
      </c>
      <c r="D1" s="9" t="s">
        <v>1444</v>
      </c>
      <c r="E1" s="9" t="s">
        <v>1445</v>
      </c>
      <c r="F1" s="9" t="s">
        <v>387</v>
      </c>
      <c r="G1" s="9" t="s">
        <v>1446</v>
      </c>
      <c r="H1" s="9" t="s">
        <v>1426</v>
      </c>
      <c r="I1" s="9" t="s">
        <v>1446</v>
      </c>
      <c r="J1" s="298" t="s">
        <v>1447</v>
      </c>
      <c r="K1" s="9" t="s">
        <v>1446</v>
      </c>
      <c r="L1" s="9" t="s">
        <v>1448</v>
      </c>
      <c r="M1" s="9" t="s">
        <v>386</v>
      </c>
      <c r="N1" s="9" t="s">
        <v>1449</v>
      </c>
      <c r="O1" s="9" t="s">
        <v>1426</v>
      </c>
      <c r="P1" s="9" t="s">
        <v>1446</v>
      </c>
    </row>
    <row r="2">
      <c r="A2" s="184">
        <v>44136.0</v>
      </c>
      <c r="B2" s="233">
        <v>372882.66</v>
      </c>
      <c r="C2" s="233">
        <v>878000.0</v>
      </c>
      <c r="D2" s="233">
        <f>IF(C2,-SUMIFS(Historic!G:G,Historic!A:A,"&lt;="&amp;EOMONTH($A2,0)),0)</f>
        <v>880317.55</v>
      </c>
      <c r="E2" s="281">
        <f t="shared" ref="E2:E3" si="1">IF(C2,D2/C2,0)</f>
        <v>1.002639579</v>
      </c>
      <c r="F2" s="233">
        <f t="shared" ref="F2:F3" si="2">B2+D2</f>
        <v>1253200.21</v>
      </c>
      <c r="G2" s="281">
        <f t="shared" ref="G2:G3" si="3">B2/(B2+C2)</f>
        <v>0.2980956343</v>
      </c>
      <c r="H2" s="233">
        <f>B2-B3-SUMIFS(Historic!$G:$G,Historic!$A:$A,"&lt;"&amp;$A2,Historic!$A:$A,"&gt;="&amp;EOMONTH($A2,-2)+1,Historic!$D:$D,"APPROVISIONNEMENT")</f>
        <v>-6246.6</v>
      </c>
      <c r="I2" s="281">
        <f t="shared" ref="I2:I3" si="4">H2/IF(B3,B3,B2)</f>
        <v>-0.0164328313</v>
      </c>
      <c r="J2" s="299">
        <f>IF(AND(MONTH($A2)=MONTH(DateTime!$B$2),YEAR($A2)=YEAR(DateTime!$B$2)),Dashboard!$B$57,IF($C2&lt;&gt;0,MIN(MINIFS(Historic!$G:$G,Historic!$D:$D,"COST",Historic!$B:$B,"",Historic!$A:$A,"&gt;=" &amp; DATE(YEAR($A2),MONTH($A2),1),Historic!$A:$A,"&lt;" &amp; DATE(YEAR($A2),MONTH($A2)+1,1)),MINIFS(Historic!$G:$G,Historic!$D:$D,"COST",Historic!$B:$B,"",Historic!$H:$H,"=XXXXXX")),0))</f>
        <v>-889.76</v>
      </c>
      <c r="K2" s="16">
        <f t="shared" ref="K2:K3" si="5">IF(C2&lt;&gt;0,-J2/C2,0)</f>
        <v>0.001013394077</v>
      </c>
      <c r="L2" s="233">
        <f t="shared" ref="L2:L3" si="6">$J2*ABS(1-$E2)</f>
        <v>-2.348591444</v>
      </c>
      <c r="M2" s="233">
        <f>SUMIFS(Historic!G:G,Historic!D:D,"=DIVIDEND",Historic!B:B,"&lt;&gt;",Historic!A:A,"&gt;=" &amp; $A2,Historic!A:A,"&lt;=" &amp; EOMONTH($A2,0))</f>
        <v>0</v>
      </c>
      <c r="N2" s="300">
        <f t="shared" ref="N2:N3" si="7">(SUM(OFFSET($M2,0,0,12,1))+SUM(OFFSET($J2,0,0,12,1)))/AVERAGE(OFFSET($B2,0,0,12,1))*$B2/MIN(ROWS(N:N)-ROW()+1,12)</f>
        <v>346.6378167</v>
      </c>
      <c r="O2" s="233">
        <f t="shared" ref="O2:O3" si="8">N2-N3</f>
        <v>-155.8843642</v>
      </c>
      <c r="P2" s="281">
        <f t="shared" ref="P2:P3" si="9">N2/B2*12</f>
        <v>0.01115539618</v>
      </c>
    </row>
    <row r="3">
      <c r="A3" s="184">
        <v>44105.0</v>
      </c>
      <c r="B3" s="233">
        <v>380129.26</v>
      </c>
      <c r="C3" s="233">
        <v>556000.0</v>
      </c>
      <c r="D3" s="233">
        <f>IF(C3,-SUMIFS(Historic!G:G,Historic!A:A,"&lt;="&amp;EOMONTH($A3,0)),0)</f>
        <v>875534.31</v>
      </c>
      <c r="E3" s="281">
        <f t="shared" si="1"/>
        <v>1.574701996</v>
      </c>
      <c r="F3" s="233">
        <f t="shared" si="2"/>
        <v>1255663.57</v>
      </c>
      <c r="G3" s="281">
        <f t="shared" si="3"/>
        <v>0.4060649274</v>
      </c>
      <c r="H3" s="233">
        <f>B3-B4-SUMIFS(Historic!$G:$G,Historic!$A:$A,"&lt;"&amp;$A3,Historic!$A:$A,"&gt;="&amp;EOMONTH($A3,-2)+1,Historic!$D:$D,"APPROVISIONNEMENT")</f>
        <v>-1043.35</v>
      </c>
      <c r="I3" s="281">
        <f t="shared" si="4"/>
        <v>-0.003035883482</v>
      </c>
      <c r="J3" s="299">
        <f>IF(AND(MONTH($A3)=MONTH(DateTime!$B$2),YEAR($A3)=YEAR(DateTime!$B$2)),Dashboard!$B$57,IF($C3&lt;&gt;0,MIN(MINIFS(Historic!$G:$G,Historic!$D:$D,"COST",Historic!$B:$B,"",Historic!$A:$A,"&gt;=" &amp; DATE(YEAR($A3),MONTH($A3),1),Historic!$A:$A,"&lt;" &amp; DATE(YEAR($A3),MONTH($A3)+1,1)),MINIFS(Historic!$G:$G,Historic!$D:$D,"COST",Historic!$B:$B,"",Historic!$H:$H,"=XXXXXX")),0))</f>
        <v>-1397.65</v>
      </c>
      <c r="K3" s="16">
        <f t="shared" si="5"/>
        <v>0.002513758993</v>
      </c>
      <c r="L3" s="233">
        <f t="shared" si="6"/>
        <v>-803.2322453</v>
      </c>
      <c r="M3" s="233">
        <f>SUMIFS(Historic!G:G,Historic!D:D,"=DIVIDEND",Historic!B:B,"&lt;&gt;",Historic!A:A,"&gt;=" &amp; $A3,Historic!A:A,"&lt;=" &amp; EOMONTH($A3,0))</f>
        <v>1424.14</v>
      </c>
      <c r="N3" s="300">
        <f t="shared" si="7"/>
        <v>502.5221809</v>
      </c>
      <c r="O3" s="233">
        <f t="shared" si="8"/>
        <v>13.5812536</v>
      </c>
      <c r="P3" s="281">
        <f t="shared" si="9"/>
        <v>0.01586372533</v>
      </c>
    </row>
    <row r="4">
      <c r="A4" s="184">
        <v>44075.0</v>
      </c>
      <c r="B4" s="233">
        <v>343672.61</v>
      </c>
      <c r="C4" s="233">
        <v>700000.0</v>
      </c>
      <c r="D4" s="233">
        <v>556780.0400000009</v>
      </c>
      <c r="E4" s="281">
        <v>0.7954000571428583</v>
      </c>
      <c r="F4" s="233">
        <v>900452.6500000008</v>
      </c>
      <c r="G4" s="281">
        <v>0.3292915869469833</v>
      </c>
      <c r="H4" s="233">
        <v>22333.440000000002</v>
      </c>
      <c r="I4" s="281">
        <v>0.0695011442271417</v>
      </c>
      <c r="J4" s="299">
        <v>-729.38</v>
      </c>
      <c r="K4" s="16">
        <v>0.0010419714285714286</v>
      </c>
      <c r="L4" s="233">
        <v>-149.231106321142</v>
      </c>
      <c r="M4" s="233">
        <v>0.0</v>
      </c>
      <c r="N4" s="300">
        <v>488.9409273034146</v>
      </c>
      <c r="O4" s="233">
        <v>8.779900463151932</v>
      </c>
      <c r="P4" s="281">
        <v>0.01707232685095555</v>
      </c>
    </row>
    <row r="5">
      <c r="A5" s="184">
        <v>44044.0</v>
      </c>
      <c r="B5" s="233">
        <v>321339.17</v>
      </c>
      <c r="C5" s="233">
        <v>604000.0</v>
      </c>
      <c r="D5" s="233">
        <v>699301.4200000005</v>
      </c>
      <c r="E5" s="281">
        <v>1.1577838079470206</v>
      </c>
      <c r="F5" s="233">
        <v>1020640.5900000005</v>
      </c>
      <c r="G5" s="281">
        <v>0.34726636504537034</v>
      </c>
      <c r="H5" s="233">
        <v>-381.29000000003725</v>
      </c>
      <c r="I5" s="281">
        <v>-0.0011851593150153932</v>
      </c>
      <c r="J5" s="299">
        <v>-680.17</v>
      </c>
      <c r="K5" s="16">
        <v>0.0011261092715231786</v>
      </c>
      <c r="L5" s="233">
        <v>-107.31981265132501</v>
      </c>
      <c r="M5" s="233">
        <v>0.0</v>
      </c>
      <c r="N5" s="300">
        <v>480.16102684026265</v>
      </c>
      <c r="O5" s="233">
        <v>-14.910050651048437</v>
      </c>
      <c r="P5" s="281">
        <v>0.01793099895690635</v>
      </c>
    </row>
    <row r="6">
      <c r="A6" s="184">
        <v>44013.0</v>
      </c>
      <c r="B6" s="233">
        <v>321720.46</v>
      </c>
      <c r="C6" s="233">
        <v>603000.0</v>
      </c>
      <c r="D6" s="233">
        <v>603161.5100000001</v>
      </c>
      <c r="E6" s="281">
        <v>1.0002678441127697</v>
      </c>
      <c r="F6" s="233">
        <v>924881.9700000002</v>
      </c>
      <c r="G6" s="281">
        <v>0.3479110433005884</v>
      </c>
      <c r="H6" s="233">
        <v>6936.050000000047</v>
      </c>
      <c r="I6" s="281">
        <v>0.01670595001387467</v>
      </c>
      <c r="J6" s="299">
        <v>-690.94</v>
      </c>
      <c r="K6" s="16">
        <v>0.001145837479270315</v>
      </c>
      <c r="L6" s="233">
        <v>-0.1850642112770962</v>
      </c>
      <c r="M6" s="233">
        <v>0.0</v>
      </c>
      <c r="N6" s="300">
        <v>495.0710774913111</v>
      </c>
      <c r="O6" s="233">
        <v>-247.18671722251503</v>
      </c>
      <c r="P6" s="281">
        <v>0.018465884730786884</v>
      </c>
    </row>
    <row r="7">
      <c r="A7" s="184">
        <v>43983.0</v>
      </c>
      <c r="B7" s="233">
        <v>415184.41</v>
      </c>
      <c r="C7" s="233">
        <v>606000.0</v>
      </c>
      <c r="D7" s="233">
        <v>602470.5700000002</v>
      </c>
      <c r="E7" s="281">
        <v>0.9941758580858089</v>
      </c>
      <c r="F7" s="233">
        <v>1017654.9800000002</v>
      </c>
      <c r="G7" s="281">
        <v>0.4065714340468633</v>
      </c>
      <c r="H7" s="233">
        <v>-2758.5</v>
      </c>
      <c r="I7" s="281">
        <v>-0.00659387295460559</v>
      </c>
      <c r="J7" s="299">
        <v>-631.25</v>
      </c>
      <c r="K7" s="16">
        <v>0.0010416666666666667</v>
      </c>
      <c r="L7" s="233">
        <v>-3.6764895833331424</v>
      </c>
      <c r="M7" s="233">
        <v>3433.24</v>
      </c>
      <c r="N7" s="300">
        <v>742.2577947138261</v>
      </c>
      <c r="O7" s="233">
        <v>-32.07354377580566</v>
      </c>
      <c r="P7" s="281">
        <v>0.021453342953233513</v>
      </c>
    </row>
    <row r="8">
      <c r="A8" s="184">
        <v>43952.0</v>
      </c>
      <c r="B8" s="233">
        <v>418342.91</v>
      </c>
      <c r="C8" s="233">
        <v>506000.0</v>
      </c>
      <c r="D8" s="233">
        <v>504872.56</v>
      </c>
      <c r="E8" s="281">
        <v>0.9977718577075099</v>
      </c>
      <c r="F8" s="233">
        <v>923215.47</v>
      </c>
      <c r="G8" s="281">
        <v>0.4525841064762427</v>
      </c>
      <c r="H8" s="233">
        <v>61341.109999999986</v>
      </c>
      <c r="I8" s="281">
        <v>0.17167870410952307</v>
      </c>
      <c r="J8" s="299">
        <v>-544.65</v>
      </c>
      <c r="K8" s="16">
        <v>0.0010763833992094862</v>
      </c>
      <c r="L8" s="233">
        <v>-1.2135576996047501</v>
      </c>
      <c r="M8" s="233">
        <v>793.6</v>
      </c>
      <c r="N8" s="300">
        <v>774.3313384896318</v>
      </c>
      <c r="O8" s="233">
        <v>25.868890928136125</v>
      </c>
      <c r="P8" s="281">
        <v>0.022211386496010132</v>
      </c>
    </row>
    <row r="9">
      <c r="A9" s="184">
        <v>43922.0</v>
      </c>
      <c r="B9" s="233">
        <v>357301.8</v>
      </c>
      <c r="C9" s="233">
        <v>676000.0</v>
      </c>
      <c r="D9" s="235">
        <v>504721.50999999995</v>
      </c>
      <c r="E9" s="279">
        <v>0.7466294526627218</v>
      </c>
      <c r="F9" s="235">
        <v>862023.3099999999</v>
      </c>
      <c r="G9" s="279">
        <v>0.3457864875489426</v>
      </c>
      <c r="H9" s="235">
        <v>-35545.100000000035</v>
      </c>
      <c r="I9" s="279">
        <v>-0.09031985768405248</v>
      </c>
      <c r="J9" s="301">
        <v>-704.17</v>
      </c>
      <c r="K9" s="174">
        <v>0.001041671597633136</v>
      </c>
      <c r="L9" s="235">
        <v>-178.41593831849116</v>
      </c>
      <c r="M9" s="235">
        <v>2940.04</v>
      </c>
      <c r="N9" s="302">
        <v>748.4624475614957</v>
      </c>
      <c r="O9" s="235">
        <v>80.86954384236776</v>
      </c>
      <c r="P9" s="279">
        <v>0.025137151200296075</v>
      </c>
    </row>
    <row r="10">
      <c r="A10" s="184">
        <v>43891.0</v>
      </c>
      <c r="B10" s="233">
        <v>393546.9</v>
      </c>
      <c r="C10" s="233">
        <v>606000.0</v>
      </c>
      <c r="D10" s="235">
        <v>677862.3600000005</v>
      </c>
      <c r="E10" s="279">
        <v>1.1185847524752484</v>
      </c>
      <c r="F10" s="235">
        <v>1071409.2600000005</v>
      </c>
      <c r="G10" s="279">
        <v>0.39372529693203995</v>
      </c>
      <c r="H10" s="235">
        <v>-275.38000000000466</v>
      </c>
      <c r="I10" s="279">
        <v>-6.988944889106389E-4</v>
      </c>
      <c r="J10" s="301">
        <v>-806.35</v>
      </c>
      <c r="K10" s="174">
        <v>0.0013306105610561057</v>
      </c>
      <c r="L10" s="235">
        <v>-95.62081515841652</v>
      </c>
      <c r="M10" s="235">
        <v>0.0</v>
      </c>
      <c r="N10" s="302">
        <v>667.5929037191279</v>
      </c>
      <c r="O10" s="235">
        <v>-43.43102254714279</v>
      </c>
      <c r="P10" s="279">
        <v>0.020356188410147646</v>
      </c>
    </row>
    <row r="11">
      <c r="A11" s="184">
        <v>43862.0</v>
      </c>
      <c r="B11" s="233">
        <v>394022.28</v>
      </c>
      <c r="C11" s="233">
        <v>395000.0</v>
      </c>
      <c r="D11" s="235">
        <v>605265.6500000004</v>
      </c>
      <c r="E11" s="279">
        <v>1.5323181012658238</v>
      </c>
      <c r="F11" s="235">
        <v>999287.9300000004</v>
      </c>
      <c r="G11" s="279">
        <v>0.49938042307246383</v>
      </c>
      <c r="H11" s="235">
        <v>-5440.299999999988</v>
      </c>
      <c r="I11" s="279">
        <v>-0.013571483773815925</v>
      </c>
      <c r="J11" s="301">
        <v>-453.97</v>
      </c>
      <c r="K11" s="174">
        <v>0.0011492911392405065</v>
      </c>
      <c r="L11" s="235">
        <v>-241.65644843164606</v>
      </c>
      <c r="M11" s="235">
        <v>0.0</v>
      </c>
      <c r="N11" s="302">
        <v>711.0239262662707</v>
      </c>
      <c r="O11" s="235">
        <v>-32.51042652237925</v>
      </c>
      <c r="P11" s="279">
        <v>0.021654326540101354</v>
      </c>
    </row>
    <row r="12">
      <c r="A12" s="184">
        <v>43831.0</v>
      </c>
      <c r="B12" s="233">
        <v>400862.58</v>
      </c>
      <c r="C12" s="233">
        <v>322000.0</v>
      </c>
      <c r="D12" s="235">
        <v>304943.3000000002</v>
      </c>
      <c r="E12" s="279">
        <v>0.9470288819875783</v>
      </c>
      <c r="F12" s="235">
        <v>705805.8800000002</v>
      </c>
      <c r="G12" s="279">
        <v>0.5545488051131378</v>
      </c>
      <c r="H12" s="235">
        <v>24230.42000000002</v>
      </c>
      <c r="I12" s="279">
        <v>0.06953970791992178</v>
      </c>
      <c r="J12" s="301">
        <v>-342.44</v>
      </c>
      <c r="K12" s="174">
        <v>0.0010634782608695652</v>
      </c>
      <c r="L12" s="235">
        <v>-18.139429652173693</v>
      </c>
      <c r="M12" s="235">
        <v>0.0</v>
      </c>
      <c r="N12" s="302">
        <v>743.5343527886499</v>
      </c>
      <c r="O12" s="235">
        <v>-5.921042519023558</v>
      </c>
      <c r="P12" s="279">
        <v>0.022258032250013954</v>
      </c>
    </row>
    <row r="13">
      <c r="A13" s="184">
        <v>43800.0</v>
      </c>
      <c r="B13" s="233">
        <v>348440.06</v>
      </c>
      <c r="C13" s="233">
        <v>335000.0</v>
      </c>
      <c r="D13" s="235">
        <v>291229.59000000026</v>
      </c>
      <c r="E13" s="279">
        <v>0.8693420597014934</v>
      </c>
      <c r="F13" s="235">
        <v>639669.6500000003</v>
      </c>
      <c r="G13" s="279">
        <v>0.5098326545271578</v>
      </c>
      <c r="H13" s="235">
        <v>9741.995500000136</v>
      </c>
      <c r="I13" s="279">
        <v>0.02764486097227171</v>
      </c>
      <c r="J13" s="301">
        <v>-348.96</v>
      </c>
      <c r="K13" s="174">
        <v>0.0010416716417910447</v>
      </c>
      <c r="L13" s="235">
        <v>-45.59439484656687</v>
      </c>
      <c r="M13" s="235">
        <v>3781.68</v>
      </c>
      <c r="N13" s="302">
        <v>749.4553953076735</v>
      </c>
      <c r="O13" s="235">
        <v>-59.18372828237921</v>
      </c>
      <c r="P13" s="279">
        <v>0.025810650886961974</v>
      </c>
    </row>
    <row r="14">
      <c r="A14" s="184">
        <v>43770.0</v>
      </c>
      <c r="B14" s="233">
        <v>352398.06449999986</v>
      </c>
      <c r="C14" s="233">
        <v>355000.0</v>
      </c>
      <c r="D14" s="235">
        <v>334133.37000000017</v>
      </c>
      <c r="E14" s="279">
        <v>0.9412207605633808</v>
      </c>
      <c r="F14" s="235">
        <v>686531.4345</v>
      </c>
      <c r="G14" s="279">
        <v>0.4981609113520552</v>
      </c>
      <c r="H14" s="235">
        <v>-11369.827499999665</v>
      </c>
      <c r="I14" s="279">
        <v>-0.031204251937763165</v>
      </c>
      <c r="J14" s="301">
        <v>-382.12</v>
      </c>
      <c r="K14" s="174">
        <v>0.001076394366197183</v>
      </c>
      <c r="L14" s="235">
        <v>-22.460722973520937</v>
      </c>
      <c r="M14" s="235">
        <v>1218.13</v>
      </c>
      <c r="N14" s="302">
        <v>808.6391235900527</v>
      </c>
      <c r="O14" s="235">
        <v>-62.24789711138885</v>
      </c>
      <c r="P14" s="279">
        <v>0.027536103232714083</v>
      </c>
    </row>
    <row r="15">
      <c r="A15" s="184">
        <v>43739.0</v>
      </c>
      <c r="B15" s="233">
        <v>364367.8919999995</v>
      </c>
      <c r="C15" s="233">
        <v>343000.0</v>
      </c>
      <c r="D15" s="235">
        <v>340820.69000000035</v>
      </c>
      <c r="E15" s="279">
        <v>0.9936463265306132</v>
      </c>
      <c r="F15" s="235">
        <v>705188.5819999999</v>
      </c>
      <c r="G15" s="279">
        <v>0.5151038040047198</v>
      </c>
      <c r="H15" s="235">
        <v>-642.4810000001453</v>
      </c>
      <c r="I15" s="279">
        <v>-0.0017577640676155197</v>
      </c>
      <c r="J15" s="301">
        <v>-369.69</v>
      </c>
      <c r="K15" s="174">
        <v>0.0010778134110787172</v>
      </c>
      <c r="L15" s="235">
        <v>-2.34888954489759</v>
      </c>
      <c r="M15" s="235">
        <v>821.64</v>
      </c>
      <c r="N15" s="302">
        <v>870.8870207014415</v>
      </c>
      <c r="O15" s="235">
        <v>-23.10377528510469</v>
      </c>
      <c r="P15" s="279">
        <v>0.028681572876946337</v>
      </c>
    </row>
    <row r="16">
      <c r="A16" s="184">
        <v>43709.0</v>
      </c>
      <c r="B16" s="233">
        <v>365510.3729999997</v>
      </c>
      <c r="C16" s="233">
        <v>366000.0</v>
      </c>
      <c r="D16" s="235">
        <v>343109.5900000004</v>
      </c>
      <c r="E16" s="279">
        <v>0.9374578961748644</v>
      </c>
      <c r="F16" s="235">
        <v>708619.963</v>
      </c>
      <c r="G16" s="279">
        <v>0.49966533147165615</v>
      </c>
      <c r="H16" s="235">
        <v>32333.065999999584</v>
      </c>
      <c r="I16" s="279">
        <v>0.09663855056374034</v>
      </c>
      <c r="J16" s="301">
        <v>-369.3</v>
      </c>
      <c r="K16" s="174">
        <v>0.001009016393442623</v>
      </c>
      <c r="L16" s="235">
        <v>-23.096798942622573</v>
      </c>
      <c r="M16" s="235">
        <v>-10.37</v>
      </c>
      <c r="N16" s="302">
        <v>893.9907959865462</v>
      </c>
      <c r="O16" s="235">
        <v>58.84312693317543</v>
      </c>
      <c r="P16" s="279">
        <v>0.029350438029397775</v>
      </c>
    </row>
    <row r="17">
      <c r="A17" s="184">
        <v>43678.0</v>
      </c>
      <c r="B17" s="233">
        <v>334577.3070000001</v>
      </c>
      <c r="C17" s="233">
        <v>415000.0</v>
      </c>
      <c r="D17" s="235">
        <v>364782.5900000004</v>
      </c>
      <c r="E17" s="279">
        <v>0.8789941927710853</v>
      </c>
      <c r="F17" s="235">
        <v>699359.8970000005</v>
      </c>
      <c r="G17" s="279">
        <v>0.44635463730761005</v>
      </c>
      <c r="H17" s="235">
        <v>24259.114400000137</v>
      </c>
      <c r="I17" s="279">
        <v>0.07804921004485675</v>
      </c>
      <c r="J17" s="301">
        <v>-461.31</v>
      </c>
      <c r="K17" s="174">
        <v>0.0011115903614457832</v>
      </c>
      <c r="L17" s="235">
        <v>-55.82118893277066</v>
      </c>
      <c r="M17" s="235">
        <v>0.0</v>
      </c>
      <c r="N17" s="302">
        <v>835.1476690533708</v>
      </c>
      <c r="O17" s="235">
        <v>43.04856932537302</v>
      </c>
      <c r="P17" s="279">
        <v>0.029953531871306643</v>
      </c>
    </row>
    <row r="18">
      <c r="A18" s="184">
        <v>43647.0</v>
      </c>
      <c r="B18" s="233">
        <v>310818.19259999995</v>
      </c>
      <c r="C18" s="233">
        <v>418000.0</v>
      </c>
      <c r="D18" s="235">
        <v>414031.01999999996</v>
      </c>
      <c r="E18" s="279">
        <v>0.9905048325358851</v>
      </c>
      <c r="F18" s="235">
        <v>724849.2126</v>
      </c>
      <c r="G18" s="279">
        <v>0.42646876238253767</v>
      </c>
      <c r="H18" s="235">
        <v>16301.842850000015</v>
      </c>
      <c r="I18" s="279">
        <v>0.05571063566313939</v>
      </c>
      <c r="J18" s="301">
        <v>-450.16</v>
      </c>
      <c r="K18" s="174">
        <v>0.0010769377990430622</v>
      </c>
      <c r="L18" s="235">
        <v>-4.274344585645982</v>
      </c>
      <c r="M18" s="235">
        <v>851.63</v>
      </c>
      <c r="N18" s="302">
        <v>792.0990997279978</v>
      </c>
      <c r="O18" s="235">
        <v>41.77439475846211</v>
      </c>
      <c r="P18" s="279">
        <v>0.030581186761382564</v>
      </c>
    </row>
    <row r="19">
      <c r="A19" s="184">
        <v>43617.0</v>
      </c>
      <c r="B19" s="233">
        <v>292616.34974999994</v>
      </c>
      <c r="C19" s="233">
        <v>510000.0</v>
      </c>
      <c r="D19" s="235">
        <v>417979.41</v>
      </c>
      <c r="E19" s="279">
        <v>0.8195674705882352</v>
      </c>
      <c r="F19" s="235">
        <v>710595.75975</v>
      </c>
      <c r="G19" s="279">
        <v>0.36457810738735197</v>
      </c>
      <c r="H19" s="235">
        <v>11292.317166666733</v>
      </c>
      <c r="I19" s="279">
        <v>0.03999771844904346</v>
      </c>
      <c r="J19" s="301">
        <v>-495.83</v>
      </c>
      <c r="K19" s="174">
        <v>9.722156862745098E-4</v>
      </c>
      <c r="L19" s="235">
        <v>-89.46386105823534</v>
      </c>
      <c r="M19" s="235">
        <v>3352.4</v>
      </c>
      <c r="N19" s="302">
        <v>750.3247049695357</v>
      </c>
      <c r="O19" s="235">
        <v>83.03989249363372</v>
      </c>
      <c r="P19" s="279">
        <v>0.030770312278609886</v>
      </c>
    </row>
    <row r="20">
      <c r="A20" s="184">
        <v>43586.0</v>
      </c>
      <c r="B20" s="233">
        <v>282324.0325833332</v>
      </c>
      <c r="C20" s="233">
        <v>497000.0</v>
      </c>
      <c r="D20" s="235">
        <v>419824.9599999999</v>
      </c>
      <c r="E20" s="279">
        <v>0.8447182293762574</v>
      </c>
      <c r="F20" s="235">
        <v>702148.992583333</v>
      </c>
      <c r="G20" s="279">
        <v>0.36226783825397335</v>
      </c>
      <c r="H20" s="235">
        <v>7229.233333333221</v>
      </c>
      <c r="I20" s="279">
        <v>0.026231385182183264</v>
      </c>
      <c r="J20" s="301">
        <v>-569.48</v>
      </c>
      <c r="K20" s="174">
        <v>0.0011458350100603623</v>
      </c>
      <c r="L20" s="235">
        <v>-88.42986273480894</v>
      </c>
      <c r="M20" s="235">
        <v>1589.9</v>
      </c>
      <c r="N20" s="302">
        <v>667.284812475902</v>
      </c>
      <c r="O20" s="235">
        <v>45.501133096730655</v>
      </c>
      <c r="P20" s="279">
        <v>0.028362508414324538</v>
      </c>
    </row>
    <row r="21">
      <c r="A21" s="184">
        <v>43556.0</v>
      </c>
      <c r="B21" s="233">
        <v>275594.79925</v>
      </c>
      <c r="C21" s="233">
        <v>526000.0</v>
      </c>
      <c r="D21" s="235">
        <v>451580.36999999994</v>
      </c>
      <c r="E21" s="279">
        <v>0.8585178136882128</v>
      </c>
      <c r="F21" s="235">
        <v>727175.1692499999</v>
      </c>
      <c r="G21" s="279">
        <v>0.3438081179017829</v>
      </c>
      <c r="H21" s="235">
        <v>25572.970819316688</v>
      </c>
      <c r="I21" s="279">
        <v>0.10199738482836891</v>
      </c>
      <c r="J21" s="301">
        <v>-547.92</v>
      </c>
      <c r="K21" s="174">
        <v>0.0010416730038022813</v>
      </c>
      <c r="L21" s="235">
        <v>-77.52091952395445</v>
      </c>
      <c r="M21" s="235">
        <v>973.13</v>
      </c>
      <c r="N21" s="302">
        <v>621.7836793791713</v>
      </c>
      <c r="O21" s="235">
        <v>26.933924188944047</v>
      </c>
      <c r="P21" s="279">
        <v>0.027073820597686975</v>
      </c>
    </row>
    <row r="22">
      <c r="A22" s="184">
        <v>43525.0</v>
      </c>
      <c r="B22" s="233">
        <v>250721.8284306833</v>
      </c>
      <c r="C22" s="233">
        <v>575000.0</v>
      </c>
      <c r="D22" s="235">
        <v>181420.06999999972</v>
      </c>
      <c r="E22" s="279">
        <v>0.3155131652173908</v>
      </c>
      <c r="F22" s="235">
        <v>432141.898430683</v>
      </c>
      <c r="G22" s="279">
        <v>0.30363957909068473</v>
      </c>
      <c r="H22" s="235">
        <v>8374.029381119384</v>
      </c>
      <c r="I22" s="279">
        <v>0.03449682927674902</v>
      </c>
      <c r="J22" s="301">
        <v>-618.92</v>
      </c>
      <c r="K22" s="174">
        <v>0.0010763826086956521</v>
      </c>
      <c r="L22" s="235">
        <v>-423.64259178365245</v>
      </c>
      <c r="M22" s="235">
        <v>0.0</v>
      </c>
      <c r="N22" s="302">
        <v>594.8497551902273</v>
      </c>
      <c r="O22" s="235">
        <v>-139.0485483165503</v>
      </c>
      <c r="P22" s="279">
        <v>0.02847058473911941</v>
      </c>
    </row>
    <row r="23">
      <c r="A23" s="184">
        <v>43497.0</v>
      </c>
      <c r="B23" s="233">
        <v>242747.7990495639</v>
      </c>
      <c r="C23" s="233">
        <v>550000.0</v>
      </c>
      <c r="D23" s="235">
        <v>490407.22999999986</v>
      </c>
      <c r="E23" s="279">
        <v>0.8916495090909089</v>
      </c>
      <c r="F23" s="235">
        <v>733155.0290495638</v>
      </c>
      <c r="G23" s="279">
        <v>0.3062106250444309</v>
      </c>
      <c r="H23" s="235">
        <v>9636.051459360955</v>
      </c>
      <c r="I23" s="279">
        <v>0.04107233145116107</v>
      </c>
      <c r="J23" s="301">
        <v>-534.72</v>
      </c>
      <c r="K23" s="174">
        <v>9.722181818181819E-4</v>
      </c>
      <c r="L23" s="235">
        <v>-57.937174498909194</v>
      </c>
      <c r="M23" s="235">
        <v>0.0</v>
      </c>
      <c r="N23" s="302">
        <v>733.8983035067776</v>
      </c>
      <c r="O23" s="235">
        <v>-81.29741182830253</v>
      </c>
      <c r="P23" s="279">
        <v>0.03627954476441278</v>
      </c>
    </row>
    <row r="24">
      <c r="A24" s="184">
        <v>43466.0</v>
      </c>
      <c r="B24" s="233">
        <v>234611.74759020295</v>
      </c>
      <c r="C24" s="233">
        <v>525000.0</v>
      </c>
      <c r="D24" s="235">
        <v>510286.2900000002</v>
      </c>
      <c r="E24" s="279">
        <v>0.9719738857142861</v>
      </c>
      <c r="F24" s="235">
        <v>744898.0375902031</v>
      </c>
      <c r="G24" s="279">
        <v>0.3088574503152258</v>
      </c>
      <c r="H24" s="235">
        <v>-5884.065558971575</v>
      </c>
      <c r="I24" s="279">
        <v>-0.024314741161841652</v>
      </c>
      <c r="J24" s="301">
        <v>-565.1</v>
      </c>
      <c r="K24" s="174">
        <v>0.0010763809523809524</v>
      </c>
      <c r="L24" s="235">
        <v>-15.83755718285692</v>
      </c>
      <c r="M24" s="235">
        <v>996.28</v>
      </c>
      <c r="N24" s="302">
        <v>815.1957153350801</v>
      </c>
      <c r="O24" s="235">
        <v>-34.18552044410467</v>
      </c>
      <c r="P24" s="279">
        <v>0.0416959026327523</v>
      </c>
    </row>
    <row r="25">
      <c r="A25" s="184">
        <v>43435.0</v>
      </c>
      <c r="B25" s="233">
        <v>241995.81314917453</v>
      </c>
      <c r="C25" s="233">
        <v>531000.0</v>
      </c>
      <c r="D25" s="235">
        <v>500405.86999999994</v>
      </c>
      <c r="E25" s="279">
        <v>0.942383935969868</v>
      </c>
      <c r="F25" s="235">
        <v>742401.6831491744</v>
      </c>
      <c r="G25" s="279">
        <v>0.31306225600794246</v>
      </c>
      <c r="H25" s="235">
        <v>13537.126941522001</v>
      </c>
      <c r="I25" s="279">
        <v>0.059176449934818486</v>
      </c>
      <c r="J25" s="301">
        <v>-534.69</v>
      </c>
      <c r="K25" s="174">
        <v>0.001006949152542373</v>
      </c>
      <c r="L25" s="235">
        <v>-30.80673327627127</v>
      </c>
      <c r="M25" s="235">
        <v>4248.66</v>
      </c>
      <c r="N25" s="302">
        <v>849.3812357791847</v>
      </c>
      <c r="O25" s="235">
        <v>377.329257568778</v>
      </c>
      <c r="P25" s="279">
        <v>0.04211880650623969</v>
      </c>
    </row>
    <row r="26">
      <c r="A26" s="184">
        <v>43405.0</v>
      </c>
      <c r="B26" s="233">
        <v>228758.68620765253</v>
      </c>
      <c r="C26" s="233">
        <v>521000.0</v>
      </c>
      <c r="D26" s="235">
        <v>511442.66000000003</v>
      </c>
      <c r="E26" s="279">
        <v>0.9816557773512476</v>
      </c>
      <c r="F26" s="235">
        <v>740201.3462076526</v>
      </c>
      <c r="G26" s="279">
        <v>0.3051097511983952</v>
      </c>
      <c r="H26" s="235">
        <v>-15257.955087552808</v>
      </c>
      <c r="I26" s="279">
        <v>-0.06412073646906129</v>
      </c>
      <c r="J26" s="301">
        <v>-579.07</v>
      </c>
      <c r="K26" s="174">
        <v>0.0011114587332053743</v>
      </c>
      <c r="L26" s="235">
        <v>-10.622589009213025</v>
      </c>
      <c r="M26" s="235">
        <v>1458.27</v>
      </c>
      <c r="N26" s="302">
        <v>472.05197821040673</v>
      </c>
      <c r="O26" s="235">
        <v>80.32360235939382</v>
      </c>
      <c r="P26" s="279">
        <v>0.024762442171847837</v>
      </c>
    </row>
    <row r="27">
      <c r="A27" s="184">
        <v>43374.0</v>
      </c>
      <c r="B27" s="233">
        <v>237956.64129520534</v>
      </c>
      <c r="C27" s="233">
        <v>515000.0</v>
      </c>
      <c r="D27" s="235">
        <v>490549.2599999999</v>
      </c>
      <c r="E27" s="279">
        <v>0.9525228349514561</v>
      </c>
      <c r="F27" s="235">
        <v>728505.9012952052</v>
      </c>
      <c r="G27" s="279">
        <v>0.31602967321714837</v>
      </c>
      <c r="H27" s="235">
        <v>-7082.410239149991</v>
      </c>
      <c r="I27" s="279">
        <v>-0.028896114427261484</v>
      </c>
      <c r="J27" s="301">
        <v>-555.0</v>
      </c>
      <c r="K27" s="174">
        <v>0.0010776699029126213</v>
      </c>
      <c r="L27" s="235">
        <v>-26.349826601941885</v>
      </c>
      <c r="M27" s="235">
        <v>888.6500000000001</v>
      </c>
      <c r="N27" s="302">
        <v>391.7283758510129</v>
      </c>
      <c r="O27" s="235">
        <v>-85.02477644121836</v>
      </c>
      <c r="P27" s="279">
        <v>0.019754609430633577</v>
      </c>
    </row>
    <row r="28">
      <c r="A28" s="184">
        <v>43344.0</v>
      </c>
      <c r="B28" s="233">
        <v>245099.05153435533</v>
      </c>
      <c r="C28" s="233">
        <v>515000.0</v>
      </c>
      <c r="D28" s="235">
        <v>510461.7700000002</v>
      </c>
      <c r="E28" s="279">
        <v>0.9911879029126217</v>
      </c>
      <c r="F28" s="235">
        <v>755560.8215343555</v>
      </c>
      <c r="G28" s="279">
        <v>0.3224567259222231</v>
      </c>
      <c r="H28" s="235">
        <v>19959.4749971806</v>
      </c>
      <c r="I28" s="279">
        <v>0.08865378226331043</v>
      </c>
      <c r="J28" s="301">
        <v>-501.62</v>
      </c>
      <c r="K28" s="174">
        <v>9.740194174757282E-4</v>
      </c>
      <c r="L28" s="235">
        <v>-4.420324140970698</v>
      </c>
      <c r="M28" s="235">
        <v>-12.85</v>
      </c>
      <c r="N28" s="302">
        <v>476.7531522922313</v>
      </c>
      <c r="O28" s="235">
        <v>-146.60171188124576</v>
      </c>
      <c r="P28" s="279">
        <v>0.02334173792877718</v>
      </c>
    </row>
    <row r="29">
      <c r="A29" s="184">
        <v>43313.0</v>
      </c>
      <c r="B29" s="233">
        <v>225139.57653717473</v>
      </c>
      <c r="C29" s="233">
        <v>481000.0</v>
      </c>
      <c r="D29" s="235">
        <v>513501.00000000023</v>
      </c>
      <c r="E29" s="279">
        <v>1.0675696465696471</v>
      </c>
      <c r="F29" s="235">
        <v>738640.576537175</v>
      </c>
      <c r="G29" s="279">
        <v>0.3188315511803384</v>
      </c>
      <c r="H29" s="235">
        <v>-2940.55153253155</v>
      </c>
      <c r="I29" s="279">
        <v>-0.02448824447309521</v>
      </c>
      <c r="J29" s="301">
        <v>-573.99</v>
      </c>
      <c r="K29" s="174">
        <v>0.0011933264033264033</v>
      </c>
      <c r="L29" s="235">
        <v>-38.78430143451177</v>
      </c>
      <c r="M29" s="235">
        <v>0.0</v>
      </c>
      <c r="N29" s="302">
        <v>623.354864173477</v>
      </c>
      <c r="O29" s="235">
        <v>141.43898923363383</v>
      </c>
      <c r="P29" s="279">
        <v>0.03322498196511707</v>
      </c>
    </row>
    <row r="30">
      <c r="A30" s="184">
        <v>43282.0</v>
      </c>
      <c r="B30" s="233">
        <v>120080.12806970628</v>
      </c>
      <c r="C30" s="233">
        <v>445000.0</v>
      </c>
      <c r="D30" s="235">
        <v>481315.0199999999</v>
      </c>
      <c r="E30" s="279">
        <v>1.0816067865168537</v>
      </c>
      <c r="F30" s="235">
        <v>601395.1480697062</v>
      </c>
      <c r="G30" s="279">
        <v>0.21250106330919077</v>
      </c>
      <c r="H30" s="235">
        <v>1021.3835595501732</v>
      </c>
      <c r="I30" s="279">
        <v>0.010858996309905966</v>
      </c>
      <c r="J30" s="301">
        <v>-467.55</v>
      </c>
      <c r="K30" s="174">
        <v>0.0010506741573033708</v>
      </c>
      <c r="L30" s="235">
        <v>-38.155253035954956</v>
      </c>
      <c r="M30" s="235">
        <v>428.28999999999996</v>
      </c>
      <c r="N30" s="302">
        <v>481.9158749398432</v>
      </c>
      <c r="O30" s="235">
        <v>40.22889174120115</v>
      </c>
      <c r="P30" s="279">
        <v>0.048159429809411125</v>
      </c>
    </row>
    <row r="31">
      <c r="A31" s="184">
        <v>43252.0</v>
      </c>
      <c r="B31" s="233">
        <v>94058.7445101561</v>
      </c>
      <c r="C31" s="233">
        <v>255000.0</v>
      </c>
      <c r="D31" s="235">
        <v>253749.47</v>
      </c>
      <c r="E31" s="279">
        <v>0.9950959607843137</v>
      </c>
      <c r="F31" s="235">
        <v>347808.2145101561</v>
      </c>
      <c r="G31" s="279">
        <v>0.2694639397793955</v>
      </c>
      <c r="H31" s="235">
        <v>10560.393813984076</v>
      </c>
      <c r="I31" s="279">
        <v>0.12647428034130279</v>
      </c>
      <c r="J31" s="301">
        <v>-276.19</v>
      </c>
      <c r="K31" s="174">
        <v>0.0010830980392156863</v>
      </c>
      <c r="L31" s="235">
        <v>-1.3544465909803918</v>
      </c>
      <c r="M31" s="235">
        <v>2086.06</v>
      </c>
      <c r="N31" s="302">
        <v>441.68698319864205</v>
      </c>
      <c r="O31" s="235">
        <v>228.24982699843218</v>
      </c>
      <c r="P31" s="279">
        <v>0.056350356641337106</v>
      </c>
    </row>
    <row r="32">
      <c r="A32" s="184">
        <v>43221.0</v>
      </c>
      <c r="B32" s="233">
        <v>83498.35069617203</v>
      </c>
      <c r="C32" s="233">
        <v>150000.0</v>
      </c>
      <c r="D32" s="235">
        <v>149093.2799999999</v>
      </c>
      <c r="E32" s="279">
        <v>0.9939551999999994</v>
      </c>
      <c r="F32" s="235">
        <v>232591.63069617195</v>
      </c>
      <c r="G32" s="279">
        <v>0.3575971755141862</v>
      </c>
      <c r="H32" s="235">
        <v>5941.726766272768</v>
      </c>
      <c r="I32" s="279">
        <v>0.07661146740532812</v>
      </c>
      <c r="J32" s="301">
        <v>-161.46</v>
      </c>
      <c r="K32" s="174">
        <v>0.0010764000000000001</v>
      </c>
      <c r="L32" s="235">
        <v>-0.9759934080001014</v>
      </c>
      <c r="M32" s="235">
        <v>445.59000000000003</v>
      </c>
      <c r="N32" s="302">
        <v>213.43715620020987</v>
      </c>
      <c r="O32" s="235">
        <v>41.315751243332784</v>
      </c>
      <c r="P32" s="279">
        <v>0.03067420916758226</v>
      </c>
    </row>
    <row r="33">
      <c r="A33" s="184">
        <v>43191.0</v>
      </c>
      <c r="B33" s="233">
        <v>77556.62392989926</v>
      </c>
      <c r="C33" s="233">
        <v>140000.0</v>
      </c>
      <c r="D33" s="235">
        <v>106128.29999999997</v>
      </c>
      <c r="E33" s="279">
        <v>0.7580592857142855</v>
      </c>
      <c r="F33" s="235">
        <v>183684.92392989923</v>
      </c>
      <c r="G33" s="279">
        <v>0.356489370578252</v>
      </c>
      <c r="H33" s="235">
        <v>-3185.019702731166</v>
      </c>
      <c r="I33" s="279">
        <v>-0.0394470506102503</v>
      </c>
      <c r="J33" s="301">
        <v>-140.97</v>
      </c>
      <c r="K33" s="174">
        <v>0.0010069285714285714</v>
      </c>
      <c r="L33" s="235">
        <v>-34.10638249285717</v>
      </c>
      <c r="M33" s="235">
        <v>385.02</v>
      </c>
      <c r="N33" s="302">
        <v>172.1214049568771</v>
      </c>
      <c r="O33" s="235">
        <v>3.952240281242041</v>
      </c>
      <c r="P33" s="279">
        <v>0.02663159837062299</v>
      </c>
    </row>
    <row r="34">
      <c r="A34" s="184">
        <v>43160.0</v>
      </c>
      <c r="B34" s="233">
        <v>80741.64363263042</v>
      </c>
      <c r="C34" s="233">
        <v>140000.0</v>
      </c>
      <c r="D34" s="235">
        <v>139322.5199999999</v>
      </c>
      <c r="E34" s="279">
        <v>0.9951608571428564</v>
      </c>
      <c r="F34" s="235">
        <v>220064.1636326303</v>
      </c>
      <c r="G34" s="279">
        <v>0.3657744062420991</v>
      </c>
      <c r="H34" s="235">
        <v>-4442.621325927583</v>
      </c>
      <c r="I34" s="279">
        <v>-0.052153074609364886</v>
      </c>
      <c r="J34" s="301">
        <v>-155.56</v>
      </c>
      <c r="K34" s="174">
        <v>0.0011111428571428572</v>
      </c>
      <c r="L34" s="235">
        <v>-0.752777062857258</v>
      </c>
      <c r="M34" s="235">
        <v>507.89</v>
      </c>
      <c r="N34" s="302">
        <v>168.16916467563505</v>
      </c>
      <c r="O34" s="235">
        <v>29.44353063350485</v>
      </c>
      <c r="P34" s="279">
        <v>0.024993669751008966</v>
      </c>
    </row>
    <row r="35">
      <c r="A35" s="184">
        <v>43132.0</v>
      </c>
      <c r="B35" s="233">
        <v>85184.26495855801</v>
      </c>
      <c r="C35" s="233">
        <v>171000.0</v>
      </c>
      <c r="D35" s="235">
        <v>139674.8799999999</v>
      </c>
      <c r="E35" s="279">
        <v>0.8168121637426894</v>
      </c>
      <c r="F35" s="235">
        <v>224859.1449585579</v>
      </c>
      <c r="G35" s="279">
        <v>0.33251169806364944</v>
      </c>
      <c r="H35" s="235">
        <v>-6018.906101184475</v>
      </c>
      <c r="I35" s="279">
        <v>-0.09834304329279307</v>
      </c>
      <c r="J35" s="301">
        <v>-166.36</v>
      </c>
      <c r="K35" s="174">
        <v>9.728654970760235E-4</v>
      </c>
      <c r="L35" s="235">
        <v>-30.475128439766195</v>
      </c>
      <c r="M35" s="235">
        <v>37.550000000000004</v>
      </c>
      <c r="N35" s="302">
        <v>138.7256340421302</v>
      </c>
      <c r="O35" s="235">
        <v>18.889475502555214</v>
      </c>
      <c r="P35" s="279">
        <v>0.019542430862265932</v>
      </c>
    </row>
    <row r="36">
      <c r="A36" s="184">
        <v>43101.0</v>
      </c>
      <c r="B36" s="233">
        <v>61203.17105974248</v>
      </c>
      <c r="C36" s="233">
        <v>180000.0</v>
      </c>
      <c r="D36" s="235">
        <v>171150.3999999999</v>
      </c>
      <c r="E36" s="279">
        <v>0.950835555555555</v>
      </c>
      <c r="F36" s="235">
        <v>232353.5710597424</v>
      </c>
      <c r="G36" s="279">
        <v>0.25374115435896716</v>
      </c>
      <c r="H36" s="235">
        <v>528.0081696281486</v>
      </c>
      <c r="I36" s="279">
        <v>0.008702212643160052</v>
      </c>
      <c r="J36" s="301">
        <v>-193.75</v>
      </c>
      <c r="K36" s="174">
        <v>0.0010763888888888889</v>
      </c>
      <c r="L36" s="235">
        <v>-9.525611111111221</v>
      </c>
      <c r="M36" s="235">
        <v>85.16999999999999</v>
      </c>
      <c r="N36" s="302">
        <v>119.83615853957498</v>
      </c>
      <c r="O36" s="235">
        <v>-38.44068191638077</v>
      </c>
      <c r="P36" s="279">
        <v>0.0234960685463697</v>
      </c>
    </row>
    <row r="37">
      <c r="A37" s="184">
        <v>43070.0</v>
      </c>
      <c r="B37" s="233">
        <v>60675.162890114334</v>
      </c>
      <c r="C37" s="233">
        <v>118000.0</v>
      </c>
      <c r="D37" s="235">
        <v>117273.77000000005</v>
      </c>
      <c r="E37" s="279">
        <v>0.9938455084745766</v>
      </c>
      <c r="F37" s="235">
        <v>177948.93289011437</v>
      </c>
      <c r="G37" s="279">
        <v>0.33958364390818946</v>
      </c>
      <c r="H37" s="235">
        <v>-3542.3274643067707</v>
      </c>
      <c r="I37" s="279">
        <v>-0.06656321898525017</v>
      </c>
      <c r="J37" s="301">
        <v>-127.19</v>
      </c>
      <c r="K37" s="174">
        <v>0.0010778813559322034</v>
      </c>
      <c r="L37" s="235">
        <v>-0.7827897771185965</v>
      </c>
      <c r="M37" s="235">
        <v>890.63</v>
      </c>
      <c r="N37" s="302">
        <v>158.27684045595575</v>
      </c>
      <c r="O37" s="235">
        <v>77.12411598741933</v>
      </c>
      <c r="P37" s="279">
        <v>0.03130312297490216</v>
      </c>
    </row>
    <row r="38">
      <c r="A38" s="184">
        <v>43040.0</v>
      </c>
      <c r="B38" s="233">
        <v>53217.490354421105</v>
      </c>
      <c r="C38" s="233">
        <v>98000.0</v>
      </c>
      <c r="D38" s="235">
        <v>88088.05999999998</v>
      </c>
      <c r="E38" s="279">
        <v>0.8988577551020407</v>
      </c>
      <c r="F38" s="235">
        <v>141305.55035442108</v>
      </c>
      <c r="G38" s="279">
        <v>0.3519268189790137</v>
      </c>
      <c r="H38" s="235">
        <v>7583.641849856773</v>
      </c>
      <c r="I38" s="279">
        <v>0.15920699435255792</v>
      </c>
      <c r="J38" s="301">
        <v>-102.08</v>
      </c>
      <c r="K38" s="174">
        <v>0.0010416326530612245</v>
      </c>
      <c r="L38" s="235">
        <v>-10.324600359183686</v>
      </c>
      <c r="M38" s="235">
        <v>24.61</v>
      </c>
      <c r="N38" s="302">
        <v>81.15272446853642</v>
      </c>
      <c r="O38" s="235">
        <v>0.6087805962586827</v>
      </c>
      <c r="P38" s="279">
        <v>0.018299109693765084</v>
      </c>
    </row>
    <row r="39">
      <c r="A39" s="184">
        <v>43009.0</v>
      </c>
      <c r="B39" s="233">
        <v>47633.84850456433</v>
      </c>
      <c r="C39" s="233">
        <v>90000.0</v>
      </c>
      <c r="D39" s="235">
        <v>89894.67999999998</v>
      </c>
      <c r="E39" s="279">
        <v>0.9988297777777775</v>
      </c>
      <c r="F39" s="235">
        <v>137528.5285045643</v>
      </c>
      <c r="G39" s="279">
        <v>0.34609108894448054</v>
      </c>
      <c r="H39" s="235">
        <v>-589.9169544161705</v>
      </c>
      <c r="I39" s="279">
        <v>-0.014839272396092139</v>
      </c>
      <c r="J39" s="301">
        <v>-93.75</v>
      </c>
      <c r="K39" s="174">
        <v>0.0010416666666666667</v>
      </c>
      <c r="L39" s="235">
        <v>-0.10970833333336094</v>
      </c>
      <c r="M39" s="235">
        <v>482.99</v>
      </c>
      <c r="N39" s="302">
        <v>80.54394387227774</v>
      </c>
      <c r="O39" s="235">
        <v>40.90993698486253</v>
      </c>
      <c r="P39" s="279">
        <v>0.02029076710807272</v>
      </c>
    </row>
    <row r="40">
      <c r="A40" s="184">
        <v>42979.0</v>
      </c>
      <c r="B40" s="233">
        <v>39753.7654589805</v>
      </c>
      <c r="C40" s="233">
        <v>80000.0</v>
      </c>
      <c r="D40" s="235">
        <v>79910.20000000003</v>
      </c>
      <c r="E40" s="279">
        <v>0.9988775000000003</v>
      </c>
      <c r="F40" s="235">
        <v>119663.96545898053</v>
      </c>
      <c r="G40" s="279">
        <v>0.33196255087776294</v>
      </c>
      <c r="H40" s="235">
        <v>5841.229798279121</v>
      </c>
      <c r="I40" s="279">
        <v>0.17224397068745498</v>
      </c>
      <c r="J40" s="301">
        <v>-86.11</v>
      </c>
      <c r="K40" s="174">
        <v>0.001076375</v>
      </c>
      <c r="L40" s="235">
        <v>-0.09665847499997358</v>
      </c>
      <c r="M40" s="235">
        <v>19.49</v>
      </c>
      <c r="N40" s="302">
        <v>39.634006887415204</v>
      </c>
      <c r="O40" s="235">
        <v>-5.074951764482655</v>
      </c>
      <c r="P40" s="279">
        <v>0.011963849893407798</v>
      </c>
    </row>
    <row r="41">
      <c r="A41" s="184">
        <v>42948.0</v>
      </c>
      <c r="B41" s="233">
        <v>33912.53566070138</v>
      </c>
      <c r="C41" s="233">
        <v>73300.0</v>
      </c>
      <c r="D41" s="235">
        <v>73187.72000000002</v>
      </c>
      <c r="E41" s="279">
        <v>0.9984682128240111</v>
      </c>
      <c r="F41" s="235">
        <v>107100.2556607014</v>
      </c>
      <c r="G41" s="279">
        <v>0.3163112918812532</v>
      </c>
      <c r="H41" s="235">
        <v>-9766.477680093514</v>
      </c>
      <c r="I41" s="279">
        <v>-0.22359657265819957</v>
      </c>
      <c r="J41" s="301">
        <v>-78.9</v>
      </c>
      <c r="K41" s="174">
        <v>0.0010763983628922238</v>
      </c>
      <c r="L41" s="235">
        <v>-0.12085800818552396</v>
      </c>
      <c r="M41" s="235">
        <v>17.77</v>
      </c>
      <c r="N41" s="302">
        <v>44.70895865189786</v>
      </c>
      <c r="O41" s="235">
        <v>-16.671469456679723</v>
      </c>
      <c r="P41" s="279">
        <v>0.015820329956762608</v>
      </c>
    </row>
    <row r="42">
      <c r="A42" s="184">
        <v>42917.0</v>
      </c>
      <c r="B42" s="233">
        <v>43679.013340794896</v>
      </c>
      <c r="C42" s="233">
        <v>66200.0</v>
      </c>
      <c r="D42" s="235">
        <v>66214.44000000002</v>
      </c>
      <c r="E42" s="279">
        <v>1.0002181268882178</v>
      </c>
      <c r="F42" s="235">
        <v>109893.45334079492</v>
      </c>
      <c r="G42" s="279">
        <v>0.3975191623292284</v>
      </c>
      <c r="H42" s="235">
        <v>-5277.707728255045</v>
      </c>
      <c r="I42" s="279">
        <v>-0.10780353775758833</v>
      </c>
      <c r="J42" s="301">
        <v>-66.68</v>
      </c>
      <c r="K42" s="174">
        <v>0.0010072507552870093</v>
      </c>
      <c r="L42" s="235">
        <v>-0.01454470090636039</v>
      </c>
      <c r="M42" s="235">
        <v>240.32</v>
      </c>
      <c r="N42" s="302">
        <v>61.38042810857758</v>
      </c>
      <c r="O42" s="235">
        <v>7.253762588484456</v>
      </c>
      <c r="P42" s="279">
        <v>0.016863135885329193</v>
      </c>
    </row>
    <row r="43">
      <c r="A43" s="184">
        <v>42887.0</v>
      </c>
      <c r="B43" s="233">
        <v>48956.72106904994</v>
      </c>
      <c r="C43" s="233">
        <v>49800.0</v>
      </c>
      <c r="D43" s="235">
        <v>49486.679999999935</v>
      </c>
      <c r="E43" s="279">
        <v>0.9937084337349384</v>
      </c>
      <c r="F43" s="235">
        <v>98443.40106904987</v>
      </c>
      <c r="G43" s="279">
        <v>0.4957305238477873</v>
      </c>
      <c r="H43" s="235">
        <v>-2409.528189281533</v>
      </c>
      <c r="I43" s="279">
        <v>-0.04786864783896699</v>
      </c>
      <c r="J43" s="301">
        <v>-55.33</v>
      </c>
      <c r="K43" s="174">
        <v>0.0011110441767068272</v>
      </c>
      <c r="L43" s="235">
        <v>-0.3481123614458558</v>
      </c>
      <c r="M43" s="235">
        <v>121.37</v>
      </c>
      <c r="N43" s="302">
        <v>54.12666552009313</v>
      </c>
      <c r="O43" s="235">
        <v>-3.8594588751474745</v>
      </c>
      <c r="P43" s="279">
        <v>0.013267228116135805</v>
      </c>
    </row>
    <row r="44">
      <c r="A44" s="184">
        <v>42856.0</v>
      </c>
      <c r="B44" s="233">
        <v>50336.249258331474</v>
      </c>
      <c r="C44" s="233">
        <v>28500.0</v>
      </c>
      <c r="D44" s="235">
        <v>28468.139999999952</v>
      </c>
      <c r="E44" s="279">
        <v>0.9988821052631562</v>
      </c>
      <c r="F44" s="235">
        <v>78804.38925833143</v>
      </c>
      <c r="G44" s="279">
        <v>0.6384911729297155</v>
      </c>
      <c r="H44" s="235">
        <v>3906.8596020119667</v>
      </c>
      <c r="I44" s="279">
        <v>0.0798468901707907</v>
      </c>
      <c r="J44" s="301">
        <v>-30.68</v>
      </c>
      <c r="K44" s="174">
        <v>0.0010764912280701753</v>
      </c>
      <c r="L44" s="235">
        <v>-0.034297010526366585</v>
      </c>
      <c r="M44" s="235">
        <v>0.0</v>
      </c>
      <c r="N44" s="302">
        <v>57.9861243952406</v>
      </c>
      <c r="O44" s="235">
        <v>-1.9031809616698752</v>
      </c>
      <c r="P44" s="279">
        <v>0.01382370563948436</v>
      </c>
    </row>
    <row r="45">
      <c r="A45" s="184">
        <v>42826.0</v>
      </c>
      <c r="B45" s="233">
        <v>48929.38965631951</v>
      </c>
      <c r="C45" s="233">
        <v>0.0</v>
      </c>
      <c r="D45" s="235">
        <v>0.0</v>
      </c>
      <c r="E45" s="279">
        <v>0.0</v>
      </c>
      <c r="F45" s="235">
        <v>48929.38965631951</v>
      </c>
      <c r="G45" s="279">
        <v>1.0</v>
      </c>
      <c r="H45" s="235">
        <v>-719.2568919399273</v>
      </c>
      <c r="I45" s="279">
        <v>-0.01448693855613558</v>
      </c>
      <c r="J45" s="301">
        <v>0.0</v>
      </c>
      <c r="K45" s="174">
        <v>0.0</v>
      </c>
      <c r="L45" s="235">
        <v>0.0</v>
      </c>
      <c r="M45" s="235">
        <v>91.22</v>
      </c>
      <c r="N45" s="302">
        <v>59.88930535691048</v>
      </c>
      <c r="O45" s="235">
        <v>6.511304666168954</v>
      </c>
      <c r="P45" s="279">
        <v>0.014687934375042937</v>
      </c>
    </row>
    <row r="46">
      <c r="A46" s="184">
        <v>42795.0</v>
      </c>
      <c r="B46" s="233">
        <v>49648.646548259436</v>
      </c>
      <c r="C46" s="233">
        <v>0.0</v>
      </c>
      <c r="D46" s="235">
        <v>0.0</v>
      </c>
      <c r="E46" s="279">
        <v>0.0</v>
      </c>
      <c r="F46" s="235">
        <v>49648.646548259436</v>
      </c>
      <c r="G46" s="279">
        <v>1.0</v>
      </c>
      <c r="H46" s="235">
        <v>1043.746832957404</v>
      </c>
      <c r="I46" s="279">
        <v>0.021474107323974305</v>
      </c>
      <c r="J46" s="301">
        <v>0.0</v>
      </c>
      <c r="K46" s="174">
        <v>0.0</v>
      </c>
      <c r="L46" s="235">
        <v>0.0</v>
      </c>
      <c r="M46" s="235">
        <v>4.5</v>
      </c>
      <c r="N46" s="302">
        <v>53.37800069074152</v>
      </c>
      <c r="O46" s="235">
        <v>-4.848531320322294</v>
      </c>
      <c r="P46" s="279">
        <v>0.0129013790469854</v>
      </c>
    </row>
    <row r="47">
      <c r="A47" s="184">
        <v>42767.0</v>
      </c>
      <c r="B47" s="233">
        <v>48604.89971530203</v>
      </c>
      <c r="C47" s="233">
        <v>0.0</v>
      </c>
      <c r="D47" s="235">
        <v>0.0</v>
      </c>
      <c r="E47" s="279">
        <v>0.0</v>
      </c>
      <c r="F47" s="235">
        <v>48604.89971530203</v>
      </c>
      <c r="G47" s="279">
        <v>1.0</v>
      </c>
      <c r="H47" s="235">
        <v>881.3661705323466</v>
      </c>
      <c r="I47" s="279">
        <v>0.018468166647918737</v>
      </c>
      <c r="J47" s="301">
        <v>0.0</v>
      </c>
      <c r="K47" s="174">
        <v>0.0</v>
      </c>
      <c r="L47" s="235">
        <v>0.0</v>
      </c>
      <c r="M47" s="235">
        <v>4.87</v>
      </c>
      <c r="N47" s="302">
        <v>58.22653201106382</v>
      </c>
      <c r="O47" s="235">
        <v>0.6226931846936381</v>
      </c>
      <c r="P47" s="279">
        <v>0.014375472189541251</v>
      </c>
    </row>
    <row r="48">
      <c r="A48" s="184">
        <v>42736.0</v>
      </c>
      <c r="B48" s="233">
        <v>47723.533544769685</v>
      </c>
      <c r="C48" s="233">
        <v>0.0</v>
      </c>
      <c r="D48" s="235">
        <v>0.0</v>
      </c>
      <c r="E48" s="279">
        <v>0.0</v>
      </c>
      <c r="F48" s="235">
        <v>47723.533544769685</v>
      </c>
      <c r="G48" s="279">
        <v>1.0</v>
      </c>
      <c r="H48" s="235">
        <v>551.4197129031963</v>
      </c>
      <c r="I48" s="279">
        <v>0.011689527309897488</v>
      </c>
      <c r="J48" s="301">
        <v>0.0</v>
      </c>
      <c r="K48" s="174">
        <v>0.0</v>
      </c>
      <c r="L48" s="235">
        <v>0.0</v>
      </c>
      <c r="M48" s="235">
        <v>237.85999999999999</v>
      </c>
      <c r="N48" s="302">
        <v>57.60383882637018</v>
      </c>
      <c r="O48" s="235">
        <v>4.680109779523406</v>
      </c>
      <c r="P48" s="279">
        <v>0.014484385680871278</v>
      </c>
    </row>
    <row r="49">
      <c r="A49" s="184">
        <v>42705.0</v>
      </c>
      <c r="B49" s="233">
        <v>47172.11383186649</v>
      </c>
      <c r="C49" s="233">
        <v>0.0</v>
      </c>
      <c r="D49" s="235">
        <v>0.0</v>
      </c>
      <c r="E49" s="279">
        <v>0.0</v>
      </c>
      <c r="F49" s="235">
        <v>47172.11383186649</v>
      </c>
      <c r="G49" s="279">
        <v>1.0</v>
      </c>
      <c r="H49" s="235">
        <v>360.89523036795435</v>
      </c>
      <c r="I49" s="279">
        <v>0.007709588452294666</v>
      </c>
      <c r="J49" s="301">
        <v>0.0</v>
      </c>
      <c r="K49" s="174">
        <v>0.0</v>
      </c>
      <c r="L49" s="235">
        <v>0.0</v>
      </c>
      <c r="M49" s="235">
        <v>121.82999999999998</v>
      </c>
      <c r="N49" s="302">
        <v>52.92372904684677</v>
      </c>
      <c r="O49" s="235">
        <v>10.082967073676734</v>
      </c>
      <c r="P49" s="279">
        <v>0.013463139490118382</v>
      </c>
    </row>
    <row r="50">
      <c r="A50" s="184">
        <v>42675.0</v>
      </c>
      <c r="B50" s="233">
        <v>46811.218601498535</v>
      </c>
      <c r="C50" s="233">
        <v>0.0</v>
      </c>
      <c r="D50" s="235">
        <v>0.0</v>
      </c>
      <c r="E50" s="279">
        <v>0.0</v>
      </c>
      <c r="F50" s="235">
        <v>46811.218601498535</v>
      </c>
      <c r="G50" s="279">
        <v>1.0</v>
      </c>
      <c r="H50" s="235">
        <v>175.90814879977552</v>
      </c>
      <c r="I50" s="279">
        <v>0.0037719948059141916</v>
      </c>
      <c r="J50" s="301">
        <v>0.0</v>
      </c>
      <c r="K50" s="174">
        <v>0.0</v>
      </c>
      <c r="L50" s="235">
        <v>0.0</v>
      </c>
      <c r="M50" s="235">
        <v>4.57</v>
      </c>
      <c r="N50" s="302">
        <v>42.84076197317004</v>
      </c>
      <c r="O50" s="235">
        <v>-0.20102192296957355</v>
      </c>
      <c r="P50" s="279">
        <v>0.010982178183705376</v>
      </c>
    </row>
    <row r="51">
      <c r="A51" s="184">
        <v>42644.0</v>
      </c>
      <c r="B51" s="233">
        <v>46635.31045269876</v>
      </c>
      <c r="C51" s="233">
        <v>0.0</v>
      </c>
      <c r="D51" s="235">
        <v>0.0</v>
      </c>
      <c r="E51" s="279">
        <v>0.0</v>
      </c>
      <c r="F51" s="235">
        <v>46635.31045269876</v>
      </c>
      <c r="G51" s="279">
        <v>1.0</v>
      </c>
      <c r="H51" s="235">
        <v>184.28472731405054</v>
      </c>
      <c r="I51" s="279">
        <v>0.003967290806526626</v>
      </c>
      <c r="J51" s="301">
        <v>0.0</v>
      </c>
      <c r="K51" s="174">
        <v>0.0</v>
      </c>
      <c r="L51" s="235">
        <v>0.0</v>
      </c>
      <c r="M51" s="235">
        <v>4.4</v>
      </c>
      <c r="N51" s="302">
        <v>43.04178389613961</v>
      </c>
      <c r="O51" s="235">
        <v>-3.4799594667247646</v>
      </c>
      <c r="P51" s="279">
        <v>0.011075329010140335</v>
      </c>
    </row>
    <row r="52">
      <c r="A52" s="184">
        <v>42614.0</v>
      </c>
      <c r="B52" s="233">
        <v>46451.02572538471</v>
      </c>
      <c r="C52" s="233">
        <v>0.0</v>
      </c>
      <c r="D52" s="235">
        <v>0.0</v>
      </c>
      <c r="E52" s="279">
        <v>0.0</v>
      </c>
      <c r="F52" s="235">
        <v>46451.02572538471</v>
      </c>
      <c r="G52" s="279">
        <v>1.0</v>
      </c>
      <c r="H52" s="235">
        <v>252.709138508435</v>
      </c>
      <c r="I52" s="279">
        <v>0.005470094089537085</v>
      </c>
      <c r="J52" s="301">
        <v>0.0</v>
      </c>
      <c r="K52" s="174">
        <v>0.0</v>
      </c>
      <c r="L52" s="235">
        <v>0.0</v>
      </c>
      <c r="M52" s="235">
        <v>119.66</v>
      </c>
      <c r="N52" s="302">
        <v>46.52174336286438</v>
      </c>
      <c r="O52" s="235">
        <v>7.840756345556976</v>
      </c>
      <c r="P52" s="279">
        <v>0.012018268953946743</v>
      </c>
    </row>
    <row r="53">
      <c r="A53" s="184">
        <v>42583.0</v>
      </c>
      <c r="B53" s="233">
        <v>46198.31658687627</v>
      </c>
      <c r="C53" s="233">
        <v>0.0</v>
      </c>
      <c r="D53" s="235">
        <v>0.0</v>
      </c>
      <c r="E53" s="279">
        <v>0.0</v>
      </c>
      <c r="F53" s="235">
        <v>46198.31658687627</v>
      </c>
      <c r="G53" s="279">
        <v>1.0</v>
      </c>
      <c r="H53" s="235">
        <v>530.1978571400687</v>
      </c>
      <c r="I53" s="279">
        <v>0.011609802897241686</v>
      </c>
      <c r="J53" s="301">
        <v>0.0</v>
      </c>
      <c r="K53" s="174">
        <v>0.0</v>
      </c>
      <c r="L53" s="235">
        <v>0.0</v>
      </c>
      <c r="M53" s="235">
        <v>4.7</v>
      </c>
      <c r="N53" s="302">
        <v>38.6809870173074</v>
      </c>
      <c r="O53" s="235">
        <v>-3.444326595023618</v>
      </c>
      <c r="P53" s="279">
        <v>0.010047375716273347</v>
      </c>
    </row>
    <row r="54">
      <c r="A54" s="184">
        <v>42552.0</v>
      </c>
      <c r="B54" s="233">
        <v>45668.118729736205</v>
      </c>
      <c r="C54" s="233">
        <v>0.0</v>
      </c>
      <c r="D54" s="235">
        <v>0.0</v>
      </c>
      <c r="E54" s="279">
        <v>0.0</v>
      </c>
      <c r="F54" s="235">
        <v>45668.118729736205</v>
      </c>
      <c r="G54" s="279">
        <v>1.0</v>
      </c>
      <c r="H54" s="235">
        <v>390.3712469814491</v>
      </c>
      <c r="I54" s="279">
        <v>0.008621702021067467</v>
      </c>
      <c r="J54" s="301">
        <v>0.0</v>
      </c>
      <c r="K54" s="174">
        <v>0.0</v>
      </c>
      <c r="L54" s="235">
        <v>0.0</v>
      </c>
      <c r="M54" s="235">
        <v>4.69</v>
      </c>
      <c r="N54" s="302">
        <v>42.12531361233102</v>
      </c>
      <c r="O54" s="235">
        <v>-4.435544433915922</v>
      </c>
      <c r="P54" s="279">
        <v>0.011069073511425817</v>
      </c>
    </row>
    <row r="55">
      <c r="A55" s="184">
        <v>42522.0</v>
      </c>
      <c r="B55" s="233">
        <v>45277.747482754756</v>
      </c>
      <c r="C55" s="233">
        <v>0.0</v>
      </c>
      <c r="D55" s="235">
        <v>0.0</v>
      </c>
      <c r="E55" s="279">
        <v>0.0</v>
      </c>
      <c r="F55" s="235">
        <v>45277.747482754756</v>
      </c>
      <c r="G55" s="279">
        <v>1.0</v>
      </c>
      <c r="H55" s="235">
        <v>-416.54669725683925</v>
      </c>
      <c r="I55" s="279">
        <v>-0.009115945540505852</v>
      </c>
      <c r="J55" s="301">
        <v>0.0</v>
      </c>
      <c r="K55" s="174">
        <v>0.0</v>
      </c>
      <c r="L55" s="235">
        <v>0.0</v>
      </c>
      <c r="M55" s="235">
        <v>88.38</v>
      </c>
      <c r="N55" s="302">
        <v>46.56085804624694</v>
      </c>
      <c r="O55" s="235">
        <v>5.772512693317296</v>
      </c>
      <c r="P55" s="279">
        <v>0.012340063886079375</v>
      </c>
    </row>
    <row r="56">
      <c r="A56" s="184">
        <v>42491.0</v>
      </c>
      <c r="B56" s="233">
        <v>45694.294180011595</v>
      </c>
      <c r="C56" s="233">
        <v>0.0</v>
      </c>
      <c r="D56" s="235">
        <v>0.0</v>
      </c>
      <c r="E56" s="279">
        <v>0.0</v>
      </c>
      <c r="F56" s="235">
        <v>45694.294180011595</v>
      </c>
      <c r="G56" s="279">
        <v>1.0</v>
      </c>
      <c r="H56" s="235">
        <v>-397.61275647243747</v>
      </c>
      <c r="I56" s="279">
        <v>-0.00862651998799614</v>
      </c>
      <c r="J56" s="301">
        <v>0.0</v>
      </c>
      <c r="K56" s="174">
        <v>0.0</v>
      </c>
      <c r="L56" s="235">
        <v>0.0</v>
      </c>
      <c r="M56" s="235">
        <v>4.65</v>
      </c>
      <c r="N56" s="302">
        <v>40.788345352929646</v>
      </c>
      <c r="O56" s="235">
        <v>-6.701071798164918</v>
      </c>
      <c r="P56" s="279">
        <v>0.010711625007423006</v>
      </c>
    </row>
    <row r="57">
      <c r="A57" s="184">
        <v>42461.0</v>
      </c>
      <c r="B57" s="233">
        <v>46091.90693648403</v>
      </c>
      <c r="C57" s="233">
        <v>0.0</v>
      </c>
      <c r="D57" s="235">
        <v>0.0</v>
      </c>
      <c r="E57" s="279">
        <v>0.0</v>
      </c>
      <c r="F57" s="235">
        <v>46091.90693648403</v>
      </c>
      <c r="G57" s="279">
        <v>1.0</v>
      </c>
      <c r="H57" s="235">
        <v>10.909253803067259</v>
      </c>
      <c r="I57" s="279">
        <v>2.3674083356852712E-4</v>
      </c>
      <c r="J57" s="301">
        <v>0.0</v>
      </c>
      <c r="K57" s="174">
        <v>0.0</v>
      </c>
      <c r="L57" s="235">
        <v>0.0</v>
      </c>
      <c r="M57" s="235">
        <v>4.08</v>
      </c>
      <c r="N57" s="302">
        <v>47.489417151094564</v>
      </c>
      <c r="O57" s="235">
        <v>-9.233375605652391</v>
      </c>
      <c r="P57" s="279">
        <v>0.012363840936293568</v>
      </c>
    </row>
    <row r="58">
      <c r="A58" s="184">
        <v>42430.0</v>
      </c>
      <c r="B58" s="233">
        <v>46080.997682680965</v>
      </c>
      <c r="C58" s="233">
        <v>0.0</v>
      </c>
      <c r="D58" s="235">
        <v>0.0</v>
      </c>
      <c r="E58" s="279">
        <v>0.0</v>
      </c>
      <c r="F58" s="235">
        <v>46080.997682680965</v>
      </c>
      <c r="G58" s="279">
        <v>1.0</v>
      </c>
      <c r="H58" s="235">
        <v>2462.0413154561465</v>
      </c>
      <c r="I58" s="279">
        <v>0.05644429671192497</v>
      </c>
      <c r="J58" s="301">
        <v>0.0</v>
      </c>
      <c r="K58" s="174">
        <v>0.0</v>
      </c>
      <c r="L58" s="235">
        <v>0.0</v>
      </c>
      <c r="M58" s="235">
        <v>69.26</v>
      </c>
      <c r="N58" s="302">
        <v>56.722792756746955</v>
      </c>
      <c r="O58" s="235">
        <v>6.241793460454836</v>
      </c>
      <c r="P58" s="279">
        <v>0.014771240800126754</v>
      </c>
    </row>
    <row r="59">
      <c r="A59" s="184">
        <v>42401.0</v>
      </c>
      <c r="B59" s="233">
        <v>43618.95636722482</v>
      </c>
      <c r="C59" s="233">
        <v>0.0</v>
      </c>
      <c r="D59" s="235">
        <v>0.0</v>
      </c>
      <c r="E59" s="279">
        <v>0.0</v>
      </c>
      <c r="F59" s="235">
        <v>43618.95636722482</v>
      </c>
      <c r="G59" s="279">
        <v>1.0</v>
      </c>
      <c r="H59" s="235">
        <v>1048.6278255199431</v>
      </c>
      <c r="I59" s="279">
        <v>0.024632833746928543</v>
      </c>
      <c r="J59" s="301">
        <v>0.0</v>
      </c>
      <c r="K59" s="174">
        <v>0.0</v>
      </c>
      <c r="L59" s="235">
        <v>0.0</v>
      </c>
      <c r="M59" s="235">
        <v>3.92</v>
      </c>
      <c r="N59" s="302">
        <v>50.48099929629212</v>
      </c>
      <c r="O59" s="235">
        <v>-14.43305301522863</v>
      </c>
      <c r="P59" s="279">
        <v>0.013887814886159934</v>
      </c>
    </row>
    <row r="60">
      <c r="A60" s="184">
        <v>42370.0</v>
      </c>
      <c r="B60" s="233">
        <v>42570.328541704876</v>
      </c>
      <c r="C60" s="233">
        <v>0.0</v>
      </c>
      <c r="D60" s="235">
        <v>0.0</v>
      </c>
      <c r="E60" s="279">
        <v>0.0</v>
      </c>
      <c r="F60" s="235">
        <v>42570.328541704876</v>
      </c>
      <c r="G60" s="279">
        <v>1.0</v>
      </c>
      <c r="H60" s="235">
        <v>180.73710542198387</v>
      </c>
      <c r="I60" s="279">
        <v>0.004263714258573486</v>
      </c>
      <c r="J60" s="301">
        <v>0.0</v>
      </c>
      <c r="K60" s="174">
        <v>0.0</v>
      </c>
      <c r="L60" s="235">
        <v>0.0</v>
      </c>
      <c r="M60" s="235">
        <v>184.98</v>
      </c>
      <c r="N60" s="302">
        <v>64.91405231152075</v>
      </c>
      <c r="O60" s="235">
        <v>60.78645484050163</v>
      </c>
      <c r="P60" s="279">
        <v>0.01829839360941546</v>
      </c>
    </row>
    <row r="61">
      <c r="A61" s="184">
        <v>42339.0</v>
      </c>
      <c r="B61" s="233">
        <v>42389.59143628289</v>
      </c>
      <c r="C61" s="233">
        <v>0.0</v>
      </c>
      <c r="D61" s="235">
        <v>0.0</v>
      </c>
      <c r="E61" s="279">
        <v>0.0</v>
      </c>
      <c r="F61" s="235">
        <v>42389.59143628289</v>
      </c>
      <c r="G61" s="279">
        <v>1.0</v>
      </c>
      <c r="H61" s="235">
        <v>669.5388724596705</v>
      </c>
      <c r="I61" s="279">
        <v>0.016048370778905703</v>
      </c>
      <c r="J61" s="301">
        <v>0.0</v>
      </c>
      <c r="K61" s="174">
        <v>0.0</v>
      </c>
      <c r="L61" s="235">
        <v>0.0</v>
      </c>
      <c r="M61" s="235">
        <v>4.1</v>
      </c>
      <c r="N61" s="302">
        <v>4.127597471019125</v>
      </c>
      <c r="O61" s="235">
        <v>0.03759747101912492</v>
      </c>
      <c r="P61" s="279">
        <v>0.0011684748065260626</v>
      </c>
    </row>
    <row r="62">
      <c r="A62" s="184">
        <v>42309.0</v>
      </c>
      <c r="B62" s="233">
        <v>41720.05256382322</v>
      </c>
      <c r="C62" s="233">
        <v>0.0</v>
      </c>
      <c r="D62" s="235">
        <v>0.0</v>
      </c>
      <c r="E62" s="279">
        <v>0.0</v>
      </c>
      <c r="F62" s="235">
        <v>41720.05256382322</v>
      </c>
      <c r="G62" s="279">
        <v>1.0</v>
      </c>
      <c r="H62" s="235">
        <v>-636.4774361767777</v>
      </c>
      <c r="I62" s="279">
        <v>-0.015255911655506577</v>
      </c>
      <c r="J62" s="301">
        <v>0.0</v>
      </c>
      <c r="K62" s="174">
        <v>0.0</v>
      </c>
      <c r="L62" s="235">
        <v>0.0</v>
      </c>
      <c r="M62" s="235">
        <v>4.09</v>
      </c>
      <c r="N62" s="302">
        <v>4.09</v>
      </c>
      <c r="O62" s="235">
        <v>4.09</v>
      </c>
      <c r="P62" s="279">
        <v>0.0011764127076522148</v>
      </c>
    </row>
  </sheetData>
  <conditionalFormatting sqref="L1:L62">
    <cfRule type="expression" dxfId="16" priority="1">
      <formula>L1=""</formula>
    </cfRule>
  </conditionalFormatting>
  <conditionalFormatting sqref="J1:J62">
    <cfRule type="expression" dxfId="16" priority="2">
      <formula>K1=""</formula>
    </cfRule>
  </conditionalFormatting>
  <conditionalFormatting sqref="B1:D62 F1:F62 M1:N62">
    <cfRule type="expression" dxfId="15" priority="3">
      <formula>B1=MAX(B:B)</formula>
    </cfRule>
  </conditionalFormatting>
  <drawing r:id="rId2"/>
  <legacy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0.29"/>
    <col customWidth="1" min="2" max="2" width="10.71"/>
  </cols>
  <sheetData>
    <row r="1" ht="14.25" customHeight="1">
      <c r="A1" s="303" t="s">
        <v>46</v>
      </c>
      <c r="B1" s="303" t="s">
        <v>6</v>
      </c>
    </row>
    <row r="2" ht="14.25" customHeight="1">
      <c r="A2" s="304">
        <v>44136.0</v>
      </c>
      <c r="B2" s="305">
        <f>SUMIFS(ExpensesHistoric!$C:$C,ExpensesHistoric!$D:$D,"X",ExpensesHistoric!A:A,"&gt;="&amp;EOMONTH(A2,-1)+1,ExpensesHistoric!A:A,"&lt;="&amp;EOMONTH(A2,0))</f>
        <v>-133.02</v>
      </c>
    </row>
    <row r="3" ht="14.25" customHeight="1">
      <c r="A3" s="304">
        <v>44105.0</v>
      </c>
      <c r="B3" s="305">
        <f>SUMIFS(ExpensesHistoric!$C:$C,ExpensesHistoric!$D:$D,"X",ExpensesHistoric!A:A,"&gt;="&amp;EOMONTH(A3,-1)+1,ExpensesHistoric!A:A,"&lt;="&amp;EOMONTH(A3,0))</f>
        <v>-1170.5</v>
      </c>
    </row>
    <row r="4" ht="14.25" customHeight="1">
      <c r="A4" s="304">
        <v>44075.0</v>
      </c>
      <c r="B4" s="305">
        <v>-5646.9</v>
      </c>
    </row>
    <row r="5" ht="14.25" customHeight="1">
      <c r="A5" s="304">
        <v>44044.0</v>
      </c>
      <c r="B5" s="305">
        <v>-92718.19</v>
      </c>
    </row>
    <row r="6" ht="14.25" customHeight="1">
      <c r="A6" s="304">
        <v>44013.0</v>
      </c>
      <c r="B6" s="305">
        <v>-37.760000000000005</v>
      </c>
    </row>
    <row r="7" ht="14.25" customHeight="1">
      <c r="A7" s="304">
        <v>43983.0</v>
      </c>
      <c r="B7" s="305">
        <v>-62.690000000000005</v>
      </c>
    </row>
    <row r="8" ht="14.25" customHeight="1">
      <c r="A8" s="304">
        <v>43952.0</v>
      </c>
      <c r="B8" s="305">
        <v>0.0</v>
      </c>
    </row>
    <row r="9" ht="14.25" customHeight="1">
      <c r="A9" s="304">
        <v>43922.0</v>
      </c>
      <c r="B9" s="305">
        <v>-9.889999999999999</v>
      </c>
    </row>
    <row r="10" ht="14.25" customHeight="1">
      <c r="A10" s="304">
        <v>43891.0</v>
      </c>
      <c r="B10" s="305">
        <v>-74.6</v>
      </c>
    </row>
    <row r="11" ht="14.25" customHeight="1">
      <c r="A11" s="304">
        <v>43862.0</v>
      </c>
      <c r="B11" s="305">
        <v>-271.35</v>
      </c>
    </row>
    <row r="12" ht="14.25" customHeight="1">
      <c r="A12" s="304">
        <v>43831.0</v>
      </c>
      <c r="B12" s="305">
        <v>-481.95000000000005</v>
      </c>
    </row>
    <row r="13" ht="14.25" customHeight="1">
      <c r="A13" s="304">
        <v>43800.0</v>
      </c>
      <c r="B13" s="305">
        <v>-196.32</v>
      </c>
    </row>
    <row r="14" ht="14.25" customHeight="1">
      <c r="A14" s="304">
        <v>43770.0</v>
      </c>
      <c r="B14" s="305">
        <v>-42.16</v>
      </c>
    </row>
    <row r="15" ht="14.25" customHeight="1">
      <c r="A15" s="304">
        <v>43739.0</v>
      </c>
      <c r="B15" s="305">
        <v>-294.39</v>
      </c>
    </row>
    <row r="16" ht="14.25" customHeight="1">
      <c r="A16" s="304">
        <v>43709.0</v>
      </c>
      <c r="B16" s="305">
        <v>-90.1</v>
      </c>
    </row>
    <row r="17" ht="14.25" customHeight="1">
      <c r="A17" s="304">
        <v>43678.0</v>
      </c>
      <c r="B17" s="305">
        <v>-121.03</v>
      </c>
    </row>
    <row r="18" ht="14.25" customHeight="1">
      <c r="A18" s="304">
        <v>43647.0</v>
      </c>
      <c r="B18" s="305">
        <v>-170.76000000000002</v>
      </c>
    </row>
    <row r="19" ht="14.25" customHeight="1">
      <c r="A19" s="304">
        <v>43617.0</v>
      </c>
      <c r="B19" s="305">
        <v>-208.07</v>
      </c>
    </row>
    <row r="20" ht="14.25" customHeight="1">
      <c r="A20" s="304">
        <v>43586.0</v>
      </c>
      <c r="B20" s="305">
        <v>-86.88</v>
      </c>
    </row>
    <row r="21" ht="14.25" customHeight="1">
      <c r="A21" s="304">
        <v>43556.0</v>
      </c>
      <c r="B21" s="305">
        <v>-160.21</v>
      </c>
    </row>
    <row r="22" ht="14.25" customHeight="1">
      <c r="A22" s="304">
        <v>43525.0</v>
      </c>
      <c r="B22" s="305">
        <v>-117.82</v>
      </c>
    </row>
    <row r="23" ht="14.25" customHeight="1">
      <c r="A23" s="304">
        <v>43497.0</v>
      </c>
      <c r="B23" s="305">
        <v>-55.1</v>
      </c>
    </row>
    <row r="24" ht="14.25" customHeight="1">
      <c r="A24" s="304">
        <v>43466.0</v>
      </c>
      <c r="B24" s="305">
        <v>-36.76</v>
      </c>
    </row>
    <row r="25" ht="14.25" customHeight="1">
      <c r="A25" s="304">
        <v>43435.0</v>
      </c>
      <c r="B25" s="305">
        <v>-325.25</v>
      </c>
    </row>
    <row r="26" ht="14.25" customHeight="1">
      <c r="A26" s="304">
        <v>43405.0</v>
      </c>
      <c r="B26" s="305">
        <v>-133.55</v>
      </c>
    </row>
    <row r="27" ht="14.25" customHeight="1">
      <c r="A27" s="304">
        <v>43374.0</v>
      </c>
      <c r="B27" s="305">
        <v>-141.35</v>
      </c>
    </row>
    <row r="28" ht="14.25" customHeight="1">
      <c r="A28" s="304">
        <v>43344.0</v>
      </c>
      <c r="B28" s="305">
        <v>-71.35</v>
      </c>
    </row>
    <row r="29" ht="14.25" customHeight="1">
      <c r="A29" s="304">
        <v>43313.0</v>
      </c>
      <c r="B29" s="305">
        <v>-707.3299999999995</v>
      </c>
    </row>
    <row r="30" ht="14.25" customHeight="1">
      <c r="A30" s="304">
        <v>43282.0</v>
      </c>
      <c r="B30" s="305">
        <v>0.0</v>
      </c>
    </row>
    <row r="31" ht="14.25" customHeight="1">
      <c r="A31" s="304">
        <v>43252.0</v>
      </c>
      <c r="B31" s="305">
        <v>-894.53</v>
      </c>
    </row>
    <row r="32" ht="14.25" customHeight="1">
      <c r="A32" s="304">
        <v>43221.0</v>
      </c>
      <c r="B32" s="305">
        <v>-119.68</v>
      </c>
    </row>
    <row r="33" ht="14.25" customHeight="1">
      <c r="A33" s="304">
        <v>43191.0</v>
      </c>
      <c r="B33" s="305">
        <v>-5.2</v>
      </c>
    </row>
    <row r="34" ht="14.25" customHeight="1">
      <c r="A34" s="304">
        <v>43160.0</v>
      </c>
      <c r="B34" s="305">
        <v>-119.54</v>
      </c>
    </row>
    <row r="35" ht="14.25" customHeight="1">
      <c r="A35" s="304">
        <v>43132.0</v>
      </c>
      <c r="B35" s="305">
        <v>-11.649999999999999</v>
      </c>
    </row>
    <row r="36" ht="14.25" customHeight="1">
      <c r="A36" s="304">
        <v>43102.0</v>
      </c>
      <c r="B36" s="305">
        <v>-110.64999999999999</v>
      </c>
    </row>
    <row r="37" ht="14.25" customHeight="1">
      <c r="A37" s="304">
        <v>43070.0</v>
      </c>
      <c r="B37" s="305">
        <v>-155.72</v>
      </c>
    </row>
    <row r="38" ht="14.25" customHeight="1">
      <c r="A38" s="304">
        <v>43040.0</v>
      </c>
      <c r="B38" s="305">
        <v>-130.35</v>
      </c>
    </row>
    <row r="39" ht="14.25" customHeight="1">
      <c r="A39" s="304">
        <v>43009.0</v>
      </c>
      <c r="B39" s="305">
        <v>-289.12</v>
      </c>
    </row>
    <row r="40" ht="14.25" customHeight="1">
      <c r="A40" s="304">
        <v>42979.0</v>
      </c>
      <c r="B40" s="305">
        <v>-215.58</v>
      </c>
    </row>
    <row r="41" ht="14.25" customHeight="1">
      <c r="A41" s="304">
        <v>42948.0</v>
      </c>
      <c r="B41" s="305">
        <v>-170.27</v>
      </c>
    </row>
    <row r="42" ht="14.25" customHeight="1">
      <c r="A42" s="304">
        <v>42917.0</v>
      </c>
      <c r="B42" s="305">
        <v>-464.82</v>
      </c>
    </row>
    <row r="43" ht="14.25" customHeight="1">
      <c r="A43" s="304">
        <v>42887.0</v>
      </c>
      <c r="B43" s="305">
        <v>-168.35</v>
      </c>
    </row>
    <row r="44" ht="14.25" customHeight="1">
      <c r="A44" s="304">
        <v>42856.0</v>
      </c>
      <c r="B44" s="305">
        <v>-886.75</v>
      </c>
    </row>
    <row r="45" ht="14.25" customHeight="1">
      <c r="A45" s="304">
        <v>42826.0</v>
      </c>
      <c r="B45" s="305">
        <v>-373.54</v>
      </c>
    </row>
    <row r="46" ht="14.25" customHeight="1">
      <c r="A46" s="304">
        <v>42795.0</v>
      </c>
      <c r="B46" s="305">
        <v>-55.23</v>
      </c>
    </row>
    <row r="47" ht="14.25" customHeight="1">
      <c r="A47" s="304">
        <v>42767.0</v>
      </c>
      <c r="B47" s="305">
        <v>-82.39</v>
      </c>
    </row>
    <row r="48" ht="14.25" customHeight="1">
      <c r="A48" s="304">
        <v>42736.0</v>
      </c>
      <c r="B48" s="305">
        <v>-426.11</v>
      </c>
    </row>
    <row r="49" ht="14.25" customHeight="1">
      <c r="A49" s="304">
        <v>42705.0</v>
      </c>
      <c r="B49" s="305">
        <v>-388.92</v>
      </c>
    </row>
    <row r="50" ht="14.25" customHeight="1">
      <c r="A50" s="304">
        <v>42675.0</v>
      </c>
      <c r="B50" s="305">
        <v>-1063.55</v>
      </c>
    </row>
    <row r="51" ht="14.25" customHeight="1">
      <c r="A51" s="304">
        <v>42644.0</v>
      </c>
      <c r="B51" s="305">
        <v>0.0</v>
      </c>
    </row>
    <row r="52" ht="14.25" customHeight="1">
      <c r="A52" s="304">
        <v>42614.0</v>
      </c>
      <c r="B52" s="305">
        <v>-47.18</v>
      </c>
    </row>
    <row r="53" ht="14.25" customHeight="1">
      <c r="A53" s="304">
        <v>42583.0</v>
      </c>
      <c r="B53" s="305">
        <v>-1438.72</v>
      </c>
    </row>
    <row r="54" ht="14.25" customHeight="1">
      <c r="A54" s="304">
        <v>42552.0</v>
      </c>
      <c r="B54" s="305">
        <v>-208.78</v>
      </c>
    </row>
    <row r="55" ht="14.25" customHeight="1">
      <c r="A55" s="304">
        <v>42522.0</v>
      </c>
      <c r="B55" s="305">
        <v>-83.03</v>
      </c>
    </row>
    <row r="56" ht="14.25" customHeight="1">
      <c r="A56" s="304">
        <v>42491.0</v>
      </c>
      <c r="B56" s="305">
        <v>-20.0</v>
      </c>
    </row>
    <row r="57" ht="14.25" customHeight="1">
      <c r="A57" s="304">
        <v>42461.0</v>
      </c>
      <c r="B57" s="305">
        <v>0.0</v>
      </c>
    </row>
    <row r="58" ht="14.25" customHeight="1">
      <c r="A58" s="304">
        <v>42430.0</v>
      </c>
      <c r="B58" s="305">
        <v>0.0</v>
      </c>
    </row>
    <row r="59" ht="14.25" customHeight="1">
      <c r="A59" s="304">
        <v>42401.0</v>
      </c>
      <c r="B59" s="305">
        <v>-138.03</v>
      </c>
    </row>
    <row r="60" ht="14.25" customHeight="1">
      <c r="A60" s="304">
        <v>42370.0</v>
      </c>
      <c r="B60" s="305">
        <v>-101.8</v>
      </c>
    </row>
    <row r="61" ht="14.25" customHeight="1">
      <c r="A61" s="304">
        <v>42339.0</v>
      </c>
      <c r="B61" s="305">
        <v>-265.03</v>
      </c>
    </row>
    <row r="62" ht="14.25" customHeight="1">
      <c r="A62" s="304">
        <v>42309.0</v>
      </c>
      <c r="B62" s="305">
        <v>-28.97</v>
      </c>
    </row>
    <row r="63" ht="14.25" customHeight="1">
      <c r="A63" s="304">
        <v>42278.0</v>
      </c>
      <c r="B63" s="305">
        <v>-160.67</v>
      </c>
    </row>
    <row r="64" ht="14.25" customHeight="1">
      <c r="A64" s="304">
        <v>42248.0</v>
      </c>
      <c r="B64" s="305">
        <v>-1401.46</v>
      </c>
    </row>
    <row r="65" ht="14.25" customHeight="1">
      <c r="A65" s="304">
        <v>42217.0</v>
      </c>
      <c r="B65" s="305">
        <v>-529.05</v>
      </c>
    </row>
    <row r="66" ht="14.25" customHeight="1">
      <c r="A66" s="304">
        <v>42186.0</v>
      </c>
      <c r="B66" s="305">
        <v>-0.12</v>
      </c>
    </row>
    <row r="67" ht="14.25" customHeight="1">
      <c r="A67" s="304">
        <v>42156.0</v>
      </c>
      <c r="B67" s="305">
        <v>-175.55</v>
      </c>
    </row>
    <row r="68" ht="14.25" customHeight="1">
      <c r="A68" s="304">
        <v>42125.0</v>
      </c>
      <c r="B68" s="305">
        <v>0.0</v>
      </c>
    </row>
    <row r="69" ht="14.25" customHeight="1">
      <c r="A69" s="304">
        <v>42095.0</v>
      </c>
      <c r="B69" s="305">
        <v>-10.14</v>
      </c>
    </row>
    <row r="70" ht="14.25" customHeight="1">
      <c r="A70" s="304">
        <v>42064.0</v>
      </c>
      <c r="B70" s="305">
        <v>-10.35</v>
      </c>
    </row>
    <row r="71" ht="14.25" customHeight="1">
      <c r="A71" s="304">
        <v>42036.0</v>
      </c>
      <c r="B71" s="305">
        <v>-751.92</v>
      </c>
    </row>
    <row r="72" ht="14.25" customHeight="1">
      <c r="A72" s="304">
        <v>42005.0</v>
      </c>
      <c r="B72" s="305">
        <v>-104.37</v>
      </c>
    </row>
    <row r="73" ht="14.25" customHeight="1">
      <c r="A73" s="304">
        <v>41974.0</v>
      </c>
      <c r="B73" s="305">
        <v>-206.93</v>
      </c>
    </row>
    <row r="74" ht="14.25" customHeight="1">
      <c r="A74" s="304">
        <v>41944.0</v>
      </c>
      <c r="B74" s="305">
        <v>-54.97</v>
      </c>
    </row>
    <row r="75" ht="14.25" customHeight="1">
      <c r="A75" s="304">
        <v>41913.0</v>
      </c>
      <c r="B75" s="305">
        <v>-294.43</v>
      </c>
    </row>
    <row r="76" ht="14.25" customHeight="1">
      <c r="A76" s="304">
        <v>41883.0</v>
      </c>
      <c r="B76" s="305">
        <v>-139.02</v>
      </c>
    </row>
    <row r="77" ht="14.25" customHeight="1">
      <c r="A77" s="304">
        <v>41852.0</v>
      </c>
      <c r="B77" s="305">
        <v>-355.78</v>
      </c>
    </row>
    <row r="78" ht="14.25" customHeight="1">
      <c r="A78" s="304">
        <v>41821.0</v>
      </c>
      <c r="B78" s="305">
        <v>-790.07</v>
      </c>
    </row>
    <row r="79" ht="14.25" customHeight="1">
      <c r="A79" s="304">
        <v>41791.0</v>
      </c>
      <c r="B79" s="305">
        <v>0.0</v>
      </c>
    </row>
    <row r="80" ht="14.25" customHeight="1">
      <c r="A80" s="304">
        <v>41760.0</v>
      </c>
      <c r="B80" s="305">
        <v>-91.39</v>
      </c>
    </row>
    <row r="81" ht="14.25" customHeight="1">
      <c r="A81" s="304">
        <v>41730.0</v>
      </c>
      <c r="B81" s="305">
        <v>-92.22</v>
      </c>
    </row>
    <row r="82" ht="14.25" customHeight="1">
      <c r="A82" s="304">
        <v>41699.0</v>
      </c>
      <c r="B82" s="305">
        <v>-1004.53</v>
      </c>
    </row>
    <row r="83" ht="14.25" customHeight="1">
      <c r="A83" s="304">
        <v>41671.0</v>
      </c>
      <c r="B83" s="305">
        <v>-319.47</v>
      </c>
    </row>
    <row r="84" ht="14.25" customHeight="1">
      <c r="A84" s="304">
        <v>41640.0</v>
      </c>
      <c r="B84" s="305">
        <v>-391.4</v>
      </c>
    </row>
    <row r="85" ht="14.25" customHeight="1">
      <c r="A85" s="304">
        <v>41609.0</v>
      </c>
      <c r="B85" s="305">
        <v>-779.28</v>
      </c>
    </row>
    <row r="86" ht="14.25" customHeight="1">
      <c r="A86" s="304">
        <v>41579.0</v>
      </c>
      <c r="B86" s="305">
        <v>-1480.97</v>
      </c>
    </row>
    <row r="87" ht="14.25" customHeight="1">
      <c r="A87" s="304">
        <v>41548.0</v>
      </c>
      <c r="B87" s="305">
        <v>-1153.18</v>
      </c>
    </row>
    <row r="88" ht="14.25" customHeight="1">
      <c r="A88" s="304">
        <v>41518.0</v>
      </c>
      <c r="B88" s="305">
        <v>-763.3</v>
      </c>
    </row>
    <row r="89" ht="14.25" customHeight="1">
      <c r="A89" s="304">
        <v>41487.0</v>
      </c>
      <c r="B89" s="305">
        <v>-196.0</v>
      </c>
    </row>
    <row r="90" ht="14.25" customHeight="1">
      <c r="A90" s="304">
        <v>41456.0</v>
      </c>
      <c r="B90" s="305">
        <v>-11.08</v>
      </c>
    </row>
    <row r="91" ht="14.25" customHeight="1">
      <c r="A91" s="304">
        <v>41426.0</v>
      </c>
      <c r="B91" s="305">
        <v>-4.0</v>
      </c>
    </row>
    <row r="92" ht="14.25" customHeight="1">
      <c r="A92" s="304">
        <v>41395.0</v>
      </c>
      <c r="B92" s="305">
        <v>-656.55</v>
      </c>
    </row>
    <row r="93" ht="14.25" customHeight="1">
      <c r="A93" s="304">
        <v>41365.0</v>
      </c>
      <c r="B93" s="305">
        <v>-3.82</v>
      </c>
    </row>
    <row r="94" ht="14.25" customHeight="1">
      <c r="A94" s="304">
        <v>41334.0</v>
      </c>
      <c r="B94" s="305">
        <v>-368.45</v>
      </c>
    </row>
    <row r="95" ht="14.25" customHeight="1">
      <c r="A95" s="304">
        <v>41306.0</v>
      </c>
      <c r="B95" s="305">
        <v>-39.94</v>
      </c>
    </row>
    <row r="96" ht="14.25" customHeight="1">
      <c r="A96" s="304">
        <v>41275.0</v>
      </c>
      <c r="B96" s="305">
        <v>-218.99</v>
      </c>
    </row>
    <row r="97" ht="14.25" customHeight="1">
      <c r="A97" s="304">
        <v>41244.0</v>
      </c>
      <c r="B97" s="305">
        <v>-253.57</v>
      </c>
    </row>
    <row r="98" ht="14.25" customHeight="1">
      <c r="A98" s="304">
        <v>41214.0</v>
      </c>
      <c r="B98" s="305">
        <v>-107.54</v>
      </c>
    </row>
    <row r="99" ht="14.25" customHeight="1">
      <c r="A99" s="304">
        <v>41183.0</v>
      </c>
      <c r="B99" s="305">
        <v>-251.19</v>
      </c>
    </row>
    <row r="100" ht="14.25" customHeight="1">
      <c r="A100" s="304">
        <v>41153.0</v>
      </c>
      <c r="B100" s="305">
        <v>-4682.23</v>
      </c>
    </row>
    <row r="101" ht="14.25" customHeight="1">
      <c r="A101" s="304">
        <v>41122.0</v>
      </c>
      <c r="B101" s="305">
        <v>-1634.47</v>
      </c>
    </row>
    <row r="102" ht="14.25" customHeight="1">
      <c r="A102" s="304">
        <v>41091.0</v>
      </c>
      <c r="B102" s="305">
        <v>-821.51</v>
      </c>
    </row>
    <row r="103" ht="14.25" customHeight="1">
      <c r="A103" s="304">
        <v>41061.0</v>
      </c>
      <c r="B103" s="305">
        <v>-820.3</v>
      </c>
    </row>
    <row r="104" ht="14.25" customHeight="1">
      <c r="A104" s="304">
        <v>41030.0</v>
      </c>
      <c r="B104" s="305">
        <v>-828.56</v>
      </c>
    </row>
    <row r="105" ht="14.25" customHeight="1">
      <c r="A105" s="304">
        <v>41000.0</v>
      </c>
      <c r="B105" s="305">
        <v>-1189.53</v>
      </c>
    </row>
    <row r="106" ht="14.25" customHeight="1">
      <c r="A106" s="304">
        <v>40969.0</v>
      </c>
      <c r="B106" s="305">
        <v>-1202.78</v>
      </c>
    </row>
    <row r="107" ht="14.25" customHeight="1">
      <c r="A107" s="304">
        <v>40940.0</v>
      </c>
      <c r="B107" s="305">
        <v>-394.05</v>
      </c>
    </row>
    <row r="108" ht="14.25" customHeight="1">
      <c r="A108" s="304">
        <v>40909.0</v>
      </c>
      <c r="B108" s="305">
        <v>-711.03</v>
      </c>
    </row>
    <row r="109" ht="14.25" customHeight="1">
      <c r="A109" s="304">
        <v>40878.0</v>
      </c>
      <c r="B109" s="305">
        <v>-689.47</v>
      </c>
    </row>
    <row r="110" ht="14.25" customHeight="1">
      <c r="A110" s="304">
        <v>40848.0</v>
      </c>
      <c r="B110" s="305">
        <v>-727.7</v>
      </c>
    </row>
    <row r="111" ht="14.25" customHeight="1">
      <c r="A111" s="304">
        <v>40817.0</v>
      </c>
      <c r="B111" s="305">
        <v>-702.17</v>
      </c>
    </row>
    <row r="112" ht="14.25" customHeight="1">
      <c r="A112" s="304">
        <v>40787.0</v>
      </c>
      <c r="B112" s="305">
        <v>-1013.39</v>
      </c>
    </row>
    <row r="113" ht="14.25" customHeight="1">
      <c r="A113" s="304">
        <v>40756.0</v>
      </c>
      <c r="B113" s="305">
        <v>-661.63</v>
      </c>
    </row>
    <row r="114" ht="14.25" customHeight="1">
      <c r="A114" s="304">
        <v>40725.0</v>
      </c>
      <c r="B114" s="305">
        <v>-287.66</v>
      </c>
    </row>
    <row r="115" ht="14.25" customHeight="1">
      <c r="A115" s="304">
        <v>40695.0</v>
      </c>
      <c r="B115" s="305">
        <v>-579.82</v>
      </c>
    </row>
    <row r="116" ht="14.25" customHeight="1">
      <c r="A116" s="304">
        <v>40664.0</v>
      </c>
      <c r="B116" s="305">
        <v>-754.81</v>
      </c>
    </row>
    <row r="117" ht="14.25" customHeight="1">
      <c r="A117" s="304">
        <v>40634.0</v>
      </c>
      <c r="B117" s="305">
        <v>-414.14</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0.71"/>
    <col customWidth="1" min="2" max="2" width="48.14"/>
    <col customWidth="1" min="3" max="3" width="12.86"/>
    <col customWidth="1" min="4" max="4" width="14.0"/>
  </cols>
  <sheetData>
    <row r="1" ht="14.25" customHeight="1">
      <c r="A1" s="303" t="s">
        <v>46</v>
      </c>
      <c r="B1" s="303" t="s">
        <v>66</v>
      </c>
      <c r="C1" s="306" t="s">
        <v>70</v>
      </c>
      <c r="D1" s="303" t="s">
        <v>1450</v>
      </c>
    </row>
    <row r="2">
      <c r="A2" s="307">
        <v>44145.0</v>
      </c>
      <c r="B2" s="308" t="s">
        <v>1451</v>
      </c>
      <c r="C2" s="309">
        <v>-1000.0</v>
      </c>
      <c r="D2" s="233" t="str">
        <f t="shared" ref="D2:D10" si="1">IF(AND(IFERROR(SEARCH("De Giro",B2),"")="",IFERROR(SEARCH("Interne",B2),"")="",IFERROR(SEARCH("Google",B2),"")="",IFERROR(SEARCH("Finance",B2),"")="",IFERROR(SEARCH("Century 21",B2),"")="",IFERROR(SEARCH("Regul",B2),"")="",IFERROR(SEARCH("Florian",B2),"")="",C2&lt;0),"X","")</f>
        <v/>
      </c>
    </row>
    <row r="3">
      <c r="A3" s="307">
        <v>44141.0</v>
      </c>
      <c r="B3" s="308" t="s">
        <v>1451</v>
      </c>
      <c r="C3" s="309">
        <v>-1700.0</v>
      </c>
      <c r="D3" s="233" t="str">
        <f t="shared" si="1"/>
        <v/>
      </c>
    </row>
    <row r="4">
      <c r="A4" s="307">
        <v>44141.0</v>
      </c>
      <c r="B4" s="308" t="s">
        <v>1452</v>
      </c>
      <c r="C4" s="309">
        <v>1800.0</v>
      </c>
      <c r="D4" s="233" t="str">
        <f t="shared" si="1"/>
        <v/>
      </c>
    </row>
    <row r="5">
      <c r="A5" s="307">
        <v>44141.0</v>
      </c>
      <c r="B5" s="308" t="s">
        <v>1453</v>
      </c>
      <c r="C5" s="309">
        <v>100.0</v>
      </c>
      <c r="D5" s="233" t="str">
        <f t="shared" si="1"/>
        <v/>
      </c>
    </row>
    <row r="6">
      <c r="A6" s="307">
        <v>44140.0</v>
      </c>
      <c r="B6" s="308" t="s">
        <v>1454</v>
      </c>
      <c r="C6" s="309">
        <v>-67.0</v>
      </c>
      <c r="D6" s="233" t="str">
        <f t="shared" si="1"/>
        <v>X</v>
      </c>
    </row>
    <row r="7">
      <c r="A7" s="307">
        <v>44139.0</v>
      </c>
      <c r="B7" s="308" t="s">
        <v>1455</v>
      </c>
      <c r="C7" s="309">
        <v>-45.0</v>
      </c>
      <c r="D7" s="233" t="str">
        <f t="shared" si="1"/>
        <v>X</v>
      </c>
    </row>
    <row r="8">
      <c r="A8" s="307">
        <v>44138.0</v>
      </c>
      <c r="B8" s="308" t="s">
        <v>1456</v>
      </c>
      <c r="C8" s="309">
        <v>-20.62</v>
      </c>
      <c r="D8" s="233" t="str">
        <f t="shared" si="1"/>
        <v>X</v>
      </c>
    </row>
    <row r="9">
      <c r="A9" s="307">
        <v>44138.0</v>
      </c>
      <c r="B9" s="308" t="s">
        <v>1457</v>
      </c>
      <c r="C9" s="309">
        <v>-0.4</v>
      </c>
      <c r="D9" s="233" t="str">
        <f t="shared" si="1"/>
        <v>X</v>
      </c>
    </row>
    <row r="10">
      <c r="A10" s="307">
        <v>44131.0</v>
      </c>
      <c r="B10" s="308" t="s">
        <v>1458</v>
      </c>
      <c r="C10" s="309">
        <v>100.0</v>
      </c>
      <c r="D10" s="233" t="str">
        <f t="shared" si="1"/>
        <v/>
      </c>
    </row>
    <row r="11">
      <c r="A11" s="307">
        <v>44123.0</v>
      </c>
      <c r="B11" s="308" t="s">
        <v>1459</v>
      </c>
      <c r="C11" s="309">
        <v>-80.99</v>
      </c>
      <c r="D11" s="233" t="s">
        <v>418</v>
      </c>
    </row>
    <row r="12">
      <c r="A12" s="307">
        <v>44123.0</v>
      </c>
      <c r="B12" s="308" t="s">
        <v>1460</v>
      </c>
      <c r="C12" s="309">
        <v>-36.3</v>
      </c>
      <c r="D12" s="233" t="s">
        <v>418</v>
      </c>
    </row>
    <row r="13">
      <c r="A13" s="307">
        <v>44119.0</v>
      </c>
      <c r="B13" s="308" t="s">
        <v>1461</v>
      </c>
      <c r="C13" s="309">
        <v>-34.0</v>
      </c>
      <c r="D13" s="233" t="s">
        <v>418</v>
      </c>
    </row>
    <row r="14">
      <c r="A14" s="307">
        <v>44116.0</v>
      </c>
      <c r="B14" s="308" t="s">
        <v>1458</v>
      </c>
      <c r="C14" s="309">
        <v>100.0</v>
      </c>
      <c r="D14" s="233"/>
    </row>
    <row r="15">
      <c r="A15" s="307">
        <v>44116.0</v>
      </c>
      <c r="B15" s="308" t="s">
        <v>1451</v>
      </c>
      <c r="C15" s="309">
        <v>-1000.0</v>
      </c>
      <c r="D15" s="233"/>
    </row>
    <row r="16">
      <c r="A16" s="307">
        <v>44111.0</v>
      </c>
      <c r="B16" s="308" t="s">
        <v>1462</v>
      </c>
      <c r="C16" s="309">
        <v>-0.33</v>
      </c>
      <c r="D16" s="233" t="s">
        <v>418</v>
      </c>
    </row>
    <row r="17">
      <c r="A17" s="307">
        <v>44110.0</v>
      </c>
      <c r="B17" s="308" t="s">
        <v>1463</v>
      </c>
      <c r="C17" s="309">
        <v>-20.52</v>
      </c>
      <c r="D17" s="233" t="s">
        <v>418</v>
      </c>
    </row>
    <row r="18">
      <c r="A18" s="307">
        <v>44110.0</v>
      </c>
      <c r="B18" s="308" t="s">
        <v>1457</v>
      </c>
      <c r="C18" s="309">
        <v>-0.39</v>
      </c>
      <c r="D18" s="233" t="s">
        <v>418</v>
      </c>
    </row>
    <row r="19">
      <c r="A19" s="307">
        <v>44110.0</v>
      </c>
      <c r="B19" s="308" t="s">
        <v>1452</v>
      </c>
      <c r="C19" s="309">
        <v>1000.0</v>
      </c>
      <c r="D19" s="233"/>
    </row>
    <row r="20">
      <c r="A20" s="307">
        <v>44110.0</v>
      </c>
      <c r="B20" s="308" t="s">
        <v>1453</v>
      </c>
      <c r="C20" s="309">
        <v>100.0</v>
      </c>
      <c r="D20" s="233"/>
    </row>
    <row r="21">
      <c r="A21" s="307">
        <v>44109.0</v>
      </c>
      <c r="B21" s="308" t="s">
        <v>1454</v>
      </c>
      <c r="C21" s="309">
        <v>-67.0</v>
      </c>
      <c r="D21" s="233" t="s">
        <v>418</v>
      </c>
    </row>
    <row r="22">
      <c r="A22" s="307">
        <v>44106.0</v>
      </c>
      <c r="B22" s="308" t="s">
        <v>1464</v>
      </c>
      <c r="C22" s="309">
        <v>-930.97</v>
      </c>
      <c r="D22" s="233" t="s">
        <v>418</v>
      </c>
    </row>
    <row r="23">
      <c r="A23" s="307">
        <v>44102.0</v>
      </c>
      <c r="B23" s="308" t="s">
        <v>1465</v>
      </c>
      <c r="C23" s="309">
        <v>-6.36</v>
      </c>
      <c r="D23" s="233" t="s">
        <v>418</v>
      </c>
    </row>
    <row r="24">
      <c r="A24" s="307">
        <v>44098.0</v>
      </c>
      <c r="B24" s="308" t="s">
        <v>1466</v>
      </c>
      <c r="C24" s="309">
        <v>-31.94</v>
      </c>
      <c r="D24" s="233" t="s">
        <v>418</v>
      </c>
    </row>
    <row r="25">
      <c r="A25" s="307">
        <v>44095.0</v>
      </c>
      <c r="B25" s="308" t="s">
        <v>1467</v>
      </c>
      <c r="C25" s="309">
        <v>-40000.0</v>
      </c>
      <c r="D25" s="233"/>
    </row>
    <row r="26">
      <c r="A26" s="307">
        <v>44092.0</v>
      </c>
      <c r="B26" s="308" t="s">
        <v>1468</v>
      </c>
      <c r="C26" s="309">
        <v>40000.0</v>
      </c>
      <c r="D26" s="233"/>
    </row>
    <row r="27">
      <c r="A27" s="307">
        <v>44091.0</v>
      </c>
      <c r="B27" s="308" t="s">
        <v>1458</v>
      </c>
      <c r="C27" s="309">
        <v>100.0</v>
      </c>
      <c r="D27" s="233"/>
    </row>
    <row r="28">
      <c r="A28" s="307">
        <v>44091.0</v>
      </c>
      <c r="B28" s="308" t="s">
        <v>1451</v>
      </c>
      <c r="C28" s="309">
        <v>-700.0</v>
      </c>
      <c r="D28" s="233"/>
    </row>
    <row r="29">
      <c r="A29" s="307">
        <v>44091.0</v>
      </c>
      <c r="B29" s="308" t="s">
        <v>1469</v>
      </c>
      <c r="C29" s="309">
        <v>-150.0</v>
      </c>
      <c r="D29" s="233" t="s">
        <v>418</v>
      </c>
    </row>
    <row r="30">
      <c r="A30" s="307">
        <v>44090.0</v>
      </c>
      <c r="B30" s="308" t="s">
        <v>1470</v>
      </c>
      <c r="C30" s="309">
        <v>-117.79</v>
      </c>
      <c r="D30" s="233" t="s">
        <v>418</v>
      </c>
    </row>
    <row r="31">
      <c r="A31" s="307">
        <v>44090.0</v>
      </c>
      <c r="B31" s="308" t="s">
        <v>1452</v>
      </c>
      <c r="C31" s="309">
        <v>1500.0</v>
      </c>
      <c r="D31" s="233"/>
    </row>
    <row r="32">
      <c r="A32" s="307">
        <v>44089.0</v>
      </c>
      <c r="B32" s="308" t="s">
        <v>1471</v>
      </c>
      <c r="C32" s="309">
        <v>-27.62</v>
      </c>
      <c r="D32" s="233" t="s">
        <v>418</v>
      </c>
    </row>
    <row r="33">
      <c r="A33" s="307">
        <v>44088.0</v>
      </c>
      <c r="B33" s="308" t="s">
        <v>1472</v>
      </c>
      <c r="C33" s="309">
        <v>-26.98</v>
      </c>
      <c r="D33" s="233" t="s">
        <v>418</v>
      </c>
    </row>
    <row r="34">
      <c r="A34" s="307">
        <v>44085.0</v>
      </c>
      <c r="B34" s="308" t="s">
        <v>1452</v>
      </c>
      <c r="C34" s="309">
        <v>1000.0</v>
      </c>
      <c r="D34" s="233"/>
    </row>
    <row r="35">
      <c r="A35" s="307">
        <v>44083.0</v>
      </c>
      <c r="B35" s="308" t="s">
        <v>1473</v>
      </c>
      <c r="C35" s="309">
        <v>-190.05</v>
      </c>
      <c r="D35" s="233" t="s">
        <v>418</v>
      </c>
    </row>
    <row r="36">
      <c r="A36" s="307">
        <v>44083.0</v>
      </c>
      <c r="B36" s="308" t="s">
        <v>1474</v>
      </c>
      <c r="C36" s="309">
        <v>-32.23</v>
      </c>
      <c r="D36" s="233" t="s">
        <v>418</v>
      </c>
    </row>
    <row r="37">
      <c r="A37" s="307">
        <v>44082.0</v>
      </c>
      <c r="B37" s="308" t="s">
        <v>1475</v>
      </c>
      <c r="C37" s="309">
        <v>-218.93</v>
      </c>
      <c r="D37" s="233" t="s">
        <v>418</v>
      </c>
    </row>
    <row r="38">
      <c r="A38" s="307">
        <v>44082.0</v>
      </c>
      <c r="B38" s="308" t="s">
        <v>1453</v>
      </c>
      <c r="C38" s="309">
        <v>100.0</v>
      </c>
      <c r="D38" s="233"/>
    </row>
    <row r="39">
      <c r="A39" s="307">
        <v>44081.0</v>
      </c>
      <c r="B39" s="308" t="s">
        <v>1476</v>
      </c>
      <c r="C39" s="309">
        <v>-56.99</v>
      </c>
      <c r="D39" s="233" t="s">
        <v>418</v>
      </c>
    </row>
    <row r="40">
      <c r="A40" s="307">
        <v>44081.0</v>
      </c>
      <c r="B40" s="308" t="s">
        <v>1476</v>
      </c>
      <c r="C40" s="309">
        <v>-505.17</v>
      </c>
      <c r="D40" s="233" t="s">
        <v>418</v>
      </c>
    </row>
    <row r="41">
      <c r="A41" s="307">
        <v>44078.0</v>
      </c>
      <c r="B41" s="308" t="s">
        <v>1477</v>
      </c>
      <c r="C41" s="309">
        <v>-4126.9</v>
      </c>
      <c r="D41" s="233" t="s">
        <v>418</v>
      </c>
    </row>
    <row r="42">
      <c r="A42" s="307">
        <v>44076.0</v>
      </c>
      <c r="B42" s="308" t="s">
        <v>1478</v>
      </c>
      <c r="C42" s="309">
        <v>-32.33</v>
      </c>
      <c r="D42" s="233" t="s">
        <v>418</v>
      </c>
    </row>
    <row r="43">
      <c r="A43" s="307">
        <v>44075.0</v>
      </c>
      <c r="B43" s="308" t="s">
        <v>1479</v>
      </c>
      <c r="C43" s="309">
        <v>-123.61</v>
      </c>
      <c r="D43" s="233" t="s">
        <v>418</v>
      </c>
    </row>
    <row r="44">
      <c r="A44" s="307">
        <v>44075.0</v>
      </c>
      <c r="B44" s="308" t="s">
        <v>1480</v>
      </c>
      <c r="C44" s="309">
        <v>33.78</v>
      </c>
      <c r="D44" s="233"/>
    </row>
    <row r="45">
      <c r="A45" s="307">
        <v>44069.0</v>
      </c>
      <c r="B45" s="308" t="s">
        <v>1481</v>
      </c>
      <c r="C45" s="309">
        <v>-91758.33</v>
      </c>
      <c r="D45" s="233" t="s">
        <v>418</v>
      </c>
    </row>
    <row r="46">
      <c r="A46" s="307">
        <v>44069.0</v>
      </c>
      <c r="B46" s="310" t="s">
        <v>1482</v>
      </c>
      <c r="C46" s="309">
        <v>-1.0</v>
      </c>
      <c r="D46" s="233" t="s">
        <v>418</v>
      </c>
    </row>
    <row r="47">
      <c r="A47" s="307">
        <v>44055.0</v>
      </c>
      <c r="B47" s="310" t="s">
        <v>1483</v>
      </c>
      <c r="C47" s="309">
        <v>99.0</v>
      </c>
      <c r="D47" s="233"/>
    </row>
    <row r="48">
      <c r="A48" s="307">
        <v>44053.0</v>
      </c>
      <c r="B48" s="310" t="s">
        <v>1451</v>
      </c>
      <c r="C48" s="309">
        <v>-1000.0</v>
      </c>
      <c r="D48" s="233"/>
    </row>
    <row r="49">
      <c r="A49" s="307">
        <v>44049.0</v>
      </c>
      <c r="B49" s="310" t="s">
        <v>1453</v>
      </c>
      <c r="C49" s="309">
        <v>100.0</v>
      </c>
      <c r="D49" s="233"/>
    </row>
    <row r="50">
      <c r="A50" s="307">
        <v>44049.0</v>
      </c>
      <c r="B50" s="310" t="s">
        <v>1484</v>
      </c>
      <c r="C50" s="309">
        <v>-11.71</v>
      </c>
      <c r="D50" s="233" t="s">
        <v>418</v>
      </c>
    </row>
    <row r="51">
      <c r="A51" s="307">
        <v>44049.0</v>
      </c>
      <c r="B51" s="310" t="s">
        <v>1484</v>
      </c>
      <c r="C51" s="309">
        <v>-789.42</v>
      </c>
      <c r="D51" s="233" t="s">
        <v>418</v>
      </c>
    </row>
    <row r="52">
      <c r="A52" s="307">
        <v>44048.0</v>
      </c>
      <c r="B52" s="310" t="s">
        <v>1451</v>
      </c>
      <c r="C52" s="309">
        <v>-1500.0</v>
      </c>
      <c r="D52" s="233"/>
    </row>
    <row r="53">
      <c r="A53" s="307">
        <v>44047.0</v>
      </c>
      <c r="B53" s="310" t="s">
        <v>1485</v>
      </c>
      <c r="C53" s="309">
        <v>-157.73</v>
      </c>
      <c r="D53" s="233" t="s">
        <v>418</v>
      </c>
    </row>
    <row r="54">
      <c r="A54" s="307">
        <v>44046.0</v>
      </c>
      <c r="B54" s="310" t="s">
        <v>1451</v>
      </c>
      <c r="C54" s="309">
        <v>-2200.0</v>
      </c>
      <c r="D54" s="233"/>
    </row>
    <row r="55">
      <c r="A55" s="307">
        <v>44039.0</v>
      </c>
      <c r="B55" s="310" t="s">
        <v>1486</v>
      </c>
      <c r="C55" s="309">
        <v>-33.0</v>
      </c>
      <c r="D55" s="233" t="s">
        <v>418</v>
      </c>
    </row>
    <row r="56">
      <c r="A56" s="307">
        <v>44019.0</v>
      </c>
      <c r="B56" s="310" t="s">
        <v>1487</v>
      </c>
      <c r="C56" s="309">
        <v>-0.03</v>
      </c>
      <c r="D56" s="233" t="s">
        <v>418</v>
      </c>
    </row>
    <row r="57">
      <c r="A57" s="307">
        <v>44019.0</v>
      </c>
      <c r="B57" s="310" t="s">
        <v>1453</v>
      </c>
      <c r="C57" s="309">
        <v>100.0</v>
      </c>
      <c r="D57" s="233"/>
    </row>
    <row r="58">
      <c r="A58" s="307">
        <v>44018.0</v>
      </c>
      <c r="B58" s="310" t="s">
        <v>1488</v>
      </c>
      <c r="C58" s="309">
        <v>-4.73</v>
      </c>
      <c r="D58" s="233" t="s">
        <v>418</v>
      </c>
    </row>
    <row r="59">
      <c r="A59" s="307">
        <v>44018.0</v>
      </c>
      <c r="B59" s="310" t="s">
        <v>1489</v>
      </c>
      <c r="C59" s="309">
        <v>207.0</v>
      </c>
      <c r="D59" s="233"/>
    </row>
    <row r="60">
      <c r="A60" s="307">
        <v>44015.0</v>
      </c>
      <c r="B60" s="310" t="s">
        <v>1467</v>
      </c>
      <c r="C60" s="309">
        <v>-5.55</v>
      </c>
      <c r="D60" s="233"/>
    </row>
    <row r="61">
      <c r="A61" s="307">
        <v>44014.0</v>
      </c>
      <c r="B61" s="310" t="s">
        <v>1451</v>
      </c>
      <c r="C61" s="309">
        <v>-300.0</v>
      </c>
      <c r="D61" s="233"/>
    </row>
    <row r="62">
      <c r="A62" s="307">
        <v>44013.0</v>
      </c>
      <c r="B62" s="310" t="s">
        <v>1490</v>
      </c>
      <c r="C62" s="309">
        <v>506.7</v>
      </c>
      <c r="D62" s="233"/>
    </row>
    <row r="63">
      <c r="A63" s="307">
        <v>44012.0</v>
      </c>
      <c r="B63" s="310" t="s">
        <v>1491</v>
      </c>
      <c r="C63" s="309">
        <v>-1.15</v>
      </c>
      <c r="D63" s="233" t="s">
        <v>418</v>
      </c>
    </row>
    <row r="64">
      <c r="A64" s="307">
        <v>44008.0</v>
      </c>
      <c r="B64" s="310" t="s">
        <v>1492</v>
      </c>
      <c r="C64" s="309">
        <v>3000.0</v>
      </c>
      <c r="D64" s="233"/>
    </row>
    <row r="65">
      <c r="A65" s="307">
        <v>44007.0</v>
      </c>
      <c r="B65" s="310" t="s">
        <v>1493</v>
      </c>
      <c r="C65" s="309">
        <v>400.0</v>
      </c>
      <c r="D65" s="233"/>
    </row>
    <row r="66">
      <c r="A66" s="307">
        <v>43999.0</v>
      </c>
      <c r="B66" s="310" t="s">
        <v>1494</v>
      </c>
      <c r="C66" s="309">
        <v>-7.34</v>
      </c>
      <c r="D66" s="233" t="s">
        <v>418</v>
      </c>
    </row>
    <row r="67">
      <c r="A67" s="307">
        <v>43997.0</v>
      </c>
      <c r="B67" s="310" t="s">
        <v>1495</v>
      </c>
      <c r="C67" s="309">
        <v>-54.2</v>
      </c>
      <c r="D67" s="233" t="s">
        <v>418</v>
      </c>
    </row>
    <row r="68">
      <c r="A68" s="307">
        <v>43990.0</v>
      </c>
      <c r="B68" s="310" t="s">
        <v>1496</v>
      </c>
      <c r="C68" s="309">
        <v>100000.0</v>
      </c>
      <c r="D68" s="233"/>
    </row>
    <row r="69">
      <c r="A69" s="307">
        <v>43990.0</v>
      </c>
      <c r="B69" s="310" t="s">
        <v>1453</v>
      </c>
      <c r="C69" s="309">
        <v>100.0</v>
      </c>
      <c r="D69" s="233"/>
    </row>
    <row r="70">
      <c r="A70" s="307">
        <v>43990.0</v>
      </c>
      <c r="B70" s="310" t="s">
        <v>1451</v>
      </c>
      <c r="C70" s="309">
        <v>-300.0</v>
      </c>
      <c r="D70" s="233"/>
    </row>
    <row r="71">
      <c r="A71" s="307">
        <v>43987.0</v>
      </c>
      <c r="B71" s="310" t="s">
        <v>1497</v>
      </c>
      <c r="C71" s="309">
        <v>-913.86</v>
      </c>
      <c r="D71" s="233"/>
    </row>
    <row r="72">
      <c r="A72" s="307">
        <v>43987.0</v>
      </c>
      <c r="B72" s="310" t="s">
        <v>1489</v>
      </c>
      <c r="C72" s="309">
        <v>207.0</v>
      </c>
      <c r="D72" s="233"/>
    </row>
    <row r="73">
      <c r="A73" s="307">
        <v>43986.0</v>
      </c>
      <c r="B73" s="310" t="s">
        <v>1496</v>
      </c>
      <c r="C73" s="309">
        <v>400.0</v>
      </c>
      <c r="D73" s="233"/>
    </row>
    <row r="74">
      <c r="A74" s="307">
        <v>43985.0</v>
      </c>
      <c r="B74" s="310" t="s">
        <v>1490</v>
      </c>
      <c r="C74" s="309">
        <v>523.59</v>
      </c>
      <c r="D74" s="233"/>
    </row>
    <row r="75">
      <c r="A75" s="307">
        <v>43959.0</v>
      </c>
      <c r="B75" s="310" t="s">
        <v>1451</v>
      </c>
      <c r="C75" s="309">
        <v>-300.0</v>
      </c>
      <c r="D75" s="233"/>
    </row>
    <row r="76">
      <c r="A76" s="307">
        <v>43958.0</v>
      </c>
      <c r="B76" s="310" t="s">
        <v>1496</v>
      </c>
      <c r="C76" s="309">
        <v>400.0</v>
      </c>
      <c r="D76" s="233"/>
    </row>
    <row r="77">
      <c r="A77" s="307">
        <v>43956.0</v>
      </c>
      <c r="B77" s="310" t="s">
        <v>1497</v>
      </c>
      <c r="C77" s="309">
        <v>-913.86</v>
      </c>
      <c r="D77" s="233"/>
    </row>
    <row r="78">
      <c r="A78" s="307">
        <v>43957.0</v>
      </c>
      <c r="B78" s="310" t="s">
        <v>1453</v>
      </c>
      <c r="C78" s="309">
        <v>100.0</v>
      </c>
      <c r="D78" s="233"/>
    </row>
    <row r="79">
      <c r="A79" s="307">
        <v>43937.0</v>
      </c>
      <c r="B79" s="310" t="s">
        <v>1498</v>
      </c>
      <c r="C79" s="309">
        <v>-4.78</v>
      </c>
      <c r="D79" s="233" t="s">
        <v>418</v>
      </c>
    </row>
    <row r="80">
      <c r="A80" s="307">
        <v>43936.0</v>
      </c>
      <c r="B80" s="310" t="s">
        <v>1499</v>
      </c>
      <c r="C80" s="309">
        <v>-4.99</v>
      </c>
      <c r="D80" s="233" t="s">
        <v>418</v>
      </c>
    </row>
    <row r="81">
      <c r="A81" s="307">
        <v>43936.0</v>
      </c>
      <c r="B81" s="310" t="s">
        <v>1496</v>
      </c>
      <c r="C81" s="309">
        <v>100.0</v>
      </c>
      <c r="D81" s="233"/>
    </row>
    <row r="82">
      <c r="A82" s="307">
        <v>43935.0</v>
      </c>
      <c r="B82" s="310" t="s">
        <v>1451</v>
      </c>
      <c r="C82" s="309">
        <v>-300.0</v>
      </c>
      <c r="D82" s="233"/>
    </row>
    <row r="83">
      <c r="A83" s="307">
        <v>43928.0</v>
      </c>
      <c r="B83" s="310" t="s">
        <v>1500</v>
      </c>
      <c r="C83" s="309">
        <v>-0.12</v>
      </c>
      <c r="D83" s="233" t="s">
        <v>418</v>
      </c>
    </row>
    <row r="84">
      <c r="A84" s="307">
        <v>43928.0</v>
      </c>
      <c r="B84" s="310" t="s">
        <v>1453</v>
      </c>
      <c r="C84" s="309">
        <v>100.0</v>
      </c>
      <c r="D84" s="233"/>
    </row>
    <row r="85">
      <c r="A85" s="307">
        <v>43927.0</v>
      </c>
      <c r="B85" s="310" t="s">
        <v>1497</v>
      </c>
      <c r="C85" s="309">
        <v>-913.86</v>
      </c>
      <c r="D85" s="233"/>
    </row>
    <row r="86">
      <c r="A86" s="307">
        <v>43924.0</v>
      </c>
      <c r="B86" s="310" t="s">
        <v>1496</v>
      </c>
      <c r="C86" s="309">
        <v>200.0</v>
      </c>
      <c r="D86" s="233"/>
    </row>
    <row r="87">
      <c r="A87" s="307">
        <v>43924.0</v>
      </c>
      <c r="B87" s="310" t="s">
        <v>1489</v>
      </c>
      <c r="C87" s="309">
        <v>207.0</v>
      </c>
      <c r="D87" s="233"/>
    </row>
    <row r="88">
      <c r="A88" s="307">
        <v>43922.0</v>
      </c>
      <c r="B88" s="310" t="s">
        <v>1490</v>
      </c>
      <c r="C88" s="309">
        <v>518.94</v>
      </c>
      <c r="D88" s="233"/>
    </row>
    <row r="89">
      <c r="A89" s="307">
        <v>43907.0</v>
      </c>
      <c r="B89" s="310" t="s">
        <v>1489</v>
      </c>
      <c r="C89" s="309">
        <v>207.0</v>
      </c>
      <c r="D89" s="233"/>
    </row>
    <row r="90">
      <c r="A90" s="307">
        <v>43906.0</v>
      </c>
      <c r="B90" s="310" t="s">
        <v>1501</v>
      </c>
      <c r="C90" s="309">
        <v>-12.5</v>
      </c>
      <c r="D90" s="233" t="s">
        <v>418</v>
      </c>
    </row>
    <row r="91">
      <c r="A91" s="307">
        <v>43906.0</v>
      </c>
      <c r="B91" s="310" t="s">
        <v>1502</v>
      </c>
      <c r="C91" s="309">
        <v>-22.5</v>
      </c>
      <c r="D91" s="233" t="s">
        <v>418</v>
      </c>
    </row>
    <row r="92">
      <c r="A92" s="307">
        <v>43900.0</v>
      </c>
      <c r="B92" s="310" t="s">
        <v>1503</v>
      </c>
      <c r="C92" s="309">
        <v>-20.0</v>
      </c>
      <c r="D92" s="233" t="s">
        <v>418</v>
      </c>
    </row>
    <row r="93">
      <c r="A93" s="307">
        <v>43899.0</v>
      </c>
      <c r="B93" s="310" t="s">
        <v>1467</v>
      </c>
      <c r="C93" s="309">
        <v>16.25</v>
      </c>
      <c r="D93" s="233"/>
    </row>
    <row r="94">
      <c r="A94" s="307">
        <v>43899.0</v>
      </c>
      <c r="B94" s="310" t="s">
        <v>1467</v>
      </c>
      <c r="C94" s="309">
        <v>-16.25</v>
      </c>
      <c r="D94" s="233"/>
    </row>
    <row r="95">
      <c r="A95" s="307">
        <v>43899.0</v>
      </c>
      <c r="B95" s="310" t="s">
        <v>1451</v>
      </c>
      <c r="C95" s="309">
        <v>-300.0</v>
      </c>
      <c r="D95" s="233"/>
    </row>
    <row r="96">
      <c r="A96" s="307">
        <v>43899.0</v>
      </c>
      <c r="B96" s="310" t="s">
        <v>1504</v>
      </c>
      <c r="C96" s="309">
        <v>-4.5</v>
      </c>
      <c r="D96" s="233" t="s">
        <v>418</v>
      </c>
    </row>
    <row r="97">
      <c r="A97" s="307">
        <v>43899.0</v>
      </c>
      <c r="B97" s="310" t="s">
        <v>1504</v>
      </c>
      <c r="C97" s="309">
        <v>-15.1</v>
      </c>
      <c r="D97" s="233" t="s">
        <v>418</v>
      </c>
    </row>
    <row r="98">
      <c r="A98" s="307">
        <v>43896.0</v>
      </c>
      <c r="B98" s="310" t="s">
        <v>1496</v>
      </c>
      <c r="C98" s="309">
        <v>300.0</v>
      </c>
      <c r="D98" s="233"/>
    </row>
    <row r="99">
      <c r="A99" s="307">
        <v>43896.0</v>
      </c>
      <c r="B99" s="310" t="s">
        <v>1453</v>
      </c>
      <c r="C99" s="309">
        <v>100.0</v>
      </c>
      <c r="D99" s="233"/>
    </row>
    <row r="100">
      <c r="A100" s="307">
        <v>43895.0</v>
      </c>
      <c r="B100" s="310" t="s">
        <v>1496</v>
      </c>
      <c r="C100" s="309">
        <v>400.0</v>
      </c>
      <c r="D100" s="233"/>
    </row>
    <row r="101">
      <c r="A101" s="307">
        <v>43895.0</v>
      </c>
      <c r="B101" s="310" t="s">
        <v>1497</v>
      </c>
      <c r="C101" s="309">
        <v>-913.86</v>
      </c>
      <c r="D101" s="233"/>
    </row>
    <row r="102">
      <c r="A102" s="307">
        <v>43893.0</v>
      </c>
      <c r="B102" s="310" t="s">
        <v>1490</v>
      </c>
      <c r="C102" s="309">
        <v>485.46</v>
      </c>
      <c r="D102" s="233"/>
    </row>
    <row r="103">
      <c r="A103" s="307">
        <v>43887.0</v>
      </c>
      <c r="B103" s="310" t="s">
        <v>1505</v>
      </c>
      <c r="C103" s="309">
        <v>-100.0</v>
      </c>
      <c r="D103" s="233" t="s">
        <v>418</v>
      </c>
    </row>
    <row r="104">
      <c r="A104" s="307">
        <v>43883.0</v>
      </c>
      <c r="B104" s="310" t="s">
        <v>1506</v>
      </c>
      <c r="C104" s="309">
        <v>-35.0</v>
      </c>
      <c r="D104" s="233" t="s">
        <v>418</v>
      </c>
    </row>
    <row r="105">
      <c r="A105" s="307">
        <v>43871.0</v>
      </c>
      <c r="B105" s="310" t="s">
        <v>1458</v>
      </c>
      <c r="C105" s="309">
        <v>100.0</v>
      </c>
      <c r="D105" s="233"/>
    </row>
    <row r="106">
      <c r="A106" s="307">
        <v>43868.0</v>
      </c>
      <c r="B106" s="310" t="s">
        <v>1467</v>
      </c>
      <c r="C106" s="309">
        <v>30.0</v>
      </c>
      <c r="D106" s="233"/>
    </row>
    <row r="107">
      <c r="A107" s="307">
        <v>43868.0</v>
      </c>
      <c r="B107" s="310" t="s">
        <v>1467</v>
      </c>
      <c r="C107" s="309">
        <v>-30.0</v>
      </c>
      <c r="D107" s="233"/>
    </row>
    <row r="108">
      <c r="A108" s="307">
        <v>43867.0</v>
      </c>
      <c r="B108" s="310" t="s">
        <v>1496</v>
      </c>
      <c r="C108" s="309">
        <v>200.0</v>
      </c>
      <c r="D108" s="233"/>
    </row>
    <row r="109">
      <c r="A109" s="307">
        <v>43867.0</v>
      </c>
      <c r="B109" s="310" t="s">
        <v>1453</v>
      </c>
      <c r="C109" s="309">
        <v>100.0</v>
      </c>
      <c r="D109" s="233"/>
    </row>
    <row r="110">
      <c r="A110" s="307">
        <v>43866.0</v>
      </c>
      <c r="B110" s="310" t="s">
        <v>1507</v>
      </c>
      <c r="C110" s="309">
        <v>-83.35</v>
      </c>
      <c r="D110" s="233" t="s">
        <v>418</v>
      </c>
    </row>
    <row r="111">
      <c r="A111" s="307">
        <v>43866.0</v>
      </c>
      <c r="B111" s="310" t="s">
        <v>1497</v>
      </c>
      <c r="C111" s="309">
        <v>-913.86</v>
      </c>
      <c r="D111" s="233"/>
    </row>
    <row r="112">
      <c r="A112" s="307">
        <v>43866.0</v>
      </c>
      <c r="B112" s="310" t="s">
        <v>1489</v>
      </c>
      <c r="C112" s="309">
        <v>207.0</v>
      </c>
      <c r="D112" s="233"/>
    </row>
    <row r="113">
      <c r="A113" s="307">
        <v>43864.0</v>
      </c>
      <c r="B113" s="310" t="s">
        <v>1508</v>
      </c>
      <c r="C113" s="309">
        <v>-53.0</v>
      </c>
      <c r="D113" s="233" t="s">
        <v>418</v>
      </c>
    </row>
    <row r="114">
      <c r="A114" s="307">
        <v>43864.0</v>
      </c>
      <c r="B114" s="310" t="s">
        <v>1490</v>
      </c>
      <c r="C114" s="309">
        <v>518.94</v>
      </c>
      <c r="D114" s="233"/>
    </row>
    <row r="115">
      <c r="A115" s="307">
        <v>43854.0</v>
      </c>
      <c r="B115" s="310" t="s">
        <v>1496</v>
      </c>
      <c r="C115" s="309">
        <v>100.0</v>
      </c>
      <c r="D115" s="233"/>
    </row>
    <row r="116">
      <c r="A116" s="307">
        <v>43850.0</v>
      </c>
      <c r="B116" s="310" t="s">
        <v>1509</v>
      </c>
      <c r="C116" s="309">
        <v>-45.5</v>
      </c>
      <c r="D116" s="233" t="s">
        <v>418</v>
      </c>
    </row>
    <row r="117">
      <c r="A117" s="307">
        <v>43850.0</v>
      </c>
      <c r="B117" s="310" t="s">
        <v>1451</v>
      </c>
      <c r="C117" s="309">
        <v>-1000.0</v>
      </c>
      <c r="D117" s="233"/>
    </row>
    <row r="118">
      <c r="A118" s="307">
        <v>43847.0</v>
      </c>
      <c r="B118" s="310" t="s">
        <v>1496</v>
      </c>
      <c r="C118" s="309">
        <v>1000.0</v>
      </c>
      <c r="D118" s="233"/>
    </row>
    <row r="119">
      <c r="A119" s="307">
        <v>43847.0</v>
      </c>
      <c r="B119" s="310" t="s">
        <v>1467</v>
      </c>
      <c r="C119" s="309">
        <v>-36.0</v>
      </c>
      <c r="D119" s="233"/>
    </row>
    <row r="120">
      <c r="A120" s="307">
        <v>43844.0</v>
      </c>
      <c r="B120" s="310" t="s">
        <v>1510</v>
      </c>
      <c r="C120" s="309">
        <v>-434.68</v>
      </c>
      <c r="D120" s="233" t="s">
        <v>418</v>
      </c>
    </row>
    <row r="121">
      <c r="A121" s="307">
        <v>43844.0</v>
      </c>
      <c r="B121" s="310" t="s">
        <v>1511</v>
      </c>
      <c r="C121" s="309">
        <v>-1.42</v>
      </c>
      <c r="D121" s="233" t="s">
        <v>418</v>
      </c>
    </row>
    <row r="122">
      <c r="A122" s="307">
        <v>43843.0</v>
      </c>
      <c r="B122" s="310" t="s">
        <v>1496</v>
      </c>
      <c r="C122" s="309">
        <v>300.0</v>
      </c>
      <c r="D122" s="233"/>
    </row>
    <row r="123">
      <c r="A123" s="307">
        <v>43838.0</v>
      </c>
      <c r="B123" s="310" t="s">
        <v>1512</v>
      </c>
      <c r="C123" s="309">
        <v>-0.35</v>
      </c>
      <c r="D123" s="233" t="s">
        <v>418</v>
      </c>
    </row>
    <row r="124">
      <c r="A124" s="307">
        <v>43837.0</v>
      </c>
      <c r="B124" s="310" t="s">
        <v>1453</v>
      </c>
      <c r="C124" s="309">
        <v>100.0</v>
      </c>
      <c r="D124" s="233"/>
    </row>
    <row r="125">
      <c r="A125" s="307">
        <v>43836.0</v>
      </c>
      <c r="B125" s="310" t="s">
        <v>1497</v>
      </c>
      <c r="C125" s="309">
        <v>-731.72</v>
      </c>
      <c r="D125" s="233"/>
    </row>
    <row r="126">
      <c r="A126" s="307">
        <v>43836.0</v>
      </c>
      <c r="B126" s="310" t="s">
        <v>1489</v>
      </c>
      <c r="C126" s="309">
        <v>207.0</v>
      </c>
      <c r="D126" s="233"/>
    </row>
    <row r="127">
      <c r="A127" s="307">
        <v>43832.0</v>
      </c>
      <c r="B127" s="310" t="s">
        <v>1490</v>
      </c>
      <c r="C127" s="309">
        <v>518.94</v>
      </c>
      <c r="D127" s="233"/>
    </row>
    <row r="128">
      <c r="A128" s="307">
        <v>43829.0</v>
      </c>
      <c r="B128" s="310" t="s">
        <v>1513</v>
      </c>
      <c r="C128" s="309">
        <v>-29900.0</v>
      </c>
      <c r="D128" s="233"/>
    </row>
    <row r="129">
      <c r="A129" s="307">
        <v>43826.0</v>
      </c>
      <c r="B129" s="310" t="s">
        <v>1514</v>
      </c>
      <c r="C129" s="309">
        <v>30000.0</v>
      </c>
      <c r="D129" s="233"/>
    </row>
    <row r="130">
      <c r="A130" s="307">
        <v>43822.0</v>
      </c>
      <c r="B130" s="310" t="s">
        <v>1515</v>
      </c>
      <c r="C130" s="309">
        <v>-109.99</v>
      </c>
      <c r="D130" s="233" t="s">
        <v>418</v>
      </c>
    </row>
    <row r="131">
      <c r="A131" s="307">
        <v>43817.0</v>
      </c>
      <c r="B131" s="310" t="s">
        <v>1490</v>
      </c>
      <c r="C131" s="309">
        <v>152.45</v>
      </c>
      <c r="D131" s="233"/>
    </row>
    <row r="132">
      <c r="A132" s="307">
        <v>43815.0</v>
      </c>
      <c r="B132" s="310" t="s">
        <v>1516</v>
      </c>
      <c r="C132" s="309">
        <v>-42.9</v>
      </c>
      <c r="D132" s="233" t="s">
        <v>418</v>
      </c>
    </row>
    <row r="133">
      <c r="A133" s="184">
        <v>43815.0</v>
      </c>
      <c r="B133" s="311" t="s">
        <v>1496</v>
      </c>
      <c r="C133" s="233">
        <v>100.0</v>
      </c>
      <c r="D133" s="233"/>
    </row>
    <row r="134">
      <c r="A134" s="184">
        <v>43809.0</v>
      </c>
      <c r="B134" s="311" t="s">
        <v>1496</v>
      </c>
      <c r="C134" s="233">
        <v>100.0</v>
      </c>
      <c r="D134" s="233"/>
    </row>
    <row r="135">
      <c r="A135" s="307">
        <v>43808.0</v>
      </c>
      <c r="B135" s="310" t="s">
        <v>1517</v>
      </c>
      <c r="C135" s="309">
        <v>-38.0</v>
      </c>
      <c r="D135" s="233" t="s">
        <v>418</v>
      </c>
    </row>
    <row r="136">
      <c r="A136" s="307">
        <v>43808.0</v>
      </c>
      <c r="B136" s="310" t="s">
        <v>1518</v>
      </c>
      <c r="C136" s="309">
        <v>-5.43</v>
      </c>
      <c r="D136" s="233" t="s">
        <v>418</v>
      </c>
    </row>
    <row r="137">
      <c r="A137" s="307">
        <v>43805.0</v>
      </c>
      <c r="B137" s="310" t="s">
        <v>1453</v>
      </c>
      <c r="C137" s="309">
        <v>100.0</v>
      </c>
      <c r="D137" s="233"/>
    </row>
    <row r="138">
      <c r="A138" s="307">
        <v>43804.0</v>
      </c>
      <c r="B138" s="310" t="s">
        <v>1497</v>
      </c>
      <c r="C138" s="309">
        <v>-913.86</v>
      </c>
      <c r="D138" s="233"/>
    </row>
    <row r="139">
      <c r="A139" s="307">
        <v>43804.0</v>
      </c>
      <c r="B139" s="310" t="s">
        <v>1489</v>
      </c>
      <c r="C139" s="309">
        <v>207.0</v>
      </c>
      <c r="D139" s="233"/>
    </row>
    <row r="140">
      <c r="A140" s="307">
        <v>43802.0</v>
      </c>
      <c r="B140" s="310" t="s">
        <v>1490</v>
      </c>
      <c r="C140" s="309">
        <v>502.2</v>
      </c>
      <c r="D140" s="233"/>
    </row>
    <row r="141">
      <c r="A141" s="307">
        <v>43795.0</v>
      </c>
      <c r="B141" s="310" t="s">
        <v>1519</v>
      </c>
      <c r="C141" s="309">
        <v>-2.16</v>
      </c>
      <c r="D141" s="233" t="s">
        <v>418</v>
      </c>
    </row>
    <row r="142">
      <c r="A142" s="307">
        <v>43794.0</v>
      </c>
      <c r="B142" s="310" t="s">
        <v>1520</v>
      </c>
      <c r="C142" s="309">
        <v>40.0</v>
      </c>
      <c r="D142" s="233"/>
    </row>
    <row r="143">
      <c r="A143" s="307">
        <v>43775.0</v>
      </c>
      <c r="B143" s="310" t="s">
        <v>1521</v>
      </c>
      <c r="C143" s="309">
        <v>-40.0</v>
      </c>
      <c r="D143" s="233" t="s">
        <v>418</v>
      </c>
    </row>
    <row r="144">
      <c r="A144" s="307">
        <v>43775.0</v>
      </c>
      <c r="B144" s="310" t="s">
        <v>1453</v>
      </c>
      <c r="C144" s="309">
        <v>100.0</v>
      </c>
      <c r="D144" s="233"/>
    </row>
    <row r="145">
      <c r="A145" s="307">
        <v>43775.0</v>
      </c>
      <c r="B145" s="310" t="s">
        <v>1451</v>
      </c>
      <c r="C145" s="309">
        <v>-13600.0</v>
      </c>
      <c r="D145" s="233"/>
    </row>
    <row r="146">
      <c r="A146" s="307">
        <v>43774.0</v>
      </c>
      <c r="B146" s="310" t="s">
        <v>1496</v>
      </c>
      <c r="C146" s="309">
        <v>13700.0</v>
      </c>
      <c r="D146" s="233"/>
    </row>
    <row r="147">
      <c r="A147" s="307">
        <v>43774.0</v>
      </c>
      <c r="B147" s="310" t="s">
        <v>1497</v>
      </c>
      <c r="C147" s="309">
        <v>-918.56</v>
      </c>
      <c r="D147" s="233"/>
    </row>
    <row r="148">
      <c r="A148" s="307">
        <v>43774.0</v>
      </c>
      <c r="B148" s="310" t="s">
        <v>1489</v>
      </c>
      <c r="C148" s="309">
        <v>207.0</v>
      </c>
      <c r="D148" s="233"/>
    </row>
    <row r="149">
      <c r="A149" s="307">
        <v>43773.0</v>
      </c>
      <c r="B149" s="310" t="s">
        <v>1490</v>
      </c>
      <c r="C149" s="309">
        <v>518.94</v>
      </c>
      <c r="D149" s="233"/>
    </row>
    <row r="150">
      <c r="A150" s="307">
        <v>43759.0</v>
      </c>
      <c r="B150" s="310" t="s">
        <v>1522</v>
      </c>
      <c r="C150" s="309">
        <v>-5.55</v>
      </c>
      <c r="D150" s="233" t="s">
        <v>418</v>
      </c>
    </row>
    <row r="151">
      <c r="A151" s="307">
        <v>43756.0</v>
      </c>
      <c r="B151" s="310" t="s">
        <v>1451</v>
      </c>
      <c r="C151" s="309">
        <v>-150.0</v>
      </c>
      <c r="D151" s="233"/>
    </row>
    <row r="152">
      <c r="A152" s="307">
        <v>43755.0</v>
      </c>
      <c r="B152" s="310" t="s">
        <v>1496</v>
      </c>
      <c r="C152" s="309">
        <v>200.0</v>
      </c>
      <c r="D152" s="233"/>
    </row>
    <row r="153">
      <c r="A153" s="307">
        <v>43753.0</v>
      </c>
      <c r="B153" s="310" t="s">
        <v>1523</v>
      </c>
      <c r="C153" s="309">
        <v>-50.0</v>
      </c>
      <c r="D153" s="233" t="s">
        <v>418</v>
      </c>
    </row>
    <row r="154">
      <c r="A154" s="307">
        <v>43748.0</v>
      </c>
      <c r="B154" s="310" t="s">
        <v>1465</v>
      </c>
      <c r="C154" s="309">
        <v>-144.89</v>
      </c>
      <c r="D154" s="233" t="s">
        <v>418</v>
      </c>
    </row>
    <row r="155">
      <c r="A155" s="307">
        <v>43747.0</v>
      </c>
      <c r="B155" s="310" t="s">
        <v>1490</v>
      </c>
      <c r="C155" s="309">
        <v>502.2</v>
      </c>
      <c r="D155" s="233"/>
    </row>
    <row r="156">
      <c r="A156" s="307">
        <v>43746.0</v>
      </c>
      <c r="B156" s="310" t="s">
        <v>1453</v>
      </c>
      <c r="C156" s="309">
        <v>100.0</v>
      </c>
      <c r="D156" s="233"/>
    </row>
    <row r="157">
      <c r="A157" s="307">
        <v>43745.0</v>
      </c>
      <c r="B157" s="310" t="s">
        <v>1524</v>
      </c>
      <c r="C157" s="309">
        <v>-20.0</v>
      </c>
      <c r="D157" s="233" t="s">
        <v>418</v>
      </c>
    </row>
    <row r="158">
      <c r="A158" s="307">
        <v>43745.0</v>
      </c>
      <c r="B158" s="310" t="s">
        <v>1525</v>
      </c>
      <c r="C158" s="309">
        <v>-25.0</v>
      </c>
      <c r="D158" s="233" t="s">
        <v>418</v>
      </c>
    </row>
    <row r="159">
      <c r="A159" s="307">
        <v>43745.0</v>
      </c>
      <c r="B159" s="310" t="s">
        <v>1526</v>
      </c>
      <c r="C159" s="309">
        <v>-23.0</v>
      </c>
      <c r="D159" s="233" t="s">
        <v>418</v>
      </c>
    </row>
    <row r="160">
      <c r="A160" s="307">
        <v>43745.0</v>
      </c>
      <c r="B160" s="310" t="s">
        <v>1527</v>
      </c>
      <c r="C160" s="309">
        <v>-25.8</v>
      </c>
      <c r="D160" s="233" t="s">
        <v>418</v>
      </c>
    </row>
    <row r="161">
      <c r="A161" s="307">
        <v>43745.0</v>
      </c>
      <c r="B161" s="310" t="s">
        <v>1496</v>
      </c>
      <c r="C161" s="309">
        <v>400.0</v>
      </c>
      <c r="D161" s="233"/>
    </row>
    <row r="162">
      <c r="A162" s="307">
        <v>43745.0</v>
      </c>
      <c r="B162" s="310" t="s">
        <v>1528</v>
      </c>
      <c r="C162" s="309">
        <v>-0.15</v>
      </c>
      <c r="D162" s="233" t="s">
        <v>418</v>
      </c>
    </row>
    <row r="163">
      <c r="A163" s="307">
        <v>43745.0</v>
      </c>
      <c r="B163" s="310" t="s">
        <v>1497</v>
      </c>
      <c r="C163" s="309">
        <v>-903.45</v>
      </c>
      <c r="D163" s="233"/>
    </row>
    <row r="164">
      <c r="A164" s="307">
        <v>43742.0</v>
      </c>
      <c r="B164" s="310" t="s">
        <v>1489</v>
      </c>
      <c r="C164" s="309">
        <v>207.0</v>
      </c>
      <c r="D164" s="233"/>
    </row>
    <row r="165">
      <c r="A165" s="307">
        <v>43738.0</v>
      </c>
      <c r="B165" s="310" t="s">
        <v>1529</v>
      </c>
      <c r="C165" s="309">
        <v>-35.0</v>
      </c>
      <c r="D165" s="233" t="s">
        <v>418</v>
      </c>
    </row>
    <row r="166">
      <c r="A166" s="307">
        <v>43720.0</v>
      </c>
      <c r="B166" s="310" t="s">
        <v>1530</v>
      </c>
      <c r="C166" s="309">
        <v>-55.0</v>
      </c>
      <c r="D166" s="233" t="s">
        <v>418</v>
      </c>
    </row>
    <row r="167">
      <c r="A167" s="184">
        <v>43719.0</v>
      </c>
      <c r="B167" s="311" t="s">
        <v>1496</v>
      </c>
      <c r="C167" s="233">
        <v>100.0</v>
      </c>
      <c r="D167" s="233"/>
    </row>
    <row r="168">
      <c r="A168" s="307">
        <v>43719.0</v>
      </c>
      <c r="B168" s="310" t="s">
        <v>1496</v>
      </c>
      <c r="C168" s="309">
        <v>300.0</v>
      </c>
      <c r="D168" s="233"/>
    </row>
    <row r="169">
      <c r="A169" s="307">
        <v>43719.0</v>
      </c>
      <c r="B169" s="310" t="s">
        <v>1496</v>
      </c>
      <c r="C169" s="309">
        <v>0.1</v>
      </c>
      <c r="D169" s="233"/>
    </row>
    <row r="170">
      <c r="A170" s="307">
        <v>43718.0</v>
      </c>
      <c r="B170" s="310" t="s">
        <v>1531</v>
      </c>
      <c r="C170" s="309">
        <v>-340.6</v>
      </c>
      <c r="D170" s="233"/>
    </row>
    <row r="171">
      <c r="A171" s="307">
        <v>43717.0</v>
      </c>
      <c r="B171" s="310" t="s">
        <v>1496</v>
      </c>
      <c r="C171" s="309">
        <v>100.0</v>
      </c>
      <c r="D171" s="233"/>
    </row>
    <row r="172">
      <c r="A172" s="307">
        <v>43713.0</v>
      </c>
      <c r="B172" s="310" t="s">
        <v>1497</v>
      </c>
      <c r="C172" s="309">
        <v>-903.45</v>
      </c>
      <c r="D172" s="233"/>
    </row>
    <row r="173">
      <c r="A173" s="307">
        <v>43713.0</v>
      </c>
      <c r="B173" s="310" t="s">
        <v>1489</v>
      </c>
      <c r="C173" s="309">
        <v>207.0</v>
      </c>
      <c r="D173" s="233"/>
    </row>
    <row r="174">
      <c r="A174" s="307">
        <v>43712.0</v>
      </c>
      <c r="B174" s="310" t="s">
        <v>1532</v>
      </c>
      <c r="C174" s="309">
        <v>-0.1</v>
      </c>
      <c r="D174" s="233" t="s">
        <v>418</v>
      </c>
    </row>
    <row r="175">
      <c r="A175" s="307">
        <v>43710.0</v>
      </c>
      <c r="B175" s="310" t="s">
        <v>1490</v>
      </c>
      <c r="C175" s="309">
        <v>518.94</v>
      </c>
      <c r="D175" s="233"/>
    </row>
    <row r="176">
      <c r="A176" s="307">
        <v>43706.0</v>
      </c>
      <c r="B176" s="310" t="s">
        <v>1451</v>
      </c>
      <c r="C176" s="309">
        <v>-1000.0</v>
      </c>
      <c r="D176" s="233"/>
    </row>
    <row r="177">
      <c r="A177" s="307">
        <v>43705.0</v>
      </c>
      <c r="B177" s="310" t="s">
        <v>1496</v>
      </c>
      <c r="C177" s="309">
        <v>1000.0</v>
      </c>
      <c r="D177" s="233"/>
    </row>
    <row r="178">
      <c r="A178" s="307">
        <v>43691.0</v>
      </c>
      <c r="B178" s="310" t="s">
        <v>1533</v>
      </c>
      <c r="C178" s="309">
        <v>-21.03</v>
      </c>
      <c r="D178" s="233" t="s">
        <v>418</v>
      </c>
    </row>
    <row r="179">
      <c r="A179" s="307">
        <v>43690.0</v>
      </c>
      <c r="B179" s="310" t="s">
        <v>1534</v>
      </c>
      <c r="C179" s="309">
        <v>25.0</v>
      </c>
      <c r="D179" s="233"/>
    </row>
    <row r="180">
      <c r="A180" s="307">
        <v>43689.0</v>
      </c>
      <c r="B180" s="310" t="s">
        <v>1467</v>
      </c>
      <c r="C180" s="309">
        <v>-25.0</v>
      </c>
      <c r="D180" s="233"/>
    </row>
    <row r="181">
      <c r="A181" s="307">
        <v>43689.0</v>
      </c>
      <c r="B181" s="310" t="s">
        <v>1531</v>
      </c>
      <c r="C181" s="309">
        <v>-340.6</v>
      </c>
      <c r="D181" s="233"/>
    </row>
    <row r="182">
      <c r="A182" s="307">
        <v>43686.0</v>
      </c>
      <c r="B182" s="310" t="s">
        <v>1535</v>
      </c>
      <c r="C182" s="309">
        <v>-100.0</v>
      </c>
      <c r="D182" s="233" t="s">
        <v>418</v>
      </c>
    </row>
    <row r="183">
      <c r="A183" s="307">
        <v>43684.0</v>
      </c>
      <c r="B183" s="310" t="s">
        <v>1496</v>
      </c>
      <c r="C183" s="309">
        <v>400.0</v>
      </c>
      <c r="D183" s="233"/>
    </row>
    <row r="184">
      <c r="A184" s="307">
        <v>43683.0</v>
      </c>
      <c r="B184" s="310" t="s">
        <v>1453</v>
      </c>
      <c r="C184" s="309">
        <v>100.0</v>
      </c>
      <c r="D184" s="233"/>
    </row>
    <row r="185">
      <c r="A185" s="307">
        <v>43682.0</v>
      </c>
      <c r="B185" s="310" t="s">
        <v>1497</v>
      </c>
      <c r="C185" s="309">
        <v>-903.45</v>
      </c>
      <c r="D185" s="233"/>
    </row>
    <row r="186">
      <c r="A186" s="307">
        <v>43682.0</v>
      </c>
      <c r="B186" s="310" t="s">
        <v>1489</v>
      </c>
      <c r="C186" s="309">
        <v>207.0</v>
      </c>
      <c r="D186" s="233"/>
    </row>
    <row r="187">
      <c r="A187" s="307">
        <v>43678.0</v>
      </c>
      <c r="B187" s="310" t="s">
        <v>1490</v>
      </c>
      <c r="C187" s="309">
        <v>518.94</v>
      </c>
      <c r="D187" s="233"/>
    </row>
    <row r="188">
      <c r="A188" s="307">
        <v>43675.0</v>
      </c>
      <c r="B188" s="310" t="s">
        <v>1536</v>
      </c>
      <c r="C188" s="309">
        <v>-52.87</v>
      </c>
      <c r="D188" s="233" t="s">
        <v>418</v>
      </c>
    </row>
    <row r="189">
      <c r="A189" s="307">
        <v>43675.0</v>
      </c>
      <c r="B189" s="310" t="s">
        <v>1537</v>
      </c>
      <c r="C189" s="309">
        <v>-4.1</v>
      </c>
      <c r="D189" s="233" t="s">
        <v>418</v>
      </c>
    </row>
    <row r="190">
      <c r="A190" s="307">
        <v>43675.0</v>
      </c>
      <c r="B190" s="310" t="s">
        <v>1458</v>
      </c>
      <c r="C190" s="309">
        <v>100.0</v>
      </c>
      <c r="D190" s="233"/>
    </row>
    <row r="191">
      <c r="A191" s="307">
        <v>43658.0</v>
      </c>
      <c r="B191" s="310" t="s">
        <v>1538</v>
      </c>
      <c r="C191" s="309">
        <v>-20.0</v>
      </c>
      <c r="D191" s="233" t="s">
        <v>418</v>
      </c>
    </row>
    <row r="192">
      <c r="A192" s="307">
        <v>43656.0</v>
      </c>
      <c r="B192" s="310" t="s">
        <v>1531</v>
      </c>
      <c r="C192" s="309">
        <v>-340.6</v>
      </c>
      <c r="D192" s="233"/>
    </row>
    <row r="193">
      <c r="A193" s="307">
        <v>43655.0</v>
      </c>
      <c r="B193" s="310" t="s">
        <v>1539</v>
      </c>
      <c r="C193" s="309">
        <v>26.0</v>
      </c>
      <c r="D193" s="233"/>
    </row>
    <row r="194">
      <c r="A194" s="307">
        <v>43654.0</v>
      </c>
      <c r="B194" s="310" t="s">
        <v>1540</v>
      </c>
      <c r="C194" s="309">
        <v>-26.0</v>
      </c>
      <c r="D194" s="233"/>
    </row>
    <row r="195">
      <c r="A195" s="307">
        <v>43654.0</v>
      </c>
      <c r="B195" s="310" t="s">
        <v>1453</v>
      </c>
      <c r="C195" s="309">
        <v>100.0</v>
      </c>
      <c r="D195" s="233"/>
    </row>
    <row r="196">
      <c r="A196" s="307">
        <v>43651.0</v>
      </c>
      <c r="B196" s="310" t="s">
        <v>1541</v>
      </c>
      <c r="C196" s="309">
        <v>-0.23</v>
      </c>
      <c r="D196" s="233" t="s">
        <v>418</v>
      </c>
    </row>
    <row r="197">
      <c r="A197" s="307">
        <v>43651.0</v>
      </c>
      <c r="B197" s="310" t="s">
        <v>1497</v>
      </c>
      <c r="C197" s="309">
        <v>-903.45</v>
      </c>
      <c r="D197" s="233"/>
    </row>
    <row r="198">
      <c r="A198" s="307">
        <v>43651.0</v>
      </c>
      <c r="B198" s="310" t="s">
        <v>1489</v>
      </c>
      <c r="C198" s="309">
        <v>207.0</v>
      </c>
      <c r="D198" s="233"/>
    </row>
    <row r="199">
      <c r="A199" s="307">
        <v>43648.0</v>
      </c>
      <c r="B199" s="310" t="s">
        <v>1542</v>
      </c>
      <c r="C199" s="309">
        <v>-0.66</v>
      </c>
      <c r="D199" s="233" t="s">
        <v>418</v>
      </c>
    </row>
    <row r="200">
      <c r="A200" s="307">
        <v>43648.0</v>
      </c>
      <c r="B200" s="310" t="s">
        <v>1543</v>
      </c>
      <c r="C200" s="309">
        <v>-90.0</v>
      </c>
      <c r="D200" s="233" t="s">
        <v>418</v>
      </c>
    </row>
    <row r="201">
      <c r="A201" s="307">
        <v>43649.0</v>
      </c>
      <c r="B201" s="310" t="s">
        <v>1496</v>
      </c>
      <c r="C201" s="309">
        <v>500.0</v>
      </c>
      <c r="D201" s="233"/>
    </row>
    <row r="202">
      <c r="A202" s="307">
        <v>43647.0</v>
      </c>
      <c r="B202" s="310" t="s">
        <v>1544</v>
      </c>
      <c r="C202" s="309">
        <v>-2.9</v>
      </c>
      <c r="D202" s="233" t="s">
        <v>418</v>
      </c>
    </row>
    <row r="203">
      <c r="A203" s="307">
        <v>43641.0</v>
      </c>
      <c r="B203" s="310" t="s">
        <v>1545</v>
      </c>
      <c r="C203" s="309">
        <v>-3.9</v>
      </c>
      <c r="D203" s="233" t="s">
        <v>418</v>
      </c>
    </row>
    <row r="204">
      <c r="A204" s="307">
        <v>43641.0</v>
      </c>
      <c r="B204" s="310" t="s">
        <v>1513</v>
      </c>
      <c r="C204" s="309">
        <v>-2000.0</v>
      </c>
      <c r="D204" s="233"/>
    </row>
    <row r="205">
      <c r="A205" s="307">
        <v>43640.0</v>
      </c>
      <c r="B205" s="310" t="s">
        <v>1493</v>
      </c>
      <c r="C205" s="309">
        <v>2000.0</v>
      </c>
      <c r="D205" s="233"/>
    </row>
    <row r="206">
      <c r="A206" s="307">
        <v>43636.0</v>
      </c>
      <c r="B206" s="310" t="s">
        <v>1546</v>
      </c>
      <c r="C206" s="309">
        <v>-35.0</v>
      </c>
      <c r="D206" s="233" t="s">
        <v>418</v>
      </c>
    </row>
    <row r="207">
      <c r="A207" s="307">
        <v>43635.0</v>
      </c>
      <c r="B207" s="310" t="s">
        <v>1534</v>
      </c>
      <c r="C207" s="309">
        <v>75.0</v>
      </c>
      <c r="D207" s="233"/>
    </row>
    <row r="208">
      <c r="A208" s="307">
        <v>43634.0</v>
      </c>
      <c r="B208" s="310" t="s">
        <v>1467</v>
      </c>
      <c r="C208" s="309">
        <v>-75.0</v>
      </c>
      <c r="D208" s="233"/>
    </row>
    <row r="209">
      <c r="A209" s="307">
        <v>43630.0</v>
      </c>
      <c r="B209" s="310" t="s">
        <v>1547</v>
      </c>
      <c r="C209" s="309">
        <v>99.42</v>
      </c>
      <c r="D209" s="233"/>
    </row>
    <row r="210">
      <c r="A210" s="307">
        <v>43628.0</v>
      </c>
      <c r="B210" s="310" t="s">
        <v>1548</v>
      </c>
      <c r="C210" s="309">
        <v>-144.17</v>
      </c>
      <c r="D210" s="233" t="s">
        <v>418</v>
      </c>
    </row>
    <row r="211">
      <c r="A211" s="307">
        <v>43628.0</v>
      </c>
      <c r="B211" s="310" t="s">
        <v>1549</v>
      </c>
      <c r="C211" s="309">
        <v>400.0</v>
      </c>
      <c r="D211" s="233"/>
    </row>
    <row r="212">
      <c r="A212" s="307">
        <v>43626.0</v>
      </c>
      <c r="B212" s="310" t="s">
        <v>1531</v>
      </c>
      <c r="C212" s="309">
        <v>-340.6</v>
      </c>
      <c r="D212" s="233"/>
    </row>
    <row r="213">
      <c r="A213" s="184">
        <v>43623.0</v>
      </c>
      <c r="B213" s="311" t="s">
        <v>1496</v>
      </c>
      <c r="C213" s="233">
        <v>100.0</v>
      </c>
      <c r="D213" s="233"/>
    </row>
    <row r="214">
      <c r="A214" s="307">
        <v>43622.0</v>
      </c>
      <c r="B214" s="310" t="s">
        <v>1453</v>
      </c>
      <c r="C214" s="309">
        <v>100.0</v>
      </c>
      <c r="D214" s="233"/>
    </row>
    <row r="215">
      <c r="A215" s="307">
        <v>43621.0</v>
      </c>
      <c r="B215" s="310" t="s">
        <v>1497</v>
      </c>
      <c r="C215" s="309">
        <v>-903.45</v>
      </c>
      <c r="D215" s="233"/>
    </row>
    <row r="216">
      <c r="A216" s="307">
        <v>43621.0</v>
      </c>
      <c r="B216" s="310" t="s">
        <v>1489</v>
      </c>
      <c r="C216" s="309">
        <v>207.0</v>
      </c>
      <c r="D216" s="233"/>
    </row>
    <row r="217">
      <c r="A217" s="307">
        <v>43619.0</v>
      </c>
      <c r="B217" s="310" t="s">
        <v>1550</v>
      </c>
      <c r="C217" s="309">
        <v>-25.0</v>
      </c>
      <c r="D217" s="233" t="s">
        <v>418</v>
      </c>
    </row>
    <row r="218">
      <c r="A218" s="307">
        <v>43619.0</v>
      </c>
      <c r="B218" s="310" t="s">
        <v>1490</v>
      </c>
      <c r="C218" s="309">
        <v>518.94</v>
      </c>
      <c r="D218" s="233"/>
    </row>
    <row r="219">
      <c r="A219" s="307">
        <v>43613.0</v>
      </c>
      <c r="B219" s="310" t="s">
        <v>1458</v>
      </c>
      <c r="C219" s="309">
        <v>50.0</v>
      </c>
      <c r="D219" s="233"/>
    </row>
    <row r="220">
      <c r="A220" s="307">
        <v>43612.0</v>
      </c>
      <c r="B220" s="310" t="s">
        <v>1551</v>
      </c>
      <c r="C220" s="309">
        <v>-5.9</v>
      </c>
      <c r="D220" s="233" t="s">
        <v>418</v>
      </c>
    </row>
    <row r="221">
      <c r="A221" s="307">
        <v>43606.0</v>
      </c>
      <c r="B221" s="310" t="s">
        <v>1547</v>
      </c>
      <c r="C221" s="309">
        <v>19.59</v>
      </c>
      <c r="D221" s="233"/>
    </row>
    <row r="222">
      <c r="A222" s="307">
        <v>43605.0</v>
      </c>
      <c r="B222" s="310" t="s">
        <v>1539</v>
      </c>
      <c r="C222" s="309">
        <v>14.0</v>
      </c>
      <c r="D222" s="233"/>
    </row>
    <row r="223">
      <c r="A223" s="307">
        <v>43602.0</v>
      </c>
      <c r="B223" s="310" t="s">
        <v>1552</v>
      </c>
      <c r="C223" s="309">
        <v>-27.98</v>
      </c>
      <c r="D223" s="233" t="s">
        <v>418</v>
      </c>
    </row>
    <row r="224">
      <c r="A224" s="307">
        <v>43602.0</v>
      </c>
      <c r="B224" s="310" t="s">
        <v>1540</v>
      </c>
      <c r="C224" s="309">
        <v>-14.0</v>
      </c>
      <c r="D224" s="233"/>
    </row>
    <row r="225">
      <c r="A225" s="307">
        <v>43601.0</v>
      </c>
      <c r="B225" s="310" t="s">
        <v>1553</v>
      </c>
      <c r="C225" s="309">
        <v>-500.0</v>
      </c>
      <c r="D225" s="233"/>
    </row>
    <row r="226">
      <c r="A226" s="184">
        <v>43600.0</v>
      </c>
      <c r="B226" s="311" t="s">
        <v>1496</v>
      </c>
      <c r="C226" s="233">
        <v>500.0</v>
      </c>
      <c r="D226" s="233"/>
    </row>
    <row r="227">
      <c r="A227" s="307">
        <v>43595.0</v>
      </c>
      <c r="B227" s="310" t="s">
        <v>1531</v>
      </c>
      <c r="C227" s="309">
        <v>-340.6</v>
      </c>
      <c r="D227" s="233"/>
    </row>
    <row r="228">
      <c r="A228" s="307">
        <v>43593.0</v>
      </c>
      <c r="B228" s="310" t="s">
        <v>1496</v>
      </c>
      <c r="C228" s="309">
        <v>500.0</v>
      </c>
      <c r="D228" s="233"/>
    </row>
    <row r="229">
      <c r="A229" s="307">
        <v>43592.0</v>
      </c>
      <c r="B229" s="310" t="s">
        <v>1453</v>
      </c>
      <c r="C229" s="309">
        <v>100.0</v>
      </c>
      <c r="D229" s="233"/>
    </row>
    <row r="230">
      <c r="A230" s="307">
        <v>43591.0</v>
      </c>
      <c r="B230" s="310" t="s">
        <v>1554</v>
      </c>
      <c r="C230" s="309">
        <v>-53.0</v>
      </c>
      <c r="D230" s="233" t="s">
        <v>418</v>
      </c>
    </row>
    <row r="231">
      <c r="A231" s="307">
        <v>43591.0</v>
      </c>
      <c r="B231" s="310" t="s">
        <v>1497</v>
      </c>
      <c r="C231" s="309">
        <v>-903.45</v>
      </c>
      <c r="D231" s="233"/>
    </row>
    <row r="232">
      <c r="A232" s="307">
        <v>43591.0</v>
      </c>
      <c r="B232" s="310" t="s">
        <v>1489</v>
      </c>
      <c r="C232" s="309">
        <v>207.0</v>
      </c>
      <c r="D232" s="233"/>
    </row>
    <row r="233">
      <c r="A233" s="307">
        <v>43587.0</v>
      </c>
      <c r="B233" s="310" t="s">
        <v>1490</v>
      </c>
      <c r="C233" s="309">
        <v>502.2</v>
      </c>
      <c r="D233" s="233"/>
    </row>
    <row r="234">
      <c r="A234" s="307">
        <v>43560.0</v>
      </c>
      <c r="B234" s="310" t="s">
        <v>1555</v>
      </c>
      <c r="C234" s="309">
        <v>-0.15</v>
      </c>
      <c r="D234" s="233" t="s">
        <v>418</v>
      </c>
    </row>
    <row r="235">
      <c r="A235" s="307">
        <v>43560.0</v>
      </c>
      <c r="B235" s="310" t="s">
        <v>1497</v>
      </c>
      <c r="C235" s="309">
        <v>-903.45</v>
      </c>
      <c r="D235" s="233"/>
    </row>
    <row r="236">
      <c r="A236" s="307">
        <v>43558.0</v>
      </c>
      <c r="B236" s="310" t="s">
        <v>1496</v>
      </c>
      <c r="C236" s="309">
        <v>500.0</v>
      </c>
      <c r="D236" s="233"/>
    </row>
    <row r="237">
      <c r="A237" s="307">
        <v>43557.0</v>
      </c>
      <c r="B237" s="310" t="s">
        <v>1556</v>
      </c>
      <c r="C237" s="309">
        <v>-33.0</v>
      </c>
      <c r="D237" s="233" t="s">
        <v>418</v>
      </c>
    </row>
    <row r="238">
      <c r="A238" s="307">
        <v>43557.0</v>
      </c>
      <c r="B238" s="310" t="s">
        <v>1557</v>
      </c>
      <c r="C238" s="309">
        <v>-15.0</v>
      </c>
      <c r="D238" s="233" t="s">
        <v>418</v>
      </c>
    </row>
    <row r="239">
      <c r="A239" s="307">
        <v>43557.0</v>
      </c>
      <c r="B239" s="310" t="s">
        <v>1490</v>
      </c>
      <c r="C239" s="309">
        <v>510.88</v>
      </c>
      <c r="D239" s="233"/>
    </row>
    <row r="240">
      <c r="A240" s="307">
        <v>43556.0</v>
      </c>
      <c r="B240" s="310" t="s">
        <v>1558</v>
      </c>
      <c r="C240" s="309">
        <v>-100.0</v>
      </c>
      <c r="D240" s="233" t="s">
        <v>418</v>
      </c>
    </row>
    <row r="241">
      <c r="A241" s="307">
        <v>43556.0</v>
      </c>
      <c r="B241" s="310" t="s">
        <v>1559</v>
      </c>
      <c r="C241" s="309">
        <v>-12.06</v>
      </c>
      <c r="D241" s="233" t="s">
        <v>418</v>
      </c>
    </row>
    <row r="242">
      <c r="A242" s="307">
        <v>43540.0</v>
      </c>
      <c r="B242" s="310" t="s">
        <v>1560</v>
      </c>
      <c r="C242" s="309">
        <v>-12.91</v>
      </c>
      <c r="D242" s="233" t="s">
        <v>418</v>
      </c>
    </row>
    <row r="243">
      <c r="A243" s="307">
        <v>43539.0</v>
      </c>
      <c r="B243" s="310" t="s">
        <v>1540</v>
      </c>
      <c r="C243" s="309">
        <v>120.0</v>
      </c>
      <c r="D243" s="233"/>
    </row>
    <row r="244">
      <c r="A244" s="307">
        <v>43538.0</v>
      </c>
      <c r="B244" s="310" t="s">
        <v>1561</v>
      </c>
      <c r="C244" s="309">
        <v>-4.91</v>
      </c>
      <c r="D244" s="233" t="s">
        <v>418</v>
      </c>
    </row>
    <row r="245">
      <c r="A245" s="307">
        <v>43538.0</v>
      </c>
      <c r="B245" s="310" t="s">
        <v>1467</v>
      </c>
      <c r="C245" s="309">
        <v>-120.0</v>
      </c>
      <c r="D245" s="233"/>
    </row>
    <row r="246">
      <c r="A246" s="307">
        <v>43538.0</v>
      </c>
      <c r="B246" s="310" t="s">
        <v>1535</v>
      </c>
      <c r="C246" s="309">
        <v>-100.0</v>
      </c>
      <c r="D246" s="233" t="s">
        <v>418</v>
      </c>
    </row>
    <row r="247">
      <c r="A247" s="307">
        <v>43535.0</v>
      </c>
      <c r="B247" s="310" t="s">
        <v>1531</v>
      </c>
      <c r="C247" s="309">
        <v>-340.6</v>
      </c>
      <c r="D247" s="233"/>
    </row>
    <row r="248">
      <c r="A248" s="307">
        <v>43531.0</v>
      </c>
      <c r="B248" s="310" t="s">
        <v>1496</v>
      </c>
      <c r="C248" s="309">
        <v>700.0</v>
      </c>
      <c r="D248" s="233"/>
    </row>
    <row r="249">
      <c r="A249" s="307">
        <v>43530.0</v>
      </c>
      <c r="B249" s="310" t="s">
        <v>1453</v>
      </c>
      <c r="C249" s="309">
        <v>100.0</v>
      </c>
      <c r="D249" s="233"/>
    </row>
    <row r="250">
      <c r="A250" s="184">
        <v>43529.0</v>
      </c>
      <c r="B250" s="311" t="s">
        <v>1490</v>
      </c>
      <c r="C250" s="233">
        <v>461.44</v>
      </c>
      <c r="D250" s="233"/>
    </row>
    <row r="251">
      <c r="A251" s="307">
        <v>43529.0</v>
      </c>
      <c r="B251" s="310" t="s">
        <v>1489</v>
      </c>
      <c r="C251" s="309">
        <v>207.0</v>
      </c>
      <c r="D251" s="233"/>
    </row>
    <row r="252">
      <c r="A252" s="184">
        <v>43529.0</v>
      </c>
      <c r="B252" s="311" t="s">
        <v>1497</v>
      </c>
      <c r="C252" s="233">
        <v>-903.45</v>
      </c>
      <c r="D252" s="233"/>
    </row>
    <row r="253">
      <c r="A253" s="307">
        <v>43517.0</v>
      </c>
      <c r="B253" s="310" t="s">
        <v>1467</v>
      </c>
      <c r="C253" s="309">
        <v>-10.0</v>
      </c>
      <c r="D253" s="233"/>
    </row>
    <row r="254">
      <c r="A254" s="307">
        <v>43511.0</v>
      </c>
      <c r="B254" s="310" t="s">
        <v>1562</v>
      </c>
      <c r="C254" s="309">
        <v>-2.39</v>
      </c>
      <c r="D254" s="233"/>
    </row>
    <row r="255">
      <c r="A255" s="307">
        <v>43510.0</v>
      </c>
      <c r="B255" s="310" t="s">
        <v>1563</v>
      </c>
      <c r="C255" s="309">
        <v>-20.1</v>
      </c>
      <c r="D255" s="233" t="s">
        <v>418</v>
      </c>
    </row>
    <row r="256">
      <c r="A256" s="184">
        <v>43507.0</v>
      </c>
      <c r="B256" s="311" t="s">
        <v>1531</v>
      </c>
      <c r="C256" s="233">
        <v>-340.6</v>
      </c>
      <c r="D256" s="233"/>
    </row>
    <row r="257">
      <c r="A257" s="307">
        <v>43504.0</v>
      </c>
      <c r="B257" s="310" t="s">
        <v>1496</v>
      </c>
      <c r="C257" s="309">
        <v>400.0</v>
      </c>
      <c r="D257" s="233"/>
    </row>
    <row r="258">
      <c r="A258" s="184">
        <v>43502.0</v>
      </c>
      <c r="B258" s="311" t="s">
        <v>1453</v>
      </c>
      <c r="C258" s="233">
        <v>100.0</v>
      </c>
      <c r="D258" s="233"/>
    </row>
    <row r="259">
      <c r="A259" s="307">
        <v>43501.0</v>
      </c>
      <c r="B259" s="310" t="s">
        <v>1564</v>
      </c>
      <c r="C259" s="309">
        <v>-35.0</v>
      </c>
      <c r="D259" s="233" t="s">
        <v>418</v>
      </c>
    </row>
    <row r="260">
      <c r="A260" s="184">
        <v>43501.0</v>
      </c>
      <c r="B260" s="311" t="s">
        <v>1497</v>
      </c>
      <c r="C260" s="233">
        <v>-903.45</v>
      </c>
      <c r="D260" s="233"/>
    </row>
    <row r="261">
      <c r="A261" s="307">
        <v>43501.0</v>
      </c>
      <c r="B261" s="310" t="s">
        <v>1489</v>
      </c>
      <c r="C261" s="309">
        <v>207.0</v>
      </c>
      <c r="D261" s="233"/>
    </row>
    <row r="262">
      <c r="A262" s="307">
        <v>43479.0</v>
      </c>
      <c r="B262" s="310" t="s">
        <v>1565</v>
      </c>
      <c r="C262" s="309">
        <v>-1.76</v>
      </c>
      <c r="D262" s="233" t="s">
        <v>418</v>
      </c>
    </row>
    <row r="263">
      <c r="A263" s="307">
        <v>43475.0</v>
      </c>
      <c r="B263" s="310" t="s">
        <v>1531</v>
      </c>
      <c r="C263" s="309">
        <v>-340.6</v>
      </c>
      <c r="D263" s="233"/>
    </row>
    <row r="264">
      <c r="A264" s="184">
        <v>43474.0</v>
      </c>
      <c r="B264" s="311" t="s">
        <v>1566</v>
      </c>
      <c r="C264" s="233">
        <v>-1000.0</v>
      </c>
      <c r="D264" s="233"/>
    </row>
    <row r="265">
      <c r="A265" s="307">
        <v>43473.0</v>
      </c>
      <c r="B265" s="310" t="s">
        <v>1496</v>
      </c>
      <c r="C265" s="309">
        <v>1500.0</v>
      </c>
      <c r="D265" s="233"/>
    </row>
    <row r="266">
      <c r="A266" s="307">
        <v>43473.0</v>
      </c>
      <c r="B266" s="310" t="s">
        <v>1453</v>
      </c>
      <c r="C266" s="309">
        <v>100.0</v>
      </c>
      <c r="D266" s="233"/>
    </row>
    <row r="267">
      <c r="A267" s="307">
        <v>43472.0</v>
      </c>
      <c r="B267" s="310" t="s">
        <v>1497</v>
      </c>
      <c r="C267" s="309">
        <v>-903.45</v>
      </c>
      <c r="D267" s="233"/>
    </row>
    <row r="268">
      <c r="A268" s="307">
        <v>43470.0</v>
      </c>
      <c r="B268" s="310" t="s">
        <v>1567</v>
      </c>
      <c r="C268" s="309">
        <v>-35.0</v>
      </c>
      <c r="D268" s="233" t="s">
        <v>418</v>
      </c>
    </row>
    <row r="269">
      <c r="A269" s="307">
        <v>43467.0</v>
      </c>
      <c r="B269" s="310" t="s">
        <v>1490</v>
      </c>
      <c r="C269" s="309">
        <v>510.88</v>
      </c>
      <c r="D269" s="233"/>
    </row>
    <row r="270">
      <c r="A270" s="307">
        <v>43454.0</v>
      </c>
      <c r="B270" s="310" t="s">
        <v>1568</v>
      </c>
      <c r="C270" s="309">
        <v>-155.0</v>
      </c>
      <c r="D270" s="233"/>
    </row>
    <row r="271">
      <c r="A271" s="307">
        <v>43453.0</v>
      </c>
      <c r="B271" s="310" t="s">
        <v>1490</v>
      </c>
      <c r="C271" s="309">
        <v>152.45</v>
      </c>
      <c r="D271" s="233"/>
    </row>
    <row r="272">
      <c r="A272" s="307">
        <v>43445.0</v>
      </c>
      <c r="B272" s="310" t="s">
        <v>1540</v>
      </c>
      <c r="C272" s="309">
        <v>55.0</v>
      </c>
      <c r="D272" s="233"/>
    </row>
    <row r="273">
      <c r="A273" s="307">
        <v>43444.0</v>
      </c>
      <c r="B273" s="310" t="s">
        <v>1467</v>
      </c>
      <c r="C273" s="309">
        <v>-55.0</v>
      </c>
      <c r="D273" s="233"/>
    </row>
    <row r="274">
      <c r="A274" s="307">
        <v>43444.0</v>
      </c>
      <c r="B274" s="310" t="s">
        <v>1569</v>
      </c>
      <c r="C274" s="309">
        <v>-1000.0</v>
      </c>
      <c r="D274" s="233"/>
    </row>
    <row r="275">
      <c r="A275" s="307">
        <v>43444.0</v>
      </c>
      <c r="B275" s="310" t="s">
        <v>1531</v>
      </c>
      <c r="C275" s="309">
        <v>-340.6</v>
      </c>
      <c r="D275" s="233"/>
    </row>
    <row r="276">
      <c r="A276" s="307">
        <v>43440.0</v>
      </c>
      <c r="B276" s="310" t="s">
        <v>1570</v>
      </c>
      <c r="C276" s="309">
        <v>-41.85</v>
      </c>
      <c r="D276" s="233" t="s">
        <v>418</v>
      </c>
    </row>
    <row r="277">
      <c r="A277" s="307">
        <v>43440.0</v>
      </c>
      <c r="B277" s="310" t="s">
        <v>1570</v>
      </c>
      <c r="C277" s="309">
        <v>-101.8</v>
      </c>
      <c r="D277" s="233" t="s">
        <v>418</v>
      </c>
    </row>
    <row r="278">
      <c r="A278" s="307">
        <v>43440.0</v>
      </c>
      <c r="B278" s="310" t="s">
        <v>1453</v>
      </c>
      <c r="C278" s="309">
        <v>100.0</v>
      </c>
      <c r="D278" s="233"/>
    </row>
    <row r="279">
      <c r="A279" s="307">
        <v>43440.0</v>
      </c>
      <c r="B279" s="310" t="s">
        <v>1571</v>
      </c>
      <c r="C279" s="309">
        <v>140.0</v>
      </c>
      <c r="D279" s="233"/>
    </row>
    <row r="280">
      <c r="A280" s="307">
        <v>43439.0</v>
      </c>
      <c r="B280" s="310" t="s">
        <v>1497</v>
      </c>
      <c r="C280" s="309">
        <v>-903.45</v>
      </c>
      <c r="D280" s="233"/>
    </row>
    <row r="281">
      <c r="A281" s="307">
        <v>43439.0</v>
      </c>
      <c r="B281" s="310" t="s">
        <v>1489</v>
      </c>
      <c r="C281" s="309">
        <v>207.0</v>
      </c>
      <c r="D281" s="233"/>
    </row>
    <row r="282">
      <c r="A282" s="307">
        <v>43438.0</v>
      </c>
      <c r="B282" s="310" t="s">
        <v>1490</v>
      </c>
      <c r="C282" s="309">
        <v>494.4</v>
      </c>
      <c r="D282" s="233"/>
    </row>
    <row r="283">
      <c r="A283" s="307">
        <v>43437.0</v>
      </c>
      <c r="B283" s="310" t="s">
        <v>1572</v>
      </c>
      <c r="C283" s="309">
        <v>-76.0</v>
      </c>
      <c r="D283" s="233" t="s">
        <v>418</v>
      </c>
    </row>
    <row r="284">
      <c r="A284" s="307">
        <v>43437.0</v>
      </c>
      <c r="B284" s="310" t="s">
        <v>1573</v>
      </c>
      <c r="C284" s="309">
        <v>-23.6</v>
      </c>
      <c r="D284" s="233" t="s">
        <v>418</v>
      </c>
    </row>
    <row r="285">
      <c r="A285" s="307">
        <v>43437.0</v>
      </c>
      <c r="B285" s="310" t="s">
        <v>1573</v>
      </c>
      <c r="C285" s="309">
        <v>-82.0</v>
      </c>
      <c r="D285" s="233" t="s">
        <v>418</v>
      </c>
    </row>
    <row r="286">
      <c r="A286" s="307">
        <v>43437.0</v>
      </c>
      <c r="B286" s="310" t="s">
        <v>1574</v>
      </c>
      <c r="C286" s="309">
        <v>185.0</v>
      </c>
      <c r="D286" s="233"/>
    </row>
    <row r="287">
      <c r="A287" s="307">
        <v>43430.0</v>
      </c>
      <c r="B287" s="310" t="s">
        <v>1575</v>
      </c>
      <c r="C287" s="309">
        <v>-34.0</v>
      </c>
      <c r="D287" s="233"/>
    </row>
    <row r="288">
      <c r="A288" s="307">
        <v>43430.0</v>
      </c>
      <c r="B288" s="310" t="s">
        <v>1576</v>
      </c>
      <c r="C288" s="309">
        <v>33.12</v>
      </c>
      <c r="D288" s="233"/>
    </row>
    <row r="289">
      <c r="A289" s="307">
        <v>43417.0</v>
      </c>
      <c r="B289" s="310" t="s">
        <v>1577</v>
      </c>
      <c r="C289" s="309">
        <v>-7.45</v>
      </c>
      <c r="D289" s="233" t="s">
        <v>418</v>
      </c>
    </row>
    <row r="290">
      <c r="A290" s="307">
        <v>43416.0</v>
      </c>
      <c r="B290" s="310" t="s">
        <v>1578</v>
      </c>
      <c r="C290" s="309">
        <v>-16.1</v>
      </c>
      <c r="D290" s="233" t="s">
        <v>418</v>
      </c>
    </row>
    <row r="291">
      <c r="A291" s="307">
        <v>43416.0</v>
      </c>
      <c r="B291" s="310" t="s">
        <v>1579</v>
      </c>
      <c r="C291" s="309">
        <v>-77.0</v>
      </c>
      <c r="D291" s="233" t="s">
        <v>418</v>
      </c>
    </row>
    <row r="292">
      <c r="A292" s="307">
        <v>43416.0</v>
      </c>
      <c r="B292" s="310" t="s">
        <v>1580</v>
      </c>
      <c r="C292" s="309">
        <v>-33.0</v>
      </c>
      <c r="D292" s="233" t="s">
        <v>418</v>
      </c>
    </row>
    <row r="293">
      <c r="A293" s="307">
        <v>43416.0</v>
      </c>
      <c r="B293" s="310" t="s">
        <v>1531</v>
      </c>
      <c r="C293" s="309">
        <v>-340.6</v>
      </c>
      <c r="D293" s="233"/>
    </row>
    <row r="294">
      <c r="A294" s="307">
        <v>43411.0</v>
      </c>
      <c r="B294" s="310" t="s">
        <v>1581</v>
      </c>
      <c r="C294" s="309">
        <v>-45.0</v>
      </c>
      <c r="D294" s="233"/>
    </row>
    <row r="295">
      <c r="A295" s="307">
        <v>43410.0</v>
      </c>
      <c r="B295" s="310" t="s">
        <v>1453</v>
      </c>
      <c r="C295" s="309">
        <v>100.0</v>
      </c>
      <c r="D295" s="233"/>
    </row>
    <row r="296">
      <c r="A296" s="307">
        <v>43410.0</v>
      </c>
      <c r="B296" s="310" t="s">
        <v>1582</v>
      </c>
      <c r="C296" s="309">
        <v>45.0</v>
      </c>
      <c r="D296" s="233"/>
    </row>
    <row r="297">
      <c r="A297" s="307">
        <v>43409.0</v>
      </c>
      <c r="B297" s="310" t="s">
        <v>1497</v>
      </c>
      <c r="C297" s="309">
        <v>-903.45</v>
      </c>
      <c r="D297" s="233"/>
    </row>
    <row r="298">
      <c r="A298" s="307">
        <v>43398.0</v>
      </c>
      <c r="B298" s="310" t="s">
        <v>1542</v>
      </c>
      <c r="C298" s="309">
        <v>-0.66</v>
      </c>
      <c r="D298" s="233" t="s">
        <v>418</v>
      </c>
    </row>
    <row r="299">
      <c r="A299" s="307">
        <v>43398.0</v>
      </c>
      <c r="B299" s="310" t="s">
        <v>1583</v>
      </c>
      <c r="C299" s="309">
        <v>-922.0</v>
      </c>
      <c r="D299" s="233"/>
    </row>
    <row r="300">
      <c r="A300" s="307">
        <v>43397.0</v>
      </c>
      <c r="B300" s="310" t="s">
        <v>1513</v>
      </c>
      <c r="C300" s="309">
        <v>-6060.0</v>
      </c>
      <c r="D300" s="233"/>
    </row>
    <row r="301">
      <c r="A301" s="307">
        <v>43397.0</v>
      </c>
      <c r="B301" s="310" t="s">
        <v>1547</v>
      </c>
      <c r="C301" s="309">
        <v>6.5</v>
      </c>
      <c r="D301" s="233"/>
    </row>
    <row r="302">
      <c r="A302" s="307">
        <v>43396.0</v>
      </c>
      <c r="B302" s="310" t="s">
        <v>1565</v>
      </c>
      <c r="C302" s="309">
        <v>-0.8</v>
      </c>
      <c r="D302" s="233" t="s">
        <v>418</v>
      </c>
    </row>
    <row r="303">
      <c r="A303" s="307">
        <v>43395.0</v>
      </c>
      <c r="B303" s="310" t="s">
        <v>1540</v>
      </c>
      <c r="C303" s="309">
        <v>9.2</v>
      </c>
      <c r="D303" s="233"/>
    </row>
    <row r="304">
      <c r="A304" s="307">
        <v>43395.0</v>
      </c>
      <c r="B304" s="310" t="s">
        <v>1584</v>
      </c>
      <c r="C304" s="309">
        <v>7000.0</v>
      </c>
      <c r="D304" s="233"/>
    </row>
    <row r="305">
      <c r="A305" s="307">
        <v>43383.0</v>
      </c>
      <c r="B305" s="310" t="s">
        <v>1465</v>
      </c>
      <c r="C305" s="309">
        <v>-134.17</v>
      </c>
      <c r="D305" s="233" t="s">
        <v>418</v>
      </c>
    </row>
    <row r="306">
      <c r="A306" s="307">
        <v>43383.0</v>
      </c>
      <c r="B306" s="310" t="s">
        <v>1531</v>
      </c>
      <c r="C306" s="309">
        <v>-340.6</v>
      </c>
      <c r="D306" s="233"/>
    </row>
    <row r="307">
      <c r="A307" s="307">
        <v>43381.0</v>
      </c>
      <c r="B307" s="310" t="s">
        <v>1453</v>
      </c>
      <c r="C307" s="309">
        <v>100.0</v>
      </c>
      <c r="D307" s="233"/>
    </row>
    <row r="308">
      <c r="A308" s="307">
        <v>43378.0</v>
      </c>
      <c r="B308" s="310" t="s">
        <v>1585</v>
      </c>
      <c r="C308" s="309">
        <v>-0.72</v>
      </c>
      <c r="D308" s="233" t="s">
        <v>418</v>
      </c>
    </row>
    <row r="309">
      <c r="A309" s="307">
        <v>43378.0</v>
      </c>
      <c r="B309" s="310" t="s">
        <v>1586</v>
      </c>
      <c r="C309" s="309">
        <v>-890.0</v>
      </c>
      <c r="D309" s="233"/>
    </row>
    <row r="310">
      <c r="A310" s="307">
        <v>43378.0</v>
      </c>
      <c r="B310" s="310" t="s">
        <v>1587</v>
      </c>
      <c r="C310" s="309">
        <v>800.0</v>
      </c>
      <c r="D310" s="233"/>
    </row>
    <row r="311">
      <c r="A311" s="307">
        <v>43377.0</v>
      </c>
      <c r="B311" s="310" t="s">
        <v>1588</v>
      </c>
      <c r="C311" s="309">
        <v>-1.0</v>
      </c>
      <c r="D311" s="233"/>
    </row>
    <row r="312">
      <c r="A312" s="307">
        <v>43377.0</v>
      </c>
      <c r="B312" s="310" t="s">
        <v>1589</v>
      </c>
      <c r="C312" s="309">
        <v>-5.0</v>
      </c>
      <c r="D312" s="233" t="s">
        <v>418</v>
      </c>
    </row>
    <row r="313">
      <c r="A313" s="307">
        <v>43377.0</v>
      </c>
      <c r="B313" s="310" t="s">
        <v>1588</v>
      </c>
      <c r="C313" s="309">
        <v>1.0</v>
      </c>
      <c r="D313" s="233"/>
    </row>
    <row r="314">
      <c r="A314" s="307">
        <v>43375.0</v>
      </c>
      <c r="B314" s="310" t="s">
        <v>1490</v>
      </c>
      <c r="C314" s="309">
        <v>494.4</v>
      </c>
      <c r="D314" s="233"/>
    </row>
    <row r="315">
      <c r="A315" s="307">
        <v>43356.0</v>
      </c>
      <c r="B315" s="310" t="s">
        <v>1513</v>
      </c>
      <c r="C315" s="309">
        <v>-440.0</v>
      </c>
      <c r="D315" s="233"/>
    </row>
    <row r="316">
      <c r="A316" s="307">
        <v>43355.0</v>
      </c>
      <c r="B316" s="310" t="s">
        <v>1496</v>
      </c>
      <c r="C316" s="309">
        <v>500.0</v>
      </c>
      <c r="D316" s="233"/>
    </row>
    <row r="317">
      <c r="A317" s="307">
        <v>43354.0</v>
      </c>
      <c r="B317" s="310" t="s">
        <v>1539</v>
      </c>
      <c r="C317" s="309">
        <v>350.0</v>
      </c>
      <c r="D317" s="233"/>
    </row>
    <row r="318">
      <c r="A318" s="307">
        <v>43354.0</v>
      </c>
      <c r="B318" s="310" t="s">
        <v>1540</v>
      </c>
      <c r="C318" s="309">
        <v>-350.0</v>
      </c>
      <c r="D318" s="233"/>
    </row>
    <row r="319">
      <c r="A319" s="307">
        <v>43353.0</v>
      </c>
      <c r="B319" s="310" t="s">
        <v>1531</v>
      </c>
      <c r="C319" s="309">
        <v>-340.6</v>
      </c>
      <c r="D319" s="233"/>
    </row>
    <row r="320">
      <c r="A320" s="307">
        <v>43351.0</v>
      </c>
      <c r="B320" s="310" t="s">
        <v>1590</v>
      </c>
      <c r="C320" s="309">
        <v>2.01</v>
      </c>
      <c r="D320" s="233"/>
    </row>
    <row r="321">
      <c r="A321" s="307">
        <v>43351.0</v>
      </c>
      <c r="B321" s="310" t="s">
        <v>1590</v>
      </c>
      <c r="C321" s="309">
        <v>3.05</v>
      </c>
      <c r="D321" s="233"/>
    </row>
    <row r="322">
      <c r="A322" s="307">
        <v>43349.0</v>
      </c>
      <c r="B322" s="310" t="s">
        <v>1453</v>
      </c>
      <c r="C322" s="309">
        <v>100.0</v>
      </c>
      <c r="D322" s="233"/>
    </row>
    <row r="323">
      <c r="A323" s="307">
        <v>43348.0</v>
      </c>
      <c r="B323" s="310" t="s">
        <v>1586</v>
      </c>
      <c r="C323" s="309">
        <v>-890.0</v>
      </c>
      <c r="D323" s="233"/>
    </row>
    <row r="324">
      <c r="A324" s="307">
        <v>43348.0</v>
      </c>
      <c r="B324" s="310" t="s">
        <v>1489</v>
      </c>
      <c r="C324" s="309">
        <v>207.0</v>
      </c>
      <c r="D324" s="233"/>
    </row>
    <row r="325">
      <c r="A325" s="307">
        <v>43347.0</v>
      </c>
      <c r="B325" s="310" t="s">
        <v>1590</v>
      </c>
      <c r="C325" s="309">
        <v>-2.02</v>
      </c>
      <c r="D325" s="233" t="s">
        <v>418</v>
      </c>
    </row>
    <row r="326">
      <c r="A326" s="307">
        <v>43347.0</v>
      </c>
      <c r="B326" s="310" t="s">
        <v>1590</v>
      </c>
      <c r="C326" s="309">
        <v>-3.07</v>
      </c>
      <c r="D326" s="233" t="s">
        <v>418</v>
      </c>
    </row>
    <row r="327">
      <c r="A327" s="307">
        <v>43347.0</v>
      </c>
      <c r="B327" s="310" t="s">
        <v>1591</v>
      </c>
      <c r="C327" s="309">
        <v>0.91</v>
      </c>
      <c r="D327" s="233"/>
    </row>
    <row r="328">
      <c r="A328" s="307">
        <v>43347.0</v>
      </c>
      <c r="B328" s="310" t="s">
        <v>1590</v>
      </c>
      <c r="C328" s="309">
        <v>2.03</v>
      </c>
      <c r="D328" s="233"/>
    </row>
    <row r="329">
      <c r="A329" s="307">
        <v>43347.0</v>
      </c>
      <c r="B329" s="310" t="s">
        <v>1592</v>
      </c>
      <c r="C329" s="309">
        <v>8.1</v>
      </c>
      <c r="D329" s="233"/>
    </row>
    <row r="330">
      <c r="A330" s="307">
        <v>43346.0</v>
      </c>
      <c r="B330" s="310" t="s">
        <v>1490</v>
      </c>
      <c r="C330" s="309">
        <v>510.88</v>
      </c>
      <c r="D330" s="233"/>
    </row>
    <row r="331">
      <c r="A331" s="307">
        <v>43346.0</v>
      </c>
      <c r="B331" s="310" t="s">
        <v>1593</v>
      </c>
      <c r="C331" s="309">
        <v>-26.34</v>
      </c>
      <c r="D331" s="233" t="s">
        <v>418</v>
      </c>
    </row>
    <row r="332">
      <c r="A332" s="307">
        <v>43346.0</v>
      </c>
      <c r="B332" s="310" t="s">
        <v>1594</v>
      </c>
      <c r="C332" s="309">
        <v>-1.67</v>
      </c>
      <c r="D332" s="233" t="s">
        <v>418</v>
      </c>
    </row>
    <row r="333">
      <c r="A333" s="307">
        <v>43346.0</v>
      </c>
      <c r="B333" s="310" t="s">
        <v>1595</v>
      </c>
      <c r="C333" s="309">
        <v>-38.25</v>
      </c>
      <c r="D333" s="233" t="s">
        <v>418</v>
      </c>
    </row>
    <row r="334">
      <c r="A334" s="307">
        <v>43346.0</v>
      </c>
      <c r="B334" s="310" t="s">
        <v>1596</v>
      </c>
      <c r="C334" s="309">
        <v>30.53</v>
      </c>
      <c r="D334" s="233"/>
    </row>
    <row r="335">
      <c r="A335" s="307">
        <v>43346.0</v>
      </c>
      <c r="B335" s="310" t="s">
        <v>1597</v>
      </c>
      <c r="C335" s="309">
        <v>13.53</v>
      </c>
      <c r="D335" s="233"/>
    </row>
    <row r="336">
      <c r="A336" s="307">
        <v>43346.0</v>
      </c>
      <c r="B336" s="310" t="s">
        <v>1592</v>
      </c>
      <c r="C336" s="309">
        <v>1.01</v>
      </c>
      <c r="D336" s="233"/>
    </row>
    <row r="337">
      <c r="A337" s="307">
        <v>43346.0</v>
      </c>
      <c r="B337" s="310" t="s">
        <v>1592</v>
      </c>
      <c r="C337" s="309">
        <v>5.32</v>
      </c>
      <c r="D337" s="233"/>
    </row>
    <row r="338">
      <c r="A338" s="307">
        <v>43342.0</v>
      </c>
      <c r="B338" s="310" t="s">
        <v>1598</v>
      </c>
      <c r="C338" s="309">
        <v>25.15</v>
      </c>
      <c r="D338" s="233"/>
    </row>
    <row r="339">
      <c r="A339" s="184">
        <v>43341.0</v>
      </c>
      <c r="B339" s="311" t="s">
        <v>1591</v>
      </c>
      <c r="C339" s="233">
        <v>1.02</v>
      </c>
      <c r="D339" s="233"/>
    </row>
    <row r="340">
      <c r="A340" s="307">
        <v>43341.0</v>
      </c>
      <c r="B340" s="310" t="s">
        <v>1590</v>
      </c>
      <c r="C340" s="309">
        <v>9.03</v>
      </c>
      <c r="D340" s="233"/>
    </row>
    <row r="341">
      <c r="A341" s="307">
        <v>43341.0</v>
      </c>
      <c r="B341" s="310" t="s">
        <v>1592</v>
      </c>
      <c r="C341" s="309">
        <v>7.53</v>
      </c>
      <c r="D341" s="233"/>
    </row>
    <row r="342">
      <c r="A342" s="307">
        <v>43341.0</v>
      </c>
      <c r="B342" s="310" t="s">
        <v>1592</v>
      </c>
      <c r="C342" s="309">
        <v>8.56</v>
      </c>
      <c r="D342" s="233"/>
    </row>
    <row r="343">
      <c r="A343" s="307">
        <v>43341.0</v>
      </c>
      <c r="B343" s="310" t="s">
        <v>1590</v>
      </c>
      <c r="C343" s="309">
        <v>-2.01</v>
      </c>
      <c r="D343" s="233" t="s">
        <v>418</v>
      </c>
    </row>
    <row r="344">
      <c r="A344" s="307">
        <v>43341.0</v>
      </c>
      <c r="B344" s="310" t="s">
        <v>1590</v>
      </c>
      <c r="C344" s="309">
        <v>-3.05</v>
      </c>
      <c r="D344" s="233" t="s">
        <v>418</v>
      </c>
    </row>
    <row r="345">
      <c r="A345" s="307">
        <v>43341.0</v>
      </c>
      <c r="B345" s="310" t="s">
        <v>1590</v>
      </c>
      <c r="C345" s="309">
        <v>-2.02</v>
      </c>
      <c r="D345" s="233" t="s">
        <v>418</v>
      </c>
    </row>
    <row r="346">
      <c r="A346" s="307">
        <v>43341.0</v>
      </c>
      <c r="B346" s="310" t="s">
        <v>1592</v>
      </c>
      <c r="C346" s="309">
        <v>-8.07</v>
      </c>
      <c r="D346" s="233" t="s">
        <v>418</v>
      </c>
    </row>
    <row r="347">
      <c r="A347" s="307">
        <v>43340.0</v>
      </c>
      <c r="B347" s="310" t="s">
        <v>1590</v>
      </c>
      <c r="C347" s="309">
        <v>1.02</v>
      </c>
      <c r="D347" s="233"/>
    </row>
    <row r="348">
      <c r="A348" s="307">
        <v>43340.0</v>
      </c>
      <c r="B348" s="310" t="s">
        <v>1590</v>
      </c>
      <c r="C348" s="309">
        <v>4.41</v>
      </c>
      <c r="D348" s="233"/>
    </row>
    <row r="349">
      <c r="A349" s="307">
        <v>43340.0</v>
      </c>
      <c r="B349" s="310" t="s">
        <v>1590</v>
      </c>
      <c r="C349" s="309">
        <v>4.62</v>
      </c>
      <c r="D349" s="233"/>
    </row>
    <row r="350">
      <c r="A350" s="307">
        <v>43339.0</v>
      </c>
      <c r="B350" s="310" t="s">
        <v>1599</v>
      </c>
      <c r="C350" s="309">
        <v>-1.35</v>
      </c>
      <c r="D350" s="233" t="s">
        <v>418</v>
      </c>
    </row>
    <row r="351">
      <c r="A351" s="307">
        <v>43339.0</v>
      </c>
      <c r="B351" s="310">
        <v>630380.0</v>
      </c>
      <c r="C351" s="309">
        <v>-79.57</v>
      </c>
      <c r="D351" s="233" t="s">
        <v>418</v>
      </c>
    </row>
    <row r="352">
      <c r="A352" s="307">
        <v>43339.0</v>
      </c>
      <c r="B352" s="310" t="s">
        <v>1596</v>
      </c>
      <c r="C352" s="309">
        <v>-30.14</v>
      </c>
      <c r="D352" s="233" t="s">
        <v>418</v>
      </c>
    </row>
    <row r="353">
      <c r="A353" s="307">
        <v>43339.0</v>
      </c>
      <c r="B353" s="310" t="s">
        <v>1591</v>
      </c>
      <c r="C353" s="309">
        <v>-0.91</v>
      </c>
      <c r="D353" s="233" t="s">
        <v>418</v>
      </c>
    </row>
    <row r="354">
      <c r="A354" s="307">
        <v>43339.0</v>
      </c>
      <c r="B354" s="310" t="s">
        <v>1594</v>
      </c>
      <c r="C354" s="309">
        <v>-1.67</v>
      </c>
      <c r="D354" s="233" t="s">
        <v>418</v>
      </c>
    </row>
    <row r="355">
      <c r="A355" s="307">
        <v>43339.0</v>
      </c>
      <c r="B355" s="310" t="s">
        <v>1592</v>
      </c>
      <c r="C355" s="309">
        <v>-1.0</v>
      </c>
      <c r="D355" s="233" t="s">
        <v>418</v>
      </c>
    </row>
    <row r="356">
      <c r="A356" s="307">
        <v>43339.0</v>
      </c>
      <c r="B356" s="310" t="s">
        <v>1592</v>
      </c>
      <c r="C356" s="309">
        <v>-5.25</v>
      </c>
      <c r="D356" s="233" t="s">
        <v>418</v>
      </c>
    </row>
    <row r="357">
      <c r="A357" s="307">
        <v>43339.0</v>
      </c>
      <c r="B357" s="310" t="s">
        <v>1600</v>
      </c>
      <c r="C357" s="309">
        <v>-13.47</v>
      </c>
      <c r="D357" s="233" t="s">
        <v>418</v>
      </c>
    </row>
    <row r="358">
      <c r="A358" s="307">
        <v>43338.0</v>
      </c>
      <c r="B358" s="310" t="s">
        <v>1601</v>
      </c>
      <c r="C358" s="309">
        <v>-79.21</v>
      </c>
      <c r="D358" s="233" t="s">
        <v>418</v>
      </c>
    </row>
    <row r="359">
      <c r="A359" s="307">
        <v>43337.0</v>
      </c>
      <c r="B359" s="310" t="s">
        <v>1591</v>
      </c>
      <c r="C359" s="309">
        <v>5.29</v>
      </c>
      <c r="D359" s="233"/>
    </row>
    <row r="360">
      <c r="A360" s="307">
        <v>43337.0</v>
      </c>
      <c r="B360" s="310" t="s">
        <v>1590</v>
      </c>
      <c r="C360" s="309">
        <v>3.94</v>
      </c>
      <c r="D360" s="233"/>
    </row>
    <row r="361">
      <c r="A361" s="307">
        <v>43337.0</v>
      </c>
      <c r="B361" s="310" t="s">
        <v>1590</v>
      </c>
      <c r="C361" s="309">
        <v>6.04</v>
      </c>
      <c r="D361" s="233"/>
    </row>
    <row r="362">
      <c r="A362" s="307">
        <v>43335.0</v>
      </c>
      <c r="B362" s="310" t="s">
        <v>1598</v>
      </c>
      <c r="C362" s="309">
        <v>-25.11</v>
      </c>
      <c r="D362" s="233" t="s">
        <v>418</v>
      </c>
    </row>
    <row r="363">
      <c r="A363" s="307">
        <v>43335.0</v>
      </c>
      <c r="B363" s="310" t="s">
        <v>1596</v>
      </c>
      <c r="C363" s="309">
        <v>-30.53</v>
      </c>
      <c r="D363" s="233" t="s">
        <v>418</v>
      </c>
    </row>
    <row r="364">
      <c r="A364" s="307">
        <v>43335.0</v>
      </c>
      <c r="B364" s="310" t="s">
        <v>1592</v>
      </c>
      <c r="C364" s="309">
        <v>-7.52</v>
      </c>
      <c r="D364" s="233" t="s">
        <v>418</v>
      </c>
    </row>
    <row r="365">
      <c r="A365" s="307">
        <v>43335.0</v>
      </c>
      <c r="B365" s="310" t="s">
        <v>1592</v>
      </c>
      <c r="C365" s="309">
        <v>-8.55</v>
      </c>
      <c r="D365" s="233" t="s">
        <v>418</v>
      </c>
    </row>
    <row r="366">
      <c r="A366" s="307">
        <v>43335.0</v>
      </c>
      <c r="B366" s="310" t="s">
        <v>1591</v>
      </c>
      <c r="C366" s="309">
        <v>8.93</v>
      </c>
      <c r="D366" s="233"/>
    </row>
    <row r="367">
      <c r="A367" s="307">
        <v>43334.0</v>
      </c>
      <c r="B367" s="310" t="s">
        <v>1590</v>
      </c>
      <c r="C367" s="309">
        <v>12.61</v>
      </c>
      <c r="D367" s="233"/>
    </row>
    <row r="368">
      <c r="A368" s="307">
        <v>43334.0</v>
      </c>
      <c r="B368" s="310" t="s">
        <v>1590</v>
      </c>
      <c r="C368" s="309">
        <v>9.17</v>
      </c>
      <c r="D368" s="233"/>
    </row>
    <row r="369">
      <c r="A369" s="307">
        <v>43334.0</v>
      </c>
      <c r="B369" s="310" t="s">
        <v>1591</v>
      </c>
      <c r="C369" s="309">
        <v>-1.02</v>
      </c>
      <c r="D369" s="233" t="s">
        <v>418</v>
      </c>
    </row>
    <row r="370">
      <c r="A370" s="307">
        <v>43334.0</v>
      </c>
      <c r="B370" s="310" t="s">
        <v>1590</v>
      </c>
      <c r="C370" s="309">
        <v>-9.03</v>
      </c>
      <c r="D370" s="233" t="s">
        <v>418</v>
      </c>
    </row>
    <row r="371">
      <c r="A371" s="307">
        <v>43334.0</v>
      </c>
      <c r="B371" s="310" t="s">
        <v>1592</v>
      </c>
      <c r="C371" s="309">
        <v>-5.32</v>
      </c>
      <c r="D371" s="233" t="s">
        <v>418</v>
      </c>
    </row>
    <row r="372">
      <c r="A372" s="307">
        <v>43334.0</v>
      </c>
      <c r="B372" s="310" t="s">
        <v>1595</v>
      </c>
      <c r="C372" s="309">
        <v>-60.28</v>
      </c>
      <c r="D372" s="233" t="s">
        <v>418</v>
      </c>
    </row>
    <row r="373">
      <c r="A373" s="307">
        <v>43333.0</v>
      </c>
      <c r="B373" s="310" t="s">
        <v>1599</v>
      </c>
      <c r="C373" s="309">
        <v>-1.38</v>
      </c>
      <c r="D373" s="233" t="s">
        <v>418</v>
      </c>
    </row>
    <row r="374">
      <c r="A374" s="307">
        <v>43333.0</v>
      </c>
      <c r="B374" s="310">
        <v>530090.0</v>
      </c>
      <c r="C374" s="309">
        <v>-81.33</v>
      </c>
      <c r="D374" s="233" t="s">
        <v>418</v>
      </c>
    </row>
    <row r="375">
      <c r="A375" s="307">
        <v>43333.0</v>
      </c>
      <c r="B375" s="310" t="s">
        <v>1590</v>
      </c>
      <c r="C375" s="309">
        <v>-1.03</v>
      </c>
      <c r="D375" s="233" t="s">
        <v>418</v>
      </c>
    </row>
    <row r="376">
      <c r="A376" s="307">
        <v>43333.0</v>
      </c>
      <c r="B376" s="310" t="s">
        <v>1590</v>
      </c>
      <c r="C376" s="309">
        <v>-4.43</v>
      </c>
      <c r="D376" s="233" t="s">
        <v>418</v>
      </c>
    </row>
    <row r="377">
      <c r="A377" s="307">
        <v>43333.0</v>
      </c>
      <c r="B377" s="310" t="s">
        <v>1590</v>
      </c>
      <c r="C377" s="309">
        <v>-4.63</v>
      </c>
      <c r="D377" s="233" t="s">
        <v>418</v>
      </c>
    </row>
    <row r="378">
      <c r="A378" s="307">
        <v>43333.0</v>
      </c>
      <c r="B378" s="310" t="s">
        <v>1590</v>
      </c>
      <c r="C378" s="309">
        <v>1.17</v>
      </c>
      <c r="D378" s="233"/>
    </row>
    <row r="379">
      <c r="A379" s="307">
        <v>43333.0</v>
      </c>
      <c r="B379" s="310" t="s">
        <v>1590</v>
      </c>
      <c r="C379" s="309">
        <v>2.72</v>
      </c>
      <c r="D379" s="233"/>
    </row>
    <row r="380">
      <c r="A380" s="307">
        <v>43333.0</v>
      </c>
      <c r="B380" s="310" t="s">
        <v>1590</v>
      </c>
      <c r="C380" s="309">
        <v>3.5</v>
      </c>
      <c r="D380" s="233"/>
    </row>
    <row r="381">
      <c r="A381" s="307">
        <v>43332.0</v>
      </c>
      <c r="B381" s="310" t="s">
        <v>1598</v>
      </c>
      <c r="C381" s="309">
        <v>-25.15</v>
      </c>
      <c r="D381" s="233" t="s">
        <v>418</v>
      </c>
    </row>
    <row r="382">
      <c r="A382" s="307">
        <v>43331.0</v>
      </c>
      <c r="B382" s="310" t="s">
        <v>1591</v>
      </c>
      <c r="C382" s="309">
        <v>8.99</v>
      </c>
      <c r="D382" s="233"/>
    </row>
    <row r="383">
      <c r="A383" s="307">
        <v>43331.0</v>
      </c>
      <c r="B383" s="310" t="s">
        <v>1591</v>
      </c>
      <c r="C383" s="309">
        <v>-1.02</v>
      </c>
      <c r="D383" s="233" t="s">
        <v>418</v>
      </c>
    </row>
    <row r="384">
      <c r="A384" s="307">
        <v>43331.0</v>
      </c>
      <c r="B384" s="310" t="s">
        <v>1602</v>
      </c>
      <c r="C384" s="309">
        <v>-81.01</v>
      </c>
      <c r="D384" s="233" t="s">
        <v>418</v>
      </c>
    </row>
    <row r="385">
      <c r="A385" s="307">
        <v>43331.0</v>
      </c>
      <c r="B385" s="310" t="s">
        <v>1590</v>
      </c>
      <c r="C385" s="309">
        <v>-9.03</v>
      </c>
      <c r="D385" s="233" t="s">
        <v>418</v>
      </c>
    </row>
    <row r="386">
      <c r="A386" s="307">
        <v>43331.0</v>
      </c>
      <c r="B386" s="310" t="s">
        <v>1592</v>
      </c>
      <c r="C386" s="309">
        <v>-7.53</v>
      </c>
      <c r="D386" s="233" t="s">
        <v>418</v>
      </c>
    </row>
    <row r="387">
      <c r="A387" s="307">
        <v>43331.0</v>
      </c>
      <c r="B387" s="310" t="s">
        <v>1592</v>
      </c>
      <c r="C387" s="309">
        <v>-8.56</v>
      </c>
      <c r="D387" s="233" t="s">
        <v>418</v>
      </c>
    </row>
    <row r="388">
      <c r="A388" s="307">
        <v>43329.0</v>
      </c>
      <c r="B388" s="310" t="s">
        <v>1591</v>
      </c>
      <c r="C388" s="309">
        <v>-9.02</v>
      </c>
      <c r="D388" s="233" t="s">
        <v>418</v>
      </c>
    </row>
    <row r="389">
      <c r="A389" s="307">
        <v>43329.0</v>
      </c>
      <c r="B389" s="310" t="s">
        <v>1590</v>
      </c>
      <c r="C389" s="309">
        <v>-3.45</v>
      </c>
      <c r="D389" s="233" t="s">
        <v>418</v>
      </c>
    </row>
    <row r="390">
      <c r="A390" s="307">
        <v>43329.0</v>
      </c>
      <c r="B390" s="310" t="s">
        <v>1603</v>
      </c>
      <c r="C390" s="309">
        <v>-18.81</v>
      </c>
      <c r="D390" s="233" t="s">
        <v>418</v>
      </c>
    </row>
    <row r="391">
      <c r="A391" s="307">
        <v>43327.0</v>
      </c>
      <c r="B391" s="310" t="s">
        <v>1591</v>
      </c>
      <c r="C391" s="309">
        <v>-5.29</v>
      </c>
      <c r="D391" s="233" t="s">
        <v>418</v>
      </c>
    </row>
    <row r="392">
      <c r="A392" s="307">
        <v>43327.0</v>
      </c>
      <c r="B392" s="310" t="s">
        <v>1604</v>
      </c>
      <c r="C392" s="309">
        <v>-3.04</v>
      </c>
      <c r="D392" s="233" t="s">
        <v>418</v>
      </c>
    </row>
    <row r="393">
      <c r="A393" s="307">
        <v>43327.0</v>
      </c>
      <c r="B393" s="310" t="s">
        <v>1590</v>
      </c>
      <c r="C393" s="309">
        <v>-1.21</v>
      </c>
      <c r="D393" s="233" t="s">
        <v>418</v>
      </c>
    </row>
    <row r="394">
      <c r="A394" s="307">
        <v>43327.0</v>
      </c>
      <c r="B394" s="310" t="s">
        <v>1590</v>
      </c>
      <c r="C394" s="309">
        <v>-12.81</v>
      </c>
      <c r="D394" s="233" t="s">
        <v>418</v>
      </c>
    </row>
    <row r="395">
      <c r="A395" s="307">
        <v>43327.0</v>
      </c>
      <c r="B395" s="310" t="s">
        <v>1590</v>
      </c>
      <c r="C395" s="309">
        <v>-2.8</v>
      </c>
      <c r="D395" s="233" t="s">
        <v>418</v>
      </c>
    </row>
    <row r="396">
      <c r="A396" s="307">
        <v>43327.0</v>
      </c>
      <c r="B396" s="310" t="s">
        <v>1590</v>
      </c>
      <c r="C396" s="309">
        <v>-3.59</v>
      </c>
      <c r="D396" s="233" t="s">
        <v>418</v>
      </c>
    </row>
    <row r="397">
      <c r="A397" s="307">
        <v>43327.0</v>
      </c>
      <c r="B397" s="310" t="s">
        <v>1590</v>
      </c>
      <c r="C397" s="309">
        <v>-3.94</v>
      </c>
      <c r="D397" s="233" t="s">
        <v>418</v>
      </c>
    </row>
    <row r="398">
      <c r="A398" s="307">
        <v>43327.0</v>
      </c>
      <c r="B398" s="310" t="s">
        <v>1590</v>
      </c>
      <c r="C398" s="309">
        <v>-6.04</v>
      </c>
      <c r="D398" s="233" t="s">
        <v>418</v>
      </c>
    </row>
    <row r="399">
      <c r="A399" s="307">
        <v>43327.0</v>
      </c>
      <c r="B399" s="310" t="s">
        <v>1590</v>
      </c>
      <c r="C399" s="309">
        <v>-9.31</v>
      </c>
      <c r="D399" s="233" t="s">
        <v>418</v>
      </c>
    </row>
    <row r="400">
      <c r="A400" s="307">
        <v>43327.0</v>
      </c>
      <c r="B400" s="310" t="s">
        <v>1605</v>
      </c>
      <c r="C400" s="309">
        <v>500.0</v>
      </c>
      <c r="D400" s="233"/>
    </row>
    <row r="401">
      <c r="A401" s="307">
        <v>43325.0</v>
      </c>
      <c r="B401" s="310" t="s">
        <v>1591</v>
      </c>
      <c r="C401" s="309">
        <v>-8.93</v>
      </c>
      <c r="D401" s="233" t="s">
        <v>418</v>
      </c>
    </row>
    <row r="402">
      <c r="A402" s="307">
        <v>43322.0</v>
      </c>
      <c r="B402" s="310" t="s">
        <v>1591</v>
      </c>
      <c r="C402" s="309">
        <v>-1.93</v>
      </c>
      <c r="D402" s="233" t="s">
        <v>418</v>
      </c>
    </row>
    <row r="403">
      <c r="A403" s="307">
        <v>43320.0</v>
      </c>
      <c r="B403" s="310" t="s">
        <v>1591</v>
      </c>
      <c r="C403" s="309">
        <v>-8.99</v>
      </c>
      <c r="D403" s="233" t="s">
        <v>418</v>
      </c>
    </row>
    <row r="404">
      <c r="A404" s="307">
        <v>43320.0</v>
      </c>
      <c r="B404" s="310" t="s">
        <v>1604</v>
      </c>
      <c r="C404" s="309">
        <v>-2.95</v>
      </c>
      <c r="D404" s="233" t="s">
        <v>418</v>
      </c>
    </row>
    <row r="405">
      <c r="A405" s="307">
        <v>43320.0</v>
      </c>
      <c r="B405" s="310" t="s">
        <v>1592</v>
      </c>
      <c r="C405" s="309">
        <v>-5.04</v>
      </c>
      <c r="D405" s="233" t="s">
        <v>418</v>
      </c>
    </row>
    <row r="406">
      <c r="A406" s="307">
        <v>43319.0</v>
      </c>
      <c r="B406" s="310" t="s">
        <v>1453</v>
      </c>
      <c r="C406" s="309">
        <v>100.0</v>
      </c>
      <c r="D406" s="233"/>
    </row>
    <row r="407">
      <c r="A407" s="184">
        <v>43291.0</v>
      </c>
      <c r="B407" s="311" t="s">
        <v>1531</v>
      </c>
      <c r="C407" s="233">
        <v>-340.6</v>
      </c>
      <c r="D407" s="233"/>
    </row>
    <row r="408">
      <c r="A408" s="307">
        <v>43290.0</v>
      </c>
      <c r="B408" s="310" t="s">
        <v>1513</v>
      </c>
      <c r="C408" s="309">
        <v>-108000.0</v>
      </c>
      <c r="D408" s="233"/>
    </row>
    <row r="409">
      <c r="A409" s="307">
        <v>43286.0</v>
      </c>
      <c r="B409" s="310" t="s">
        <v>1489</v>
      </c>
      <c r="C409" s="309">
        <v>207.0</v>
      </c>
      <c r="D409" s="233"/>
    </row>
    <row r="410">
      <c r="A410" s="307">
        <v>43286.0</v>
      </c>
      <c r="B410" s="310" t="s">
        <v>1586</v>
      </c>
      <c r="C410" s="309">
        <v>-890.0</v>
      </c>
      <c r="D410" s="233"/>
    </row>
    <row r="411">
      <c r="A411" s="307">
        <v>43284.0</v>
      </c>
      <c r="B411" s="310" t="s">
        <v>1490</v>
      </c>
      <c r="C411" s="309">
        <v>494.4</v>
      </c>
      <c r="D411" s="233"/>
    </row>
    <row r="412">
      <c r="A412" s="184">
        <v>43276.0</v>
      </c>
      <c r="B412" s="311" t="s">
        <v>1565</v>
      </c>
      <c r="C412" s="233">
        <v>-0.8</v>
      </c>
      <c r="D412" s="233" t="s">
        <v>418</v>
      </c>
    </row>
    <row r="413">
      <c r="A413" s="307">
        <v>43264.0</v>
      </c>
      <c r="B413" s="310" t="s">
        <v>1606</v>
      </c>
      <c r="C413" s="309">
        <v>-866.73</v>
      </c>
      <c r="D413" s="233" t="s">
        <v>418</v>
      </c>
    </row>
    <row r="414">
      <c r="A414" s="307">
        <v>43262.0</v>
      </c>
      <c r="B414" s="310" t="s">
        <v>1531</v>
      </c>
      <c r="C414" s="309">
        <v>-340.6</v>
      </c>
      <c r="D414" s="233"/>
    </row>
    <row r="415">
      <c r="A415" s="307">
        <v>43262.0</v>
      </c>
      <c r="B415" s="310" t="s">
        <v>1607</v>
      </c>
      <c r="C415" s="309">
        <v>-27.0</v>
      </c>
      <c r="D415" s="233" t="s">
        <v>418</v>
      </c>
    </row>
    <row r="416">
      <c r="A416" s="307">
        <v>43251.0</v>
      </c>
      <c r="B416" s="310" t="s">
        <v>1608</v>
      </c>
      <c r="C416" s="309">
        <v>230.0</v>
      </c>
      <c r="D416" s="233"/>
    </row>
    <row r="417">
      <c r="A417" s="307">
        <v>43249.0</v>
      </c>
      <c r="B417" s="310" t="s">
        <v>1609</v>
      </c>
      <c r="C417" s="309">
        <v>-20.0</v>
      </c>
      <c r="D417" s="233" t="s">
        <v>418</v>
      </c>
    </row>
    <row r="418">
      <c r="A418" s="307">
        <v>43249.0</v>
      </c>
      <c r="B418" s="310" t="s">
        <v>1610</v>
      </c>
      <c r="C418" s="309">
        <v>-42.5</v>
      </c>
      <c r="D418" s="233" t="s">
        <v>418</v>
      </c>
    </row>
    <row r="419">
      <c r="A419" s="307">
        <v>43248.0</v>
      </c>
      <c r="B419" s="310" t="s">
        <v>1611</v>
      </c>
      <c r="C419" s="309">
        <v>-5.2</v>
      </c>
      <c r="D419" s="233" t="s">
        <v>418</v>
      </c>
    </row>
    <row r="420">
      <c r="A420" s="307">
        <v>43248.0</v>
      </c>
      <c r="B420" s="310" t="s">
        <v>1611</v>
      </c>
      <c r="C420" s="309">
        <v>-0.8</v>
      </c>
      <c r="D420" s="233" t="s">
        <v>418</v>
      </c>
    </row>
    <row r="421">
      <c r="A421" s="307">
        <v>43246.0</v>
      </c>
      <c r="B421" s="310" t="s">
        <v>1612</v>
      </c>
      <c r="C421" s="309">
        <v>-22.9</v>
      </c>
      <c r="D421" s="233" t="s">
        <v>418</v>
      </c>
    </row>
    <row r="422">
      <c r="A422" s="307">
        <v>43244.0</v>
      </c>
      <c r="B422" s="310" t="s">
        <v>1613</v>
      </c>
      <c r="C422" s="309">
        <v>-20.84</v>
      </c>
      <c r="D422" s="233" t="s">
        <v>418</v>
      </c>
    </row>
    <row r="423">
      <c r="A423" s="307">
        <v>43243.0</v>
      </c>
      <c r="B423" s="310" t="s">
        <v>1614</v>
      </c>
      <c r="C423" s="309">
        <v>17.96</v>
      </c>
      <c r="D423" s="233"/>
    </row>
    <row r="424">
      <c r="A424" s="307">
        <v>43243.0</v>
      </c>
      <c r="B424" s="310" t="s">
        <v>1540</v>
      </c>
      <c r="C424" s="309">
        <v>35.89</v>
      </c>
      <c r="D424" s="233"/>
    </row>
    <row r="425">
      <c r="A425" s="307">
        <v>43242.0</v>
      </c>
      <c r="B425" s="310" t="s">
        <v>1615</v>
      </c>
      <c r="C425" s="309">
        <v>-35.89</v>
      </c>
      <c r="D425" s="233"/>
    </row>
    <row r="426">
      <c r="A426" s="307">
        <v>43229.0</v>
      </c>
      <c r="B426" s="310" t="s">
        <v>1453</v>
      </c>
      <c r="C426" s="309">
        <v>100.0</v>
      </c>
      <c r="D426" s="233"/>
    </row>
    <row r="427">
      <c r="A427" s="307">
        <v>43229.0</v>
      </c>
      <c r="B427" s="310" t="s">
        <v>1611</v>
      </c>
      <c r="C427" s="309">
        <v>-2.0</v>
      </c>
      <c r="D427" s="233" t="s">
        <v>418</v>
      </c>
    </row>
    <row r="428">
      <c r="A428" s="184">
        <v>43227.0</v>
      </c>
      <c r="B428" s="311" t="s">
        <v>1586</v>
      </c>
      <c r="C428" s="233">
        <v>-890.0</v>
      </c>
      <c r="D428" s="233"/>
    </row>
    <row r="429">
      <c r="A429" s="307">
        <v>43227.0</v>
      </c>
      <c r="B429" s="310" t="s">
        <v>1616</v>
      </c>
      <c r="C429" s="309">
        <v>700.0</v>
      </c>
      <c r="D429" s="233"/>
    </row>
    <row r="430">
      <c r="A430" s="307">
        <v>43225.0</v>
      </c>
      <c r="B430" s="310" t="s">
        <v>1617</v>
      </c>
      <c r="C430" s="309">
        <v>-5.44</v>
      </c>
      <c r="D430" s="233" t="s">
        <v>418</v>
      </c>
    </row>
    <row r="431">
      <c r="A431" s="184">
        <v>43224.0</v>
      </c>
      <c r="B431" s="311" t="s">
        <v>1489</v>
      </c>
      <c r="C431" s="233">
        <v>207.0</v>
      </c>
      <c r="D431" s="233"/>
    </row>
    <row r="432">
      <c r="A432" s="307">
        <v>43207.0</v>
      </c>
      <c r="B432" s="310" t="s">
        <v>1565</v>
      </c>
      <c r="C432" s="309">
        <v>-0.8</v>
      </c>
      <c r="D432" s="233" t="s">
        <v>418</v>
      </c>
    </row>
    <row r="433">
      <c r="A433" s="307">
        <v>43202.0</v>
      </c>
      <c r="B433" s="310" t="s">
        <v>1611</v>
      </c>
      <c r="C433" s="309">
        <v>-2.6</v>
      </c>
      <c r="D433" s="233" t="s">
        <v>418</v>
      </c>
    </row>
    <row r="434">
      <c r="A434" s="307">
        <v>43202.0</v>
      </c>
      <c r="B434" s="310" t="s">
        <v>1611</v>
      </c>
      <c r="C434" s="309">
        <v>-1.3</v>
      </c>
      <c r="D434" s="233" t="s">
        <v>418</v>
      </c>
    </row>
    <row r="435">
      <c r="A435" s="307">
        <v>43200.0</v>
      </c>
      <c r="B435" s="310" t="s">
        <v>1531</v>
      </c>
      <c r="C435" s="309">
        <v>-340.6</v>
      </c>
      <c r="D435" s="233"/>
    </row>
    <row r="436">
      <c r="A436" s="307">
        <v>43199.0</v>
      </c>
      <c r="B436" s="310" t="s">
        <v>1618</v>
      </c>
      <c r="C436" s="309">
        <v>-0.5</v>
      </c>
      <c r="D436" s="233" t="s">
        <v>418</v>
      </c>
    </row>
    <row r="437">
      <c r="A437" s="307">
        <v>43195.0</v>
      </c>
      <c r="B437" s="310" t="s">
        <v>1586</v>
      </c>
      <c r="C437" s="309">
        <v>-890.0</v>
      </c>
      <c r="D437" s="233"/>
    </row>
    <row r="438">
      <c r="A438" s="307">
        <v>43195.0</v>
      </c>
      <c r="B438" s="310" t="s">
        <v>1489</v>
      </c>
      <c r="C438" s="309">
        <v>207.0</v>
      </c>
      <c r="D438" s="233"/>
    </row>
    <row r="439">
      <c r="A439" s="307">
        <v>43195.0</v>
      </c>
      <c r="B439" s="310" t="s">
        <v>1616</v>
      </c>
      <c r="C439" s="309">
        <v>700.0</v>
      </c>
      <c r="D439" s="233"/>
    </row>
    <row r="440">
      <c r="A440" s="312">
        <v>43193.0</v>
      </c>
      <c r="B440" s="313" t="s">
        <v>1490</v>
      </c>
      <c r="C440" s="309">
        <v>494.4</v>
      </c>
      <c r="D440" s="268"/>
    </row>
    <row r="441">
      <c r="A441" s="307">
        <v>43193.0</v>
      </c>
      <c r="B441" s="310" t="s">
        <v>1490</v>
      </c>
      <c r="C441" s="309">
        <v>505.92</v>
      </c>
      <c r="D441" s="233"/>
    </row>
    <row r="442">
      <c r="A442" s="307">
        <v>43186.0</v>
      </c>
      <c r="B442" s="310" t="s">
        <v>1565</v>
      </c>
      <c r="C442" s="309">
        <v>-1.6</v>
      </c>
      <c r="D442" s="233" t="s">
        <v>418</v>
      </c>
    </row>
    <row r="443">
      <c r="A443" s="184">
        <v>43186.0</v>
      </c>
      <c r="B443" s="311" t="s">
        <v>1611</v>
      </c>
      <c r="C443" s="233">
        <v>-0.8</v>
      </c>
      <c r="D443" s="233" t="s">
        <v>418</v>
      </c>
    </row>
    <row r="444">
      <c r="A444" s="307">
        <v>43179.0</v>
      </c>
      <c r="B444" s="310" t="s">
        <v>1619</v>
      </c>
      <c r="C444" s="309">
        <v>-3.0</v>
      </c>
      <c r="D444" s="233" t="s">
        <v>418</v>
      </c>
    </row>
    <row r="445">
      <c r="A445" s="307">
        <v>43178.0</v>
      </c>
      <c r="B445" s="310" t="s">
        <v>1613</v>
      </c>
      <c r="C445" s="309">
        <v>-21.34</v>
      </c>
      <c r="D445" s="233" t="s">
        <v>418</v>
      </c>
    </row>
    <row r="446">
      <c r="A446" s="307">
        <v>43173.0</v>
      </c>
      <c r="B446" s="310" t="s">
        <v>1611</v>
      </c>
      <c r="C446" s="309">
        <v>-0.8</v>
      </c>
      <c r="D446" s="233" t="s">
        <v>418</v>
      </c>
    </row>
    <row r="447">
      <c r="A447" s="307">
        <v>43171.0</v>
      </c>
      <c r="B447" s="310" t="s">
        <v>1620</v>
      </c>
      <c r="C447" s="309">
        <v>100.0</v>
      </c>
      <c r="D447" s="233"/>
    </row>
    <row r="448">
      <c r="A448" s="307">
        <v>43171.0</v>
      </c>
      <c r="B448" s="310" t="s">
        <v>1531</v>
      </c>
      <c r="C448" s="309">
        <v>-340.6</v>
      </c>
      <c r="D448" s="233"/>
    </row>
    <row r="449">
      <c r="A449" s="307">
        <v>43164.0</v>
      </c>
      <c r="B449" s="310" t="s">
        <v>1621</v>
      </c>
      <c r="C449" s="309">
        <v>-90.0</v>
      </c>
      <c r="D449" s="233" t="s">
        <v>418</v>
      </c>
    </row>
    <row r="450">
      <c r="A450" s="307">
        <v>43164.0</v>
      </c>
      <c r="B450" s="310" t="s">
        <v>1489</v>
      </c>
      <c r="C450" s="309">
        <v>207.0</v>
      </c>
      <c r="D450" s="233"/>
    </row>
    <row r="451">
      <c r="A451" s="184">
        <v>43164.0</v>
      </c>
      <c r="B451" s="311" t="s">
        <v>1622</v>
      </c>
      <c r="C451" s="233">
        <v>-285.0</v>
      </c>
      <c r="D451" s="233"/>
    </row>
    <row r="452">
      <c r="A452" s="184">
        <v>43164.0</v>
      </c>
      <c r="B452" s="311" t="s">
        <v>1586</v>
      </c>
      <c r="C452" s="233">
        <v>-890.0</v>
      </c>
      <c r="D452" s="233"/>
    </row>
    <row r="453">
      <c r="A453" s="184">
        <v>43164.0</v>
      </c>
      <c r="B453" s="311" t="s">
        <v>1616</v>
      </c>
      <c r="C453" s="233">
        <v>700.0</v>
      </c>
      <c r="D453" s="233"/>
    </row>
    <row r="454">
      <c r="A454" s="184">
        <v>43160.0</v>
      </c>
      <c r="B454" s="311" t="s">
        <v>1611</v>
      </c>
      <c r="C454" s="233">
        <v>-2.0</v>
      </c>
      <c r="D454" s="233" t="s">
        <v>418</v>
      </c>
    </row>
    <row r="455">
      <c r="A455" s="184">
        <v>43160.0</v>
      </c>
      <c r="B455" s="311" t="s">
        <v>1490</v>
      </c>
      <c r="C455" s="233">
        <v>456.96</v>
      </c>
      <c r="D455" s="233"/>
    </row>
    <row r="456">
      <c r="A456" s="307">
        <v>43158.0</v>
      </c>
      <c r="B456" s="310" t="s">
        <v>1565</v>
      </c>
      <c r="C456" s="309">
        <v>-3.6</v>
      </c>
      <c r="D456" s="233" t="s">
        <v>418</v>
      </c>
    </row>
    <row r="457">
      <c r="A457" s="307">
        <v>43151.0</v>
      </c>
      <c r="B457" s="310" t="s">
        <v>1623</v>
      </c>
      <c r="C457" s="309">
        <v>-1.0</v>
      </c>
      <c r="D457" s="233" t="s">
        <v>418</v>
      </c>
    </row>
    <row r="458">
      <c r="A458" s="307">
        <v>43145.0</v>
      </c>
      <c r="B458" s="310" t="s">
        <v>1611</v>
      </c>
      <c r="C458" s="309">
        <v>-0.8</v>
      </c>
      <c r="D458" s="233" t="s">
        <v>418</v>
      </c>
    </row>
    <row r="459">
      <c r="A459" s="307">
        <v>43143.0</v>
      </c>
      <c r="B459" s="310" t="s">
        <v>1531</v>
      </c>
      <c r="C459" s="309">
        <v>-340.6</v>
      </c>
      <c r="D459" s="233"/>
    </row>
    <row r="460">
      <c r="A460" s="307">
        <v>43138.0</v>
      </c>
      <c r="B460" s="310" t="s">
        <v>1624</v>
      </c>
      <c r="C460" s="309">
        <v>1.32</v>
      </c>
      <c r="D460" s="233"/>
    </row>
    <row r="461">
      <c r="A461" s="307">
        <v>43136.0</v>
      </c>
      <c r="B461" s="310" t="s">
        <v>1586</v>
      </c>
      <c r="C461" s="309">
        <v>-890.0</v>
      </c>
      <c r="D461" s="233"/>
    </row>
    <row r="462">
      <c r="A462" s="307">
        <v>43136.0</v>
      </c>
      <c r="B462" s="310" t="s">
        <v>1489</v>
      </c>
      <c r="C462" s="309">
        <v>207.0</v>
      </c>
      <c r="D462" s="233"/>
    </row>
    <row r="463">
      <c r="A463" s="307">
        <v>43136.0</v>
      </c>
      <c r="B463" s="310" t="s">
        <v>1616</v>
      </c>
      <c r="C463" s="309">
        <v>700.0</v>
      </c>
      <c r="D463" s="233"/>
    </row>
    <row r="464">
      <c r="A464" s="307">
        <v>43134.0</v>
      </c>
      <c r="B464" s="310" t="s">
        <v>1625</v>
      </c>
      <c r="C464" s="309">
        <v>1.13</v>
      </c>
      <c r="D464" s="233"/>
    </row>
    <row r="465">
      <c r="A465" s="307">
        <v>43133.0</v>
      </c>
      <c r="B465" s="310" t="s">
        <v>1613</v>
      </c>
      <c r="C465" s="309" t="s">
        <v>1626</v>
      </c>
      <c r="D465" s="233"/>
    </row>
    <row r="466">
      <c r="A466" s="307">
        <v>43132.0</v>
      </c>
      <c r="B466" s="310" t="s">
        <v>1490</v>
      </c>
      <c r="C466" s="309">
        <v>505.92</v>
      </c>
      <c r="D466" s="233"/>
    </row>
    <row r="467">
      <c r="A467" s="307">
        <v>43132.0</v>
      </c>
      <c r="B467" s="310" t="s">
        <v>1627</v>
      </c>
      <c r="C467" s="309">
        <v>-6.25</v>
      </c>
      <c r="D467" s="233" t="s">
        <v>418</v>
      </c>
    </row>
    <row r="468">
      <c r="A468" s="307">
        <v>43127.0</v>
      </c>
      <c r="B468" s="310" t="s">
        <v>1628</v>
      </c>
      <c r="C468" s="309">
        <v>-3.41</v>
      </c>
      <c r="D468" s="233" t="s">
        <v>418</v>
      </c>
    </row>
    <row r="469">
      <c r="A469" s="307">
        <v>43126.0</v>
      </c>
      <c r="B469" s="310" t="s">
        <v>1629</v>
      </c>
      <c r="C469" s="309">
        <v>100.0</v>
      </c>
      <c r="D469" s="233"/>
    </row>
    <row r="470">
      <c r="A470" s="307">
        <v>43124.0</v>
      </c>
      <c r="B470" s="310" t="s">
        <v>1539</v>
      </c>
      <c r="C470" s="309">
        <v>20.0</v>
      </c>
      <c r="D470" s="233"/>
    </row>
    <row r="471">
      <c r="A471" s="307">
        <v>43124.0</v>
      </c>
      <c r="B471" s="310" t="s">
        <v>1630</v>
      </c>
      <c r="C471" s="309">
        <v>-20.0</v>
      </c>
      <c r="D471" s="233"/>
    </row>
    <row r="472">
      <c r="A472" s="307">
        <v>43116.0</v>
      </c>
      <c r="B472" s="310" t="s">
        <v>1631</v>
      </c>
      <c r="C472" s="309">
        <v>-2.9</v>
      </c>
      <c r="D472" s="233" t="s">
        <v>418</v>
      </c>
    </row>
    <row r="473">
      <c r="A473" s="307">
        <v>43116.0</v>
      </c>
      <c r="B473" s="310" t="s">
        <v>1631</v>
      </c>
      <c r="C473" s="309">
        <v>-2.74</v>
      </c>
      <c r="D473" s="233" t="s">
        <v>418</v>
      </c>
    </row>
    <row r="474">
      <c r="A474" s="307">
        <v>43115.0</v>
      </c>
      <c r="B474" s="310" t="s">
        <v>1632</v>
      </c>
      <c r="C474" s="309">
        <v>-74.82</v>
      </c>
      <c r="D474" s="233" t="s">
        <v>418</v>
      </c>
    </row>
    <row r="475">
      <c r="A475" s="307">
        <v>43112.0</v>
      </c>
      <c r="B475" s="310" t="s">
        <v>1586</v>
      </c>
      <c r="C475" s="309" t="s">
        <v>1633</v>
      </c>
      <c r="D475" s="233"/>
    </row>
    <row r="476">
      <c r="A476" s="307">
        <v>43111.0</v>
      </c>
      <c r="B476" s="310" t="s">
        <v>1539</v>
      </c>
      <c r="C476" s="309">
        <v>400.0</v>
      </c>
      <c r="D476" s="233"/>
    </row>
    <row r="477">
      <c r="A477" s="307">
        <v>43111.0</v>
      </c>
      <c r="B477" s="310" t="s">
        <v>1634</v>
      </c>
      <c r="C477" s="309">
        <v>-2.01</v>
      </c>
      <c r="D477" s="233" t="s">
        <v>418</v>
      </c>
    </row>
    <row r="478">
      <c r="A478" s="307">
        <v>43111.0</v>
      </c>
      <c r="B478" s="310" t="s">
        <v>1635</v>
      </c>
      <c r="C478" s="309">
        <v>-2.39</v>
      </c>
      <c r="D478" s="233" t="s">
        <v>418</v>
      </c>
    </row>
    <row r="479">
      <c r="A479" s="307">
        <v>43110.0</v>
      </c>
      <c r="B479" s="310" t="s">
        <v>1636</v>
      </c>
      <c r="C479" s="309">
        <v>-400.0</v>
      </c>
      <c r="D479" s="233"/>
    </row>
    <row r="480">
      <c r="A480" s="307">
        <v>43110.0</v>
      </c>
      <c r="B480" s="310" t="s">
        <v>1531</v>
      </c>
      <c r="C480" s="309">
        <v>-340.6</v>
      </c>
      <c r="D480" s="233"/>
    </row>
    <row r="481">
      <c r="A481" s="307">
        <v>43109.0</v>
      </c>
      <c r="B481" s="310" t="s">
        <v>1637</v>
      </c>
      <c r="C481" s="309">
        <v>-3.19</v>
      </c>
      <c r="D481" s="233" t="s">
        <v>418</v>
      </c>
    </row>
    <row r="482">
      <c r="A482" s="307">
        <v>43109.0</v>
      </c>
      <c r="B482" s="310" t="s">
        <v>1637</v>
      </c>
      <c r="C482" s="309">
        <v>-2.94</v>
      </c>
      <c r="D482" s="233" t="s">
        <v>418</v>
      </c>
    </row>
    <row r="483">
      <c r="A483" s="307">
        <v>43109.0</v>
      </c>
      <c r="B483" s="310" t="s">
        <v>1637</v>
      </c>
      <c r="C483" s="309">
        <v>-1.13</v>
      </c>
      <c r="D483" s="233" t="s">
        <v>418</v>
      </c>
    </row>
    <row r="484">
      <c r="A484" s="307">
        <v>43108.0</v>
      </c>
      <c r="B484" s="310" t="s">
        <v>1638</v>
      </c>
      <c r="C484" s="309">
        <v>-3.95</v>
      </c>
      <c r="D484" s="233" t="s">
        <v>418</v>
      </c>
    </row>
    <row r="485">
      <c r="A485" s="307">
        <v>43107.0</v>
      </c>
      <c r="B485" s="310" t="s">
        <v>1639</v>
      </c>
      <c r="C485" s="309">
        <v>-7.37</v>
      </c>
      <c r="D485" s="233" t="s">
        <v>418</v>
      </c>
    </row>
    <row r="486">
      <c r="A486" s="184">
        <v>43105.0</v>
      </c>
      <c r="B486" s="164" t="s">
        <v>1489</v>
      </c>
      <c r="C486" s="235">
        <v>207.0</v>
      </c>
      <c r="D486" s="235"/>
    </row>
    <row r="487">
      <c r="A487" s="184">
        <v>43105.0</v>
      </c>
      <c r="B487" s="229" t="s">
        <v>1640</v>
      </c>
      <c r="C487" s="233">
        <v>40.0</v>
      </c>
      <c r="D487" s="235"/>
    </row>
    <row r="488">
      <c r="A488" s="184">
        <v>43105.0</v>
      </c>
      <c r="B488" s="229" t="s">
        <v>1586</v>
      </c>
      <c r="C488" s="233">
        <v>890.0</v>
      </c>
      <c r="D488" s="235"/>
    </row>
    <row r="489">
      <c r="A489" s="184">
        <v>43105.0</v>
      </c>
      <c r="B489" s="229" t="s">
        <v>1616</v>
      </c>
      <c r="C489" s="233">
        <v>700.0</v>
      </c>
      <c r="D489" s="235"/>
    </row>
    <row r="490">
      <c r="A490" s="307">
        <v>43104.0</v>
      </c>
      <c r="B490" s="310" t="s">
        <v>1628</v>
      </c>
      <c r="C490" s="309">
        <v>-3.8</v>
      </c>
      <c r="D490" s="233" t="s">
        <v>418</v>
      </c>
    </row>
    <row r="491">
      <c r="A491" s="307">
        <v>43104.0</v>
      </c>
      <c r="B491" s="314" t="s">
        <v>1513</v>
      </c>
      <c r="C491" s="309">
        <v>-30000.0</v>
      </c>
      <c r="D491" s="233"/>
    </row>
    <row r="492">
      <c r="A492" s="307">
        <v>43103.0</v>
      </c>
      <c r="B492" s="314" t="s">
        <v>1641</v>
      </c>
      <c r="C492" s="309">
        <v>5000.0</v>
      </c>
      <c r="D492" s="233"/>
    </row>
    <row r="493">
      <c r="A493" s="307">
        <v>43103.0</v>
      </c>
      <c r="B493" s="314" t="s">
        <v>1642</v>
      </c>
      <c r="C493" s="309">
        <v>505.92</v>
      </c>
      <c r="D493" s="233"/>
    </row>
    <row r="494">
      <c r="A494" s="307">
        <v>43102.0</v>
      </c>
      <c r="B494" s="314" t="s">
        <v>1643</v>
      </c>
      <c r="C494" s="309">
        <v>400.0</v>
      </c>
      <c r="D494" s="233"/>
    </row>
    <row r="495">
      <c r="A495" s="307">
        <v>43102.0</v>
      </c>
      <c r="B495" s="314" t="s">
        <v>1641</v>
      </c>
      <c r="C495" s="309">
        <v>25000.0</v>
      </c>
      <c r="D495" s="233"/>
    </row>
    <row r="496">
      <c r="A496" s="307">
        <v>43096.0</v>
      </c>
      <c r="B496" s="314" t="s">
        <v>1575</v>
      </c>
      <c r="C496" s="309">
        <v>-259.0</v>
      </c>
      <c r="D496" s="233"/>
    </row>
    <row r="497">
      <c r="A497" s="307">
        <v>43088.0</v>
      </c>
      <c r="B497" s="314" t="s">
        <v>1644</v>
      </c>
      <c r="C497" s="309">
        <v>110.0</v>
      </c>
      <c r="D497" s="233"/>
    </row>
    <row r="498">
      <c r="A498" s="307">
        <v>43083.0</v>
      </c>
      <c r="B498" s="314" t="s">
        <v>1645</v>
      </c>
      <c r="C498" s="309">
        <v>-6.05</v>
      </c>
      <c r="D498" s="233" t="s">
        <v>418</v>
      </c>
    </row>
    <row r="499">
      <c r="A499" s="307">
        <v>43083.0</v>
      </c>
      <c r="B499" s="314" t="s">
        <v>1646</v>
      </c>
      <c r="C499" s="309">
        <v>-9.35</v>
      </c>
      <c r="D499" s="233" t="s">
        <v>418</v>
      </c>
    </row>
    <row r="500">
      <c r="A500" s="307">
        <v>43083.0</v>
      </c>
      <c r="B500" s="314" t="s">
        <v>1642</v>
      </c>
      <c r="C500" s="309">
        <v>152.45</v>
      </c>
      <c r="D500" s="233"/>
    </row>
    <row r="501">
      <c r="A501" s="307">
        <v>43080.0</v>
      </c>
      <c r="B501" s="314" t="s">
        <v>1531</v>
      </c>
      <c r="C501" s="309">
        <v>-340.6</v>
      </c>
      <c r="D501" s="233"/>
    </row>
    <row r="502">
      <c r="A502" s="184">
        <v>43080.0</v>
      </c>
      <c r="B502" s="19" t="s">
        <v>1637</v>
      </c>
      <c r="C502" s="233">
        <v>-1.32</v>
      </c>
      <c r="D502" s="233" t="s">
        <v>418</v>
      </c>
    </row>
    <row r="503">
      <c r="A503" s="184">
        <v>43076.0</v>
      </c>
      <c r="B503" s="19" t="s">
        <v>1647</v>
      </c>
      <c r="C503" s="233">
        <v>35.1</v>
      </c>
      <c r="D503" s="233"/>
    </row>
    <row r="504">
      <c r="A504" s="184">
        <v>43075.0</v>
      </c>
      <c r="B504" s="19" t="s">
        <v>1648</v>
      </c>
      <c r="C504" s="233">
        <v>700.0</v>
      </c>
      <c r="D504" s="233"/>
    </row>
    <row r="505">
      <c r="A505" s="184">
        <v>43074.0</v>
      </c>
      <c r="B505" s="19" t="s">
        <v>1489</v>
      </c>
      <c r="C505" s="233">
        <v>207.0</v>
      </c>
      <c r="D505" s="233"/>
    </row>
    <row r="506">
      <c r="A506" s="184">
        <v>43074.0</v>
      </c>
      <c r="B506" s="19" t="s">
        <v>1649</v>
      </c>
      <c r="C506" s="233">
        <v>-101.0</v>
      </c>
      <c r="D506" s="233" t="s">
        <v>418</v>
      </c>
    </row>
    <row r="507">
      <c r="A507" s="184">
        <v>43074.0</v>
      </c>
      <c r="B507" s="19" t="s">
        <v>1586</v>
      </c>
      <c r="C507" s="233">
        <v>-890.0</v>
      </c>
      <c r="D507" s="233"/>
    </row>
    <row r="508">
      <c r="A508" s="184">
        <v>43073.0</v>
      </c>
      <c r="B508" s="19" t="s">
        <v>1588</v>
      </c>
      <c r="C508" s="233">
        <v>1.0</v>
      </c>
      <c r="D508" s="233"/>
    </row>
    <row r="509">
      <c r="A509" s="184">
        <v>43073.0</v>
      </c>
      <c r="B509" s="19" t="s">
        <v>1650</v>
      </c>
      <c r="C509" s="233">
        <v>-38.0</v>
      </c>
      <c r="D509" s="233" t="s">
        <v>418</v>
      </c>
    </row>
    <row r="510">
      <c r="A510" s="184">
        <v>43073.0</v>
      </c>
      <c r="B510" s="19" t="s">
        <v>1588</v>
      </c>
      <c r="C510" s="233">
        <v>-1.0</v>
      </c>
      <c r="D510" s="233"/>
    </row>
    <row r="511">
      <c r="A511" s="184">
        <v>43073.0</v>
      </c>
      <c r="B511" s="19" t="s">
        <v>1642</v>
      </c>
      <c r="C511" s="233">
        <v>489.6</v>
      </c>
      <c r="D511" s="233"/>
    </row>
    <row r="512">
      <c r="A512" s="184">
        <v>43069.0</v>
      </c>
      <c r="B512" s="19" t="s">
        <v>1637</v>
      </c>
      <c r="C512" s="233">
        <v>-21.99</v>
      </c>
      <c r="D512" s="233" t="s">
        <v>418</v>
      </c>
    </row>
    <row r="513">
      <c r="A513" s="184">
        <v>43068.0</v>
      </c>
      <c r="B513" s="19" t="s">
        <v>1513</v>
      </c>
      <c r="C513" s="233">
        <v>-10000.0</v>
      </c>
      <c r="D513" s="233"/>
    </row>
    <row r="514">
      <c r="A514" s="184">
        <v>43068.0</v>
      </c>
      <c r="B514" s="19" t="s">
        <v>1651</v>
      </c>
      <c r="C514" s="233">
        <v>10000.0</v>
      </c>
      <c r="D514" s="233"/>
    </row>
    <row r="515">
      <c r="A515" s="184">
        <v>43067.0</v>
      </c>
      <c r="B515" s="19" t="s">
        <v>1652</v>
      </c>
      <c r="C515" s="233">
        <v>-989.01</v>
      </c>
      <c r="D515" s="233"/>
    </row>
    <row r="516">
      <c r="A516" s="184">
        <v>43063.0</v>
      </c>
      <c r="B516" s="19" t="s">
        <v>1637</v>
      </c>
      <c r="C516" s="233">
        <v>-83.27</v>
      </c>
      <c r="D516" s="233" t="s">
        <v>418</v>
      </c>
    </row>
    <row r="517">
      <c r="A517" s="184">
        <v>43061.0</v>
      </c>
      <c r="B517" s="19" t="s">
        <v>1653</v>
      </c>
      <c r="C517" s="233">
        <v>-5.3</v>
      </c>
      <c r="D517" s="233" t="s">
        <v>418</v>
      </c>
    </row>
    <row r="518">
      <c r="A518" s="184">
        <v>43056.0</v>
      </c>
      <c r="B518" s="19" t="s">
        <v>1613</v>
      </c>
      <c r="C518" s="233">
        <v>-19.79</v>
      </c>
      <c r="D518" s="233" t="s">
        <v>418</v>
      </c>
    </row>
    <row r="519">
      <c r="A519" s="184">
        <v>43055.0</v>
      </c>
      <c r="B519" s="19" t="s">
        <v>1513</v>
      </c>
      <c r="C519" s="233">
        <v>-1000.0</v>
      </c>
      <c r="D519" s="233"/>
    </row>
    <row r="520">
      <c r="A520" s="184">
        <v>43053.0</v>
      </c>
      <c r="B520" s="19" t="s">
        <v>1643</v>
      </c>
      <c r="C520" s="233">
        <v>1350.0</v>
      </c>
      <c r="D520" s="233"/>
    </row>
    <row r="521">
      <c r="A521" s="184">
        <v>43053.0</v>
      </c>
      <c r="B521" s="19" t="s">
        <v>1540</v>
      </c>
      <c r="C521" s="233">
        <v>-1000.0</v>
      </c>
      <c r="D521" s="233"/>
    </row>
    <row r="522">
      <c r="A522" s="184">
        <v>43053.0</v>
      </c>
      <c r="B522" s="19" t="s">
        <v>1539</v>
      </c>
      <c r="C522" s="233">
        <v>1000.0</v>
      </c>
      <c r="D522" s="233"/>
    </row>
    <row r="523">
      <c r="A523" s="184">
        <v>43052.0</v>
      </c>
      <c r="B523" s="19" t="s">
        <v>1654</v>
      </c>
      <c r="C523" s="233">
        <v>192.8</v>
      </c>
      <c r="D523" s="233"/>
    </row>
    <row r="524">
      <c r="A524" s="184">
        <v>43049.0</v>
      </c>
      <c r="B524" s="19" t="s">
        <v>1531</v>
      </c>
      <c r="C524" s="233">
        <v>-340.6</v>
      </c>
      <c r="D524" s="233"/>
    </row>
    <row r="525">
      <c r="A525" s="184">
        <v>43048.0</v>
      </c>
      <c r="B525" s="19" t="s">
        <v>1655</v>
      </c>
      <c r="C525" s="233">
        <v>700.0</v>
      </c>
      <c r="D525" s="233"/>
    </row>
    <row r="526">
      <c r="A526" s="184">
        <v>43045.0</v>
      </c>
      <c r="B526" s="19" t="s">
        <v>1586</v>
      </c>
      <c r="C526" s="233">
        <v>-890.0</v>
      </c>
      <c r="D526" s="233"/>
    </row>
    <row r="527">
      <c r="A527" s="184">
        <v>43041.0</v>
      </c>
      <c r="B527" s="19" t="s">
        <v>1642</v>
      </c>
      <c r="C527" s="233">
        <v>505.92</v>
      </c>
      <c r="D527" s="233"/>
    </row>
  </sheetData>
  <autoFilter ref="$A$1:$D$527">
    <sortState ref="A1:D527">
      <sortCondition descending="1" ref="A1:A527"/>
    </sortState>
  </autoFilter>
  <hyperlinks>
    <hyperlink r:id="rId1" ref="B242"/>
    <hyperlink r:id="rId2" ref="B468"/>
    <hyperlink r:id="rId3" ref="B490"/>
  </hyperlinks>
  <drawing r:id="rId4"/>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sheetData>
    <row r="1">
      <c r="A1" s="63" t="s">
        <v>1656</v>
      </c>
      <c r="B1" s="63" t="s">
        <v>1657</v>
      </c>
    </row>
    <row r="2">
      <c r="A2" s="8" t="s">
        <v>1658</v>
      </c>
      <c r="B2" s="315">
        <v>-836.32</v>
      </c>
    </row>
    <row r="3">
      <c r="A3" s="8" t="s">
        <v>1659</v>
      </c>
      <c r="B3" s="315">
        <v>0.96</v>
      </c>
    </row>
  </sheetData>
  <drawing r:id="rId2"/>
  <legacyDrawing r:id="rId3"/>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6.86"/>
    <col customWidth="1" min="2" max="2" width="9.14"/>
    <col customWidth="1" min="3" max="3" width="12.0"/>
    <col customWidth="1" min="4" max="5" width="10.71"/>
    <col customWidth="1" min="6" max="6" width="11.14"/>
    <col customWidth="1" min="7" max="7" width="8.57"/>
    <col customWidth="1" min="8" max="8" width="6.57"/>
    <col customWidth="1" min="9" max="9" width="14.43"/>
    <col customWidth="1" min="10" max="10" width="11.86"/>
  </cols>
  <sheetData>
    <row r="1">
      <c r="A1" s="63" t="s">
        <v>66</v>
      </c>
      <c r="B1" s="63" t="s">
        <v>1660</v>
      </c>
      <c r="C1" s="63" t="s">
        <v>1661</v>
      </c>
      <c r="D1" s="63" t="s">
        <v>1662</v>
      </c>
      <c r="E1" s="63" t="s">
        <v>1663</v>
      </c>
      <c r="F1" s="63" t="s">
        <v>1664</v>
      </c>
      <c r="G1" s="63" t="s">
        <v>1447</v>
      </c>
      <c r="H1" s="63" t="s">
        <v>385</v>
      </c>
      <c r="I1" s="63" t="s">
        <v>1665</v>
      </c>
      <c r="J1" s="63" t="s">
        <v>1666</v>
      </c>
    </row>
    <row r="2">
      <c r="A2" s="316" t="s">
        <v>1667</v>
      </c>
      <c r="B2" s="317">
        <v>-637.15</v>
      </c>
      <c r="C2" s="238">
        <v>48.0</v>
      </c>
      <c r="D2" s="184">
        <v>43847.0</v>
      </c>
      <c r="E2" s="184">
        <f t="shared" ref="E2:E4" si="1">IF(AND($C2&lt;&gt;"",$D2&lt;&gt;""),DATE(YEAR($D2+DATE(0,$C2,0)),MONTH($D2+DATE(0,$C2,0)),DAY($D2)),"")</f>
        <v>45277</v>
      </c>
      <c r="F2" s="18">
        <f t="shared" ref="F2:F4" si="2">IF($C2,ABS($C2*$B2),"")</f>
        <v>30583.2</v>
      </c>
      <c r="G2" s="18">
        <f t="shared" ref="G2:G4" si="3">IF(AND($F2&lt;&gt;"",$B2&lt;0),MOD(ABS($F2),1000),"")</f>
        <v>583.2</v>
      </c>
      <c r="H2" s="174">
        <f t="shared" ref="H2:H4" si="4">IF($G2,$G2/($F2-$G2)/($C2/23),)</f>
        <v>0.009315</v>
      </c>
      <c r="I2">
        <f>IF(AND($E2&lt;&gt;"",$E2&gt;DateTime!$B$2),DATEDIF(DateTime!$B$2+1,$E2,"M")+1,)</f>
        <v>38</v>
      </c>
      <c r="J2" s="292">
        <f>IF(AND($E2&lt;&gt;"",$E2&gt;=DateTime!$B$2),$I2*$B2,)</f>
        <v>-24211.7</v>
      </c>
    </row>
    <row r="3">
      <c r="A3" s="316" t="s">
        <v>1668</v>
      </c>
      <c r="B3" s="317">
        <v>-29.0</v>
      </c>
      <c r="C3" s="238"/>
      <c r="D3" s="184"/>
      <c r="E3" s="184" t="str">
        <f t="shared" si="1"/>
        <v/>
      </c>
      <c r="F3" s="18" t="str">
        <f t="shared" si="2"/>
        <v/>
      </c>
      <c r="G3" s="18" t="str">
        <f t="shared" si="3"/>
        <v/>
      </c>
      <c r="H3" s="174" t="str">
        <f t="shared" si="4"/>
        <v/>
      </c>
      <c r="I3" t="str">
        <f>IF(AND($E3&lt;&gt;"",$E3&gt;DateTime!$B$2),DATEDIF(DateTime!$B$2+1,$E3,"M")+1,)</f>
        <v/>
      </c>
      <c r="J3" s="318" t="str">
        <f>IF(AND($E3&lt;&gt;"",$E3&gt;=DateTime!$B$2),$I3*$B3,)</f>
        <v/>
      </c>
    </row>
    <row r="4">
      <c r="A4" s="316" t="s">
        <v>1669</v>
      </c>
      <c r="B4" s="317">
        <v>-18.09</v>
      </c>
      <c r="C4" s="238"/>
      <c r="D4" s="184"/>
      <c r="E4" s="184" t="str">
        <f t="shared" si="1"/>
        <v/>
      </c>
      <c r="F4" s="18" t="str">
        <f t="shared" si="2"/>
        <v/>
      </c>
      <c r="G4" s="18" t="str">
        <f t="shared" si="3"/>
        <v/>
      </c>
      <c r="H4" s="174" t="str">
        <f t="shared" si="4"/>
        <v/>
      </c>
      <c r="I4" t="str">
        <f>IF(AND($E4&lt;&gt;"",$E4&gt;DateTime!$B$2),DATEDIF(DateTime!$B$2+1,$E4,"M")+1,)</f>
        <v/>
      </c>
      <c r="J4" s="318" t="str">
        <f>IF(AND($E4&lt;&gt;"",$E4&gt;=DateTime!$B$2),$I4*$B4,)</f>
        <v/>
      </c>
    </row>
    <row r="5">
      <c r="A5" s="316" t="s">
        <v>1670</v>
      </c>
      <c r="B5" s="317">
        <v>-67.0</v>
      </c>
      <c r="C5" s="238"/>
      <c r="D5" s="184"/>
      <c r="E5" s="184"/>
      <c r="F5" s="18"/>
      <c r="G5" s="18"/>
      <c r="H5" s="174"/>
      <c r="J5" s="318"/>
    </row>
    <row r="6">
      <c r="A6" s="316" t="s">
        <v>1671</v>
      </c>
      <c r="B6" s="317">
        <v>-100.0</v>
      </c>
      <c r="C6" s="238"/>
      <c r="D6" s="184"/>
      <c r="E6" s="184" t="str">
        <f t="shared" ref="E6:E8" si="5">IF(AND($C6&lt;&gt;"",$D6&lt;&gt;""),DATE(YEAR($D6+DATE(0,$C6,0)),MONTH($D6+DATE(0,$C6,0)),DAY($D6)),"")</f>
        <v/>
      </c>
      <c r="F6" s="18" t="str">
        <f t="shared" ref="F6:F8" si="6">IF($C6,ABS($C6*$B6),"")</f>
        <v/>
      </c>
      <c r="G6" s="18" t="str">
        <f t="shared" ref="G6:G8" si="7">IF(AND($F6&lt;&gt;"",$B6&lt;0),MOD(ABS($F6),1000),"")</f>
        <v/>
      </c>
      <c r="H6" s="174" t="str">
        <f t="shared" ref="H6:H8" si="8">IF($G6,$G6/($F6-$G6)/($C6/23),)</f>
        <v/>
      </c>
      <c r="I6" t="str">
        <f>IF(AND($E6&lt;&gt;"",$E6&gt;DateTime!$B$2),DATEDIF(DateTime!$B$2+1,$E6,"M")+1,)</f>
        <v/>
      </c>
      <c r="J6" s="318" t="str">
        <f>IF(AND($E6&lt;&gt;"",$E6&gt;=DateTime!$B$2),$I6*$B6,)</f>
        <v/>
      </c>
    </row>
    <row r="7">
      <c r="A7" s="319" t="s">
        <v>1672</v>
      </c>
      <c r="B7" s="320">
        <f>MIN(0,16.48*DAY(EOMONTH(DateTime!$B$1-TIME(3,0,0),0)))</f>
        <v>0</v>
      </c>
      <c r="C7" s="219"/>
      <c r="D7" s="219"/>
      <c r="E7" s="321" t="str">
        <f t="shared" si="5"/>
        <v/>
      </c>
      <c r="F7" s="210" t="str">
        <f t="shared" si="6"/>
        <v/>
      </c>
      <c r="G7" s="210" t="str">
        <f t="shared" si="7"/>
        <v/>
      </c>
      <c r="H7" s="322" t="str">
        <f t="shared" si="8"/>
        <v/>
      </c>
      <c r="I7" s="219" t="str">
        <f>IF(AND($E7&lt;&gt;"",$E7&gt;DateTime!$B$2),DATEDIF(DateTime!$B$2+1,$E7,"M")+1,)</f>
        <v/>
      </c>
      <c r="J7" s="323" t="str">
        <f>IF(AND($E7&lt;&gt;"",$E7&gt;=DateTime!$B$2),$I7*$B7,)</f>
        <v/>
      </c>
    </row>
    <row r="8">
      <c r="A8" s="316" t="s">
        <v>1673</v>
      </c>
      <c r="B8" s="317">
        <v>100.0</v>
      </c>
      <c r="C8" s="19">
        <v>135.0</v>
      </c>
      <c r="D8" s="184">
        <v>42861.0</v>
      </c>
      <c r="E8" s="184">
        <f t="shared" si="5"/>
        <v>46940</v>
      </c>
      <c r="F8" s="18">
        <f t="shared" si="6"/>
        <v>13500</v>
      </c>
      <c r="G8" s="18" t="str">
        <f t="shared" si="7"/>
        <v/>
      </c>
      <c r="H8" s="174" t="str">
        <f t="shared" si="8"/>
        <v/>
      </c>
      <c r="I8">
        <f>IF(AND($E8&lt;&gt;"",$E8&gt;DateTime!$B$2),DATEDIF(DateTime!$B$2+1,$E8,"M")+1,)</f>
        <v>92</v>
      </c>
      <c r="J8" s="292">
        <f>IF(AND($E8&lt;&gt;"",$E8&gt;=DateTime!$B$2),$I8*$B8,)</f>
        <v>9200</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2.75"/>
  <sheetData>
    <row r="1">
      <c r="A1" s="324" t="s">
        <v>46</v>
      </c>
      <c r="B1" s="324" t="str">
        <f t="array" ref="B1:F1">TRANSPOSE(OFFSET(Investment!$A:$A,1,0,ROWS(Investment!$A:$A)-2,1))</f>
        <v>Long term US bonds (20-25 year)</v>
      </c>
      <c r="C1" s="324"/>
      <c r="D1" s="324"/>
      <c r="E1" s="324"/>
      <c r="F1" s="324"/>
      <c r="G1" s="325" t="str">
        <f>OFFSET(B1,0,0,1,COLUMN()-2)</f>
        <v>Long term US bonds (20-25 year)</v>
      </c>
      <c r="H1" s="324"/>
      <c r="I1" s="324"/>
      <c r="J1" s="324"/>
      <c r="K1" s="324"/>
    </row>
    <row r="2">
      <c r="A2" s="242">
        <f>DateTime!$B$1-TIME(2,0,0)</f>
        <v>44146.89305</v>
      </c>
      <c r="B2" s="326">
        <f t="array" ref="B2:F2">TRANSPOSE(OFFSET(Investment!$M:$M,1,0,ROWS(Investment!$M:$M)-2,1))</f>
        <v>4.9448</v>
      </c>
      <c r="C2" s="326"/>
      <c r="D2" s="326"/>
      <c r="E2" s="326"/>
      <c r="F2" s="327"/>
      <c r="G2" s="328">
        <f t="shared" ref="G2:K2" si="1">SUM(1-INDEX(B:B,5)/INDEX(B:B,4)+1-INDEX(B:B,4)/INDEX(B:B,3)+1-INDEX(B:B,3)/INDEX(B:B,2))/3</f>
        <v>-0.005708839168</v>
      </c>
      <c r="H2" s="279">
        <f t="shared" si="1"/>
        <v>0.009192716487</v>
      </c>
      <c r="I2" s="279">
        <f t="shared" si="1"/>
        <v>0.00006867028153</v>
      </c>
      <c r="J2" s="279">
        <f t="shared" si="1"/>
        <v>-0.01233970991</v>
      </c>
      <c r="K2" s="279">
        <f t="shared" si="1"/>
        <v>0.006348709587</v>
      </c>
    </row>
    <row r="3">
      <c r="A3" s="184">
        <v>44145.982337361114</v>
      </c>
      <c r="B3" s="329">
        <v>4.924</v>
      </c>
      <c r="C3" s="329">
        <v>56.83</v>
      </c>
      <c r="D3" s="329">
        <v>185.87</v>
      </c>
      <c r="E3" s="329">
        <v>151.16</v>
      </c>
      <c r="F3" s="330">
        <v>6.43</v>
      </c>
      <c r="G3" s="331">
        <v>-0.011485612693250435</v>
      </c>
      <c r="H3" s="281">
        <v>0.0017827556438717955</v>
      </c>
      <c r="I3" s="281">
        <v>-0.003936396112094324</v>
      </c>
      <c r="J3" s="281">
        <v>-0.007886194329099169</v>
      </c>
      <c r="K3" s="281">
        <v>4.980261278446271E-4</v>
      </c>
    </row>
    <row r="4">
      <c r="A4" s="184">
        <v>44144.98178914352</v>
      </c>
      <c r="B4" s="329">
        <v>4.922</v>
      </c>
      <c r="C4" s="329">
        <v>57.99</v>
      </c>
      <c r="D4" s="329">
        <v>185.93</v>
      </c>
      <c r="E4" s="329">
        <v>154.57</v>
      </c>
      <c r="F4" s="330">
        <v>6.42</v>
      </c>
      <c r="G4" s="331">
        <v>-0.015742691903394574</v>
      </c>
      <c r="H4" s="281">
        <v>0.010357212005862518</v>
      </c>
      <c r="I4" s="281">
        <v>-0.007160886685148027</v>
      </c>
      <c r="J4" s="281">
        <v>9.260058356952428E-4</v>
      </c>
      <c r="K4" s="281">
        <v>0.002056466008401925</v>
      </c>
    </row>
    <row r="5">
      <c r="A5" s="184">
        <v>44141.98323773148</v>
      </c>
      <c r="B5" s="329">
        <v>5.029</v>
      </c>
      <c r="C5" s="329">
        <v>56.02</v>
      </c>
      <c r="D5" s="329">
        <v>186.42</v>
      </c>
      <c r="E5" s="329">
        <v>155.9</v>
      </c>
      <c r="F5" s="330">
        <v>6.37</v>
      </c>
      <c r="G5" s="331">
        <v>4.2187025135601947E-4</v>
      </c>
      <c r="H5" s="281">
        <v>0.007340053987698066</v>
      </c>
      <c r="I5" s="281">
        <v>-0.0031587908534617495</v>
      </c>
      <c r="J5" s="281">
        <v>0.003967191875766367</v>
      </c>
      <c r="K5" s="281">
        <v>-1.7121949813810506E-5</v>
      </c>
    </row>
    <row r="6">
      <c r="A6" s="184">
        <v>44140.98325640046</v>
      </c>
      <c r="B6" s="329">
        <v>5.095</v>
      </c>
      <c r="C6" s="329">
        <v>56.48</v>
      </c>
      <c r="D6" s="329">
        <v>188.07</v>
      </c>
      <c r="E6" s="329">
        <v>154.73</v>
      </c>
      <c r="F6" s="330">
        <v>6.42</v>
      </c>
      <c r="G6" s="331">
        <v>-0.0017108067030521628</v>
      </c>
      <c r="H6" s="281">
        <v>0.014823429442064865</v>
      </c>
      <c r="I6" s="281">
        <v>-0.0040879343267482176</v>
      </c>
      <c r="J6" s="281">
        <v>0.0011626563352186887</v>
      </c>
      <c r="K6" s="281">
        <v>0.003122595475617921</v>
      </c>
    </row>
    <row r="7">
      <c r="A7" s="184">
        <v>44139.9831637037</v>
      </c>
      <c r="B7" s="329">
        <v>5.158</v>
      </c>
      <c r="C7" s="329">
        <v>56.18</v>
      </c>
      <c r="D7" s="329">
        <v>189.95</v>
      </c>
      <c r="E7" s="329">
        <v>154.13</v>
      </c>
      <c r="F7" s="330">
        <v>6.38</v>
      </c>
      <c r="G7" s="331">
        <v>0.004299639855963415</v>
      </c>
      <c r="H7" s="281">
        <v>0.01811461959350058</v>
      </c>
      <c r="I7" s="281">
        <v>8.201196702011989E-4</v>
      </c>
      <c r="J7" s="281">
        <v>0.0019022070413638275</v>
      </c>
      <c r="K7" s="281">
        <v>0.0036662973506547125</v>
      </c>
    </row>
    <row r="8">
      <c r="A8" s="184">
        <v>44138.98319104167</v>
      </c>
      <c r="B8" s="329">
        <v>5.02</v>
      </c>
      <c r="C8" s="329">
        <v>54.78</v>
      </c>
      <c r="D8" s="329">
        <v>188.17</v>
      </c>
      <c r="E8" s="329">
        <v>154.05</v>
      </c>
      <c r="F8" s="330">
        <v>6.37</v>
      </c>
      <c r="G8" s="331">
        <v>-0.006714569591470099</v>
      </c>
      <c r="H8" s="281">
        <v>0.0066739758738139825</v>
      </c>
      <c r="I8" s="281">
        <v>-0.003341547287350144</v>
      </c>
      <c r="J8" s="281">
        <v>0.004404559966394365</v>
      </c>
      <c r="K8" s="281">
        <v>0.002087307275025411</v>
      </c>
    </row>
    <row r="9">
      <c r="A9" s="184">
        <v>44137.98315918981</v>
      </c>
      <c r="B9" s="329">
        <v>5.118</v>
      </c>
      <c r="C9" s="329">
        <v>54.0</v>
      </c>
      <c r="D9" s="329">
        <v>190.36</v>
      </c>
      <c r="E9" s="329">
        <v>154.19</v>
      </c>
      <c r="F9" s="330">
        <v>6.36</v>
      </c>
      <c r="G9" s="331">
        <v>-2.723569280962401E-4</v>
      </c>
      <c r="H9" s="281">
        <v>0.004535765805522951</v>
      </c>
      <c r="I9" s="281">
        <v>0.0022392300777283416</v>
      </c>
      <c r="J9" s="281">
        <v>0.005036396006462811</v>
      </c>
      <c r="K9" s="281">
        <v>0.0015640210374534558</v>
      </c>
    </row>
    <row r="10">
      <c r="A10" s="184">
        <v>44134.98317608796</v>
      </c>
      <c r="B10" s="329">
        <v>5.089</v>
      </c>
      <c r="C10" s="329">
        <v>53.18</v>
      </c>
      <c r="D10" s="329">
        <v>189.46</v>
      </c>
      <c r="E10" s="329">
        <v>153.25</v>
      </c>
      <c r="F10" s="330">
        <v>6.31</v>
      </c>
      <c r="G10" s="331">
        <v>5.721917440659011E-4</v>
      </c>
      <c r="H10" s="281">
        <v>-0.00803628928875022</v>
      </c>
      <c r="I10" s="281">
        <v>0.003254764404524435</v>
      </c>
      <c r="J10" s="281">
        <v>4.1433676517839874E-4</v>
      </c>
      <c r="K10" s="281">
        <v>-0.003689488754194651</v>
      </c>
    </row>
    <row r="11">
      <c r="A11" s="184">
        <v>44133.98323277778</v>
      </c>
      <c r="B11" s="329">
        <v>5.121</v>
      </c>
      <c r="C11" s="329">
        <v>53.68</v>
      </c>
      <c r="D11" s="329">
        <v>190.05</v>
      </c>
      <c r="E11" s="329">
        <v>152.02</v>
      </c>
      <c r="F11" s="330">
        <v>6.33</v>
      </c>
      <c r="G11" s="331">
        <v>0.004571102987450744</v>
      </c>
      <c r="H11" s="281">
        <v>-0.004167794984224112</v>
      </c>
      <c r="I11" s="281">
        <v>0.004026292022944615</v>
      </c>
      <c r="J11" s="281">
        <v>-0.0022174715322659613</v>
      </c>
      <c r="K11" s="281">
        <v>-0.00263296471827279</v>
      </c>
    </row>
    <row r="12">
      <c r="A12" s="184">
        <v>44132.98316310185</v>
      </c>
      <c r="B12" s="329">
        <v>5.122</v>
      </c>
      <c r="C12" s="329">
        <v>53.26</v>
      </c>
      <c r="D12" s="329">
        <v>189.08</v>
      </c>
      <c r="E12" s="329">
        <v>151.87</v>
      </c>
      <c r="F12" s="330">
        <v>6.33</v>
      </c>
      <c r="G12" s="331">
        <v>0.009849683519013127</v>
      </c>
      <c r="H12" s="281">
        <v>-0.012664690668350112</v>
      </c>
      <c r="I12" s="281">
        <v>0.004171313995761279</v>
      </c>
      <c r="J12" s="281">
        <v>-6.295401449507576E-4</v>
      </c>
      <c r="K12" s="281">
        <v>-0.004722828877102477</v>
      </c>
    </row>
    <row r="13">
      <c r="A13" s="184">
        <v>44131.9831933449</v>
      </c>
      <c r="B13" s="329">
        <v>5.08</v>
      </c>
      <c r="C13" s="329">
        <v>54.46</v>
      </c>
      <c r="D13" s="329">
        <v>187.61</v>
      </c>
      <c r="E13" s="329">
        <v>153.05</v>
      </c>
      <c r="F13" s="330">
        <v>6.38</v>
      </c>
      <c r="G13" s="331">
        <v>0.0060168857371564926</v>
      </c>
      <c r="H13" s="281">
        <v>-0.003587154806992824</v>
      </c>
      <c r="I13" s="281">
        <v>0.0012049254448035878</v>
      </c>
      <c r="J13" s="281">
        <v>0.001259331680821855</v>
      </c>
      <c r="K13" s="281">
        <v>-0.0024533117185389455</v>
      </c>
    </row>
    <row r="14">
      <c r="A14" s="184">
        <v>44130.983482766205</v>
      </c>
      <c r="B14" s="329">
        <v>5.051</v>
      </c>
      <c r="C14" s="329">
        <v>54.34</v>
      </c>
      <c r="D14" s="329">
        <v>187.76</v>
      </c>
      <c r="E14" s="329">
        <v>153.03</v>
      </c>
      <c r="F14" s="330">
        <v>6.38</v>
      </c>
      <c r="G14" s="331">
        <v>0.002537006643380746</v>
      </c>
      <c r="H14" s="281">
        <v>-0.004200514800957548</v>
      </c>
      <c r="I14" s="281">
        <v>0.0016854196029724526</v>
      </c>
      <c r="J14" s="281">
        <v>-0.0025663918664884746</v>
      </c>
      <c r="K14" s="281">
        <v>-0.0015716147111223637</v>
      </c>
    </row>
    <row r="15">
      <c r="A15" s="184">
        <v>44127.98321822917</v>
      </c>
      <c r="B15" s="329">
        <v>4.972</v>
      </c>
      <c r="C15" s="329">
        <v>55.3</v>
      </c>
      <c r="D15" s="329">
        <v>186.72</v>
      </c>
      <c r="E15" s="329">
        <v>152.15</v>
      </c>
      <c r="F15" s="330">
        <v>6.42</v>
      </c>
      <c r="G15" s="331">
        <v>-0.0056692996733169005</v>
      </c>
      <c r="H15" s="281">
        <v>5.372366222096877E-4</v>
      </c>
      <c r="I15" s="281">
        <v>-0.002105844182616242</v>
      </c>
      <c r="J15" s="281">
        <v>-0.004483227345370618</v>
      </c>
      <c r="K15" s="281">
        <v>-0.0015618337556208377</v>
      </c>
    </row>
    <row r="16">
      <c r="A16" s="184">
        <v>44126.98311548611</v>
      </c>
      <c r="B16" s="329">
        <v>4.9884</v>
      </c>
      <c r="C16" s="329">
        <v>55.04</v>
      </c>
      <c r="D16" s="329">
        <v>186.93</v>
      </c>
      <c r="E16" s="329">
        <v>152.47</v>
      </c>
      <c r="F16" s="330">
        <v>6.427</v>
      </c>
      <c r="G16" s="331">
        <v>-0.007404164212740409</v>
      </c>
      <c r="H16" s="281">
        <v>-0.005195884512404936</v>
      </c>
      <c r="I16" s="281">
        <v>-0.0033985049581659967</v>
      </c>
      <c r="J16" s="281">
        <v>-0.003782164797446456</v>
      </c>
      <c r="K16" s="281">
        <v>-1.6479446464545688E-4</v>
      </c>
    </row>
    <row r="17">
      <c r="A17" s="184">
        <v>44125.98313707176</v>
      </c>
      <c r="B17" s="329">
        <v>5.012</v>
      </c>
      <c r="C17" s="329">
        <v>55.02</v>
      </c>
      <c r="D17" s="329">
        <v>186.81</v>
      </c>
      <c r="E17" s="329">
        <v>154.2</v>
      </c>
      <c r="F17" s="330">
        <v>6.41</v>
      </c>
      <c r="G17" s="331">
        <v>-0.00909514611428149</v>
      </c>
      <c r="H17" s="281">
        <v>-0.009908541041921884</v>
      </c>
      <c r="I17" s="281">
        <v>-0.0059248520022727735</v>
      </c>
      <c r="J17" s="281">
        <v>6.701253782965821E-4</v>
      </c>
      <c r="K17" s="281">
        <v>-0.0010464914720620389</v>
      </c>
    </row>
    <row r="18">
      <c r="A18" s="184">
        <v>44124.983154918984</v>
      </c>
      <c r="B18" s="329">
        <v>5.057</v>
      </c>
      <c r="C18" s="329">
        <v>55.21</v>
      </c>
      <c r="D18" s="329">
        <v>187.9</v>
      </c>
      <c r="E18" s="329">
        <v>154.2</v>
      </c>
      <c r="F18" s="330">
        <v>6.45</v>
      </c>
      <c r="G18" s="331">
        <v>-0.009468024668534433</v>
      </c>
      <c r="H18" s="281">
        <v>-0.005581160722963145</v>
      </c>
      <c r="I18" s="281">
        <v>-0.004961597992116411</v>
      </c>
      <c r="J18" s="281">
        <v>0.0010600142599652695</v>
      </c>
      <c r="K18" s="281">
        <v>0.001033591731266159</v>
      </c>
    </row>
    <row r="19">
      <c r="A19" s="184">
        <v>44123.98349428241</v>
      </c>
      <c r="B19" s="329">
        <v>5.1</v>
      </c>
      <c r="C19" s="329">
        <v>55.9</v>
      </c>
      <c r="D19" s="329">
        <v>188.84</v>
      </c>
      <c r="E19" s="329">
        <v>154.2</v>
      </c>
      <c r="F19" s="330">
        <v>6.43</v>
      </c>
      <c r="G19" s="331">
        <v>-0.004198708736619909</v>
      </c>
      <c r="H19" s="281">
        <v>-0.0040876164682923655</v>
      </c>
      <c r="I19" s="281">
        <v>-0.0018083679965182526</v>
      </c>
      <c r="J19" s="281">
        <v>-1.1102210721965673E-4</v>
      </c>
      <c r="K19" s="281">
        <v>0.004665629860031088</v>
      </c>
    </row>
    <row r="20">
      <c r="A20" s="184">
        <v>44120.98313743055</v>
      </c>
      <c r="B20" s="329">
        <v>5.15</v>
      </c>
      <c r="C20" s="329">
        <v>56.67</v>
      </c>
      <c r="D20" s="329">
        <v>190.15</v>
      </c>
      <c r="E20" s="329">
        <v>153.89</v>
      </c>
      <c r="F20" s="330">
        <v>6.43</v>
      </c>
      <c r="G20" s="331">
        <v>8.121001312082488E-4</v>
      </c>
      <c r="H20" s="281">
        <v>-0.0015580611112936404</v>
      </c>
      <c r="I20" s="281">
        <v>6.44449573255379E-4</v>
      </c>
      <c r="J20" s="281">
        <v>0.0023090740163746273</v>
      </c>
      <c r="K20" s="281">
        <v>0.0025625804383696917</v>
      </c>
    </row>
    <row r="21">
      <c r="A21" s="184">
        <v>44119.98320688657</v>
      </c>
      <c r="B21" s="329">
        <v>5.202</v>
      </c>
      <c r="C21" s="329">
        <v>56.13</v>
      </c>
      <c r="D21" s="329">
        <v>190.71</v>
      </c>
      <c r="E21" s="329">
        <v>153.71</v>
      </c>
      <c r="F21" s="330">
        <v>6.43</v>
      </c>
      <c r="G21" s="331">
        <v>0.008006230159374997</v>
      </c>
      <c r="H21" s="281">
        <v>-0.00315345604848812</v>
      </c>
      <c r="I21" s="281">
        <v>0.004190503484708841</v>
      </c>
      <c r="J21" s="281">
        <v>-0.001309013617638873</v>
      </c>
      <c r="K21" s="281">
        <v>0.004129978557491976</v>
      </c>
    </row>
    <row r="22">
      <c r="A22" s="184">
        <v>44118.983200243056</v>
      </c>
      <c r="B22" s="329">
        <v>5.164</v>
      </c>
      <c r="C22" s="329">
        <v>56.58</v>
      </c>
      <c r="D22" s="329">
        <v>189.86</v>
      </c>
      <c r="E22" s="329">
        <v>154.25</v>
      </c>
      <c r="F22" s="330">
        <v>6.34</v>
      </c>
      <c r="G22" s="331">
        <v>0.006621551510263631</v>
      </c>
      <c r="H22" s="281">
        <v>0.005519617634717496</v>
      </c>
      <c r="I22" s="281">
        <v>0.002881830834083332</v>
      </c>
      <c r="J22" s="281">
        <v>-6.780507004431335E-4</v>
      </c>
      <c r="K22" s="281">
        <v>-0.002110454452145453</v>
      </c>
    </row>
    <row r="23">
      <c r="A23" s="184">
        <v>44117.98313125</v>
      </c>
      <c r="B23" s="329">
        <v>5.137</v>
      </c>
      <c r="C23" s="329">
        <v>56.93</v>
      </c>
      <c r="D23" s="329">
        <v>189.78</v>
      </c>
      <c r="E23" s="329">
        <v>152.82</v>
      </c>
      <c r="F23" s="330">
        <v>6.38</v>
      </c>
      <c r="G23" s="331">
        <v>0.0023105616191504788</v>
      </c>
      <c r="H23" s="281">
        <v>0.009318953990222756</v>
      </c>
      <c r="I23" s="281">
        <v>8.110112886928755E-4</v>
      </c>
      <c r="J23" s="281">
        <v>7.17870362100396E-4</v>
      </c>
      <c r="K23" s="281">
        <v>0.002604925168053033</v>
      </c>
    </row>
    <row r="24">
      <c r="A24" s="184">
        <v>44116.9831784375</v>
      </c>
      <c r="B24" s="329">
        <v>5.078</v>
      </c>
      <c r="C24" s="329">
        <v>56.66</v>
      </c>
      <c r="D24" s="329">
        <v>188.32</v>
      </c>
      <c r="E24" s="329">
        <v>154.3</v>
      </c>
      <c r="F24" s="330">
        <v>6.35</v>
      </c>
      <c r="G24" s="331">
        <v>-2.762859991327267E-4</v>
      </c>
      <c r="H24" s="281">
        <v>0.010628760753024769</v>
      </c>
      <c r="I24" s="281">
        <v>-0.0010842649502391295</v>
      </c>
      <c r="J24" s="281">
        <v>0.005170353673156214</v>
      </c>
      <c r="K24" s="281">
        <v>0.004197084710858112</v>
      </c>
    </row>
    <row r="25">
      <c r="A25" s="184">
        <v>44113.98313141204</v>
      </c>
      <c r="B25" s="329">
        <v>5.062</v>
      </c>
      <c r="C25" s="329">
        <v>55.64</v>
      </c>
      <c r="D25" s="329">
        <v>188.22</v>
      </c>
      <c r="E25" s="329">
        <v>154.55</v>
      </c>
      <c r="F25" s="330">
        <v>6.38</v>
      </c>
      <c r="G25" s="331">
        <v>6.411609779655159E-4</v>
      </c>
      <c r="H25" s="281">
        <v>0.005235551294512142</v>
      </c>
      <c r="I25" s="281">
        <v>-6.261127540772756E-4</v>
      </c>
      <c r="J25" s="281">
        <v>0.0014096349874509844</v>
      </c>
      <c r="K25" s="281">
        <v>0.004708623639305465</v>
      </c>
    </row>
    <row r="26">
      <c r="A26" s="184">
        <v>44112.983193368054</v>
      </c>
      <c r="B26" s="329">
        <v>5.101</v>
      </c>
      <c r="C26" s="329">
        <v>55.35</v>
      </c>
      <c r="D26" s="329">
        <v>189.31</v>
      </c>
      <c r="E26" s="329">
        <v>152.47</v>
      </c>
      <c r="F26" s="330">
        <v>6.33</v>
      </c>
      <c r="G26" s="331">
        <v>5.041165964409696E-4</v>
      </c>
      <c r="H26" s="281">
        <v>0.004593682312396245</v>
      </c>
      <c r="I26" s="281">
        <v>6.14853259311654E-4</v>
      </c>
      <c r="J26" s="281">
        <v>-0.003943039931135169</v>
      </c>
      <c r="K26" s="281">
        <v>0.00474600197282989</v>
      </c>
    </row>
    <row r="27">
      <c r="A27" s="184">
        <v>44111.98309840278</v>
      </c>
      <c r="B27" s="329">
        <v>5.082</v>
      </c>
      <c r="C27" s="329">
        <v>54.87</v>
      </c>
      <c r="D27" s="329">
        <v>188.93</v>
      </c>
      <c r="E27" s="329">
        <v>151.91</v>
      </c>
      <c r="F27" s="330">
        <v>6.27</v>
      </c>
      <c r="G27" s="331">
        <v>-0.007805995447618989</v>
      </c>
      <c r="H27" s="281">
        <v>0.0038767670404163956</v>
      </c>
      <c r="I27" s="281">
        <v>-0.0034764843229442657</v>
      </c>
      <c r="J27" s="281">
        <v>-0.005469824435828293</v>
      </c>
      <c r="K27" s="281">
        <v>0.004203965678423849</v>
      </c>
    </row>
    <row r="28">
      <c r="A28" s="184">
        <v>44110.98316466435</v>
      </c>
      <c r="B28" s="329">
        <v>5.052</v>
      </c>
      <c r="C28" s="329">
        <v>54.77</v>
      </c>
      <c r="D28" s="329">
        <v>188.57</v>
      </c>
      <c r="E28" s="329">
        <v>153.87</v>
      </c>
      <c r="F28" s="330">
        <v>6.29</v>
      </c>
      <c r="G28" s="331">
        <v>-0.009004641819396456</v>
      </c>
      <c r="H28" s="281">
        <v>0.0010812212163647805</v>
      </c>
      <c r="I28" s="281">
        <v>-0.0029592043705050455</v>
      </c>
      <c r="J28" s="281">
        <v>-8.668066239040003E-4</v>
      </c>
      <c r="K28" s="281">
        <v>0.007905468202495677</v>
      </c>
    </row>
    <row r="29">
      <c r="A29" s="184">
        <v>44109.98317790509</v>
      </c>
      <c r="B29" s="329">
        <v>5.093</v>
      </c>
      <c r="C29" s="329">
        <v>54.59</v>
      </c>
      <c r="D29" s="329">
        <v>188.96</v>
      </c>
      <c r="E29" s="329">
        <v>154.27</v>
      </c>
      <c r="F29" s="330">
        <v>6.24</v>
      </c>
      <c r="G29" s="331">
        <v>-0.006427919464653782</v>
      </c>
      <c r="H29" s="281">
        <v>5.352821843395509E-4</v>
      </c>
      <c r="I29" s="281">
        <v>-0.0031458915554605227</v>
      </c>
      <c r="J29" s="281">
        <v>0.001274546931172497</v>
      </c>
      <c r="K29" s="281">
        <v>0.0045502348685238685</v>
      </c>
    </row>
    <row r="30">
      <c r="A30" s="184">
        <v>44106.983173182874</v>
      </c>
      <c r="B30" s="329">
        <v>5.201</v>
      </c>
      <c r="C30" s="329">
        <v>54.234</v>
      </c>
      <c r="D30" s="329">
        <v>190.9</v>
      </c>
      <c r="E30" s="329">
        <v>154.41</v>
      </c>
      <c r="F30" s="330">
        <v>6.191</v>
      </c>
      <c r="G30" s="331">
        <v>-0.0037901395586911932</v>
      </c>
      <c r="H30" s="281">
        <v>0.0017865783352963849</v>
      </c>
      <c r="I30" s="281">
        <v>-0.0010518110145033936</v>
      </c>
      <c r="J30" s="281">
        <v>0.0030736632228079244</v>
      </c>
      <c r="K30" s="281">
        <v>-0.0020748684107224267</v>
      </c>
    </row>
    <row r="31">
      <c r="A31" s="184">
        <v>44105.983090740745</v>
      </c>
      <c r="B31" s="329">
        <v>5.189</v>
      </c>
      <c r="C31" s="329">
        <v>54.59</v>
      </c>
      <c r="D31" s="329">
        <v>190.24</v>
      </c>
      <c r="E31" s="329">
        <v>154.27</v>
      </c>
      <c r="F31" s="330">
        <v>6.142</v>
      </c>
      <c r="G31" s="331">
        <v>-0.005953392262604791</v>
      </c>
      <c r="H31" s="281">
        <v>7.61180612531942E-4</v>
      </c>
      <c r="I31" s="281">
        <v>-0.0037012007177140336</v>
      </c>
      <c r="J31" s="281">
        <v>0.004187652113978942</v>
      </c>
      <c r="K31" s="281">
        <v>-0.0061579614254669846</v>
      </c>
    </row>
    <row r="32">
      <c r="A32" s="184">
        <v>44104.98317556713</v>
      </c>
      <c r="B32" s="329">
        <v>5.191</v>
      </c>
      <c r="C32" s="329">
        <v>54.5</v>
      </c>
      <c r="D32" s="329">
        <v>190.74</v>
      </c>
      <c r="E32" s="329">
        <v>153.68</v>
      </c>
      <c r="F32" s="330">
        <v>6.155</v>
      </c>
      <c r="G32" s="331">
        <v>-0.007781245029432338</v>
      </c>
      <c r="H32" s="281">
        <v>0.007434055658240957</v>
      </c>
      <c r="I32" s="281">
        <v>-0.0038821601875148235</v>
      </c>
      <c r="J32" s="281">
        <v>0.003000354435000759</v>
      </c>
      <c r="K32" s="281">
        <v>-0.005452436623556656</v>
      </c>
    </row>
    <row r="33">
      <c r="A33" s="184">
        <v>44103.983154166664</v>
      </c>
      <c r="B33" s="329">
        <v>5.26</v>
      </c>
      <c r="C33" s="329">
        <v>53.94</v>
      </c>
      <c r="D33" s="329">
        <v>191.5</v>
      </c>
      <c r="E33" s="329">
        <v>152.99</v>
      </c>
      <c r="F33" s="330">
        <v>6.229</v>
      </c>
      <c r="G33" s="331">
        <v>-0.002158454838032601</v>
      </c>
      <c r="H33" s="281">
        <v>0.007262232458894828</v>
      </c>
      <c r="I33" s="281">
        <v>-0.001206639996587618</v>
      </c>
      <c r="J33" s="281">
        <v>0.002160336907469603</v>
      </c>
      <c r="K33" s="281">
        <v>0.0016455118695833566</v>
      </c>
    </row>
    <row r="34">
      <c r="A34" s="184">
        <v>44102.983102743055</v>
      </c>
      <c r="B34" s="329">
        <v>5.282</v>
      </c>
      <c r="C34" s="329">
        <v>54.46</v>
      </c>
      <c r="D34" s="329">
        <v>192.36</v>
      </c>
      <c r="E34" s="329">
        <v>152.34</v>
      </c>
      <c r="F34" s="330">
        <v>6.256</v>
      </c>
      <c r="G34" s="331">
        <v>0.0020691112948973966</v>
      </c>
      <c r="H34" s="281">
        <v>0.004536836941322675</v>
      </c>
      <c r="I34" s="281">
        <v>0.0012962628504509244</v>
      </c>
      <c r="J34" s="281">
        <v>0.0013800872523493195</v>
      </c>
      <c r="K34" s="281">
        <v>0.0030903665814151124</v>
      </c>
    </row>
    <row r="35">
      <c r="A35" s="184">
        <v>44099.9832358912</v>
      </c>
      <c r="B35" s="329">
        <v>5.313</v>
      </c>
      <c r="C35" s="329">
        <v>53.28</v>
      </c>
      <c r="D35" s="329">
        <v>192.97</v>
      </c>
      <c r="E35" s="329">
        <v>152.3</v>
      </c>
      <c r="F35" s="330">
        <v>6.256</v>
      </c>
      <c r="G35" s="331">
        <v>0.004279457606090793</v>
      </c>
      <c r="H35" s="281">
        <v>1.077067851456744E-4</v>
      </c>
      <c r="I35" s="281">
        <v>0.002840409201392983</v>
      </c>
      <c r="J35" s="281">
        <v>-0.0042443158424664285</v>
      </c>
      <c r="K35" s="281">
        <v>-0.003040643421811725</v>
      </c>
    </row>
    <row r="36">
      <c r="A36" s="184">
        <v>44098.983097592594</v>
      </c>
      <c r="B36" s="329">
        <v>5.294</v>
      </c>
      <c r="C36" s="329">
        <v>52.76</v>
      </c>
      <c r="D36" s="329">
        <v>192.19</v>
      </c>
      <c r="E36" s="329">
        <v>152.0</v>
      </c>
      <c r="F36" s="330">
        <v>6.198</v>
      </c>
      <c r="G36" s="331">
        <v>0.0026425448074090716</v>
      </c>
      <c r="H36" s="281">
        <v>0.002112669494333715</v>
      </c>
      <c r="I36" s="281">
        <v>0.0020853943225460636</v>
      </c>
      <c r="J36" s="281">
        <v>-0.0018535179154676544</v>
      </c>
      <c r="K36" s="281">
        <v>-0.006131010003226874</v>
      </c>
    </row>
    <row r="37">
      <c r="A37" s="184">
        <v>44097.98315280092</v>
      </c>
      <c r="B37" s="329">
        <v>5.249</v>
      </c>
      <c r="C37" s="329">
        <v>53.7</v>
      </c>
      <c r="D37" s="329">
        <v>191.61</v>
      </c>
      <c r="E37" s="329">
        <v>151.71</v>
      </c>
      <c r="F37" s="330">
        <v>6.198</v>
      </c>
      <c r="G37" s="331">
        <v>0.0057751297232195116</v>
      </c>
      <c r="H37" s="281">
        <v>0.0013733971882511724</v>
      </c>
      <c r="I37" s="281">
        <v>0.005425222614266034</v>
      </c>
      <c r="J37" s="281">
        <v>-0.010254609556361519</v>
      </c>
      <c r="K37" s="281">
        <v>-0.007081580345432196</v>
      </c>
    </row>
    <row r="38">
      <c r="A38" s="184">
        <v>44096.98313988426</v>
      </c>
      <c r="B38" s="329">
        <v>5.245</v>
      </c>
      <c r="C38" s="329">
        <v>53.25</v>
      </c>
      <c r="D38" s="329">
        <v>191.33</v>
      </c>
      <c r="E38" s="329">
        <v>154.23</v>
      </c>
      <c r="F38" s="330">
        <v>6.312</v>
      </c>
      <c r="G38" s="331">
        <v>0.0032592544836046824</v>
      </c>
      <c r="H38" s="281">
        <v>-0.005472773324379121</v>
      </c>
      <c r="I38" s="281">
        <v>0.003505761337489477</v>
      </c>
      <c r="J38" s="281">
        <v>-0.004525889594695724</v>
      </c>
      <c r="K38" s="281">
        <v>0.002208987319722041</v>
      </c>
    </row>
    <row r="39">
      <c r="A39" s="184">
        <v>44095.9831597338</v>
      </c>
      <c r="B39" s="329">
        <v>5.252</v>
      </c>
      <c r="C39" s="329">
        <v>52.41</v>
      </c>
      <c r="D39" s="329">
        <v>190.99</v>
      </c>
      <c r="E39" s="329">
        <v>152.82</v>
      </c>
      <c r="F39" s="330">
        <v>6.312</v>
      </c>
      <c r="G39" s="331">
        <v>0.003447366722642601</v>
      </c>
      <c r="H39" s="281">
        <v>-0.015905633530028718</v>
      </c>
      <c r="I39" s="281">
        <v>0.003406435028921647</v>
      </c>
      <c r="J39" s="281">
        <v>-0.0104738771219098</v>
      </c>
      <c r="K39" s="281">
        <v>0.0016773552091425465</v>
      </c>
    </row>
    <row r="40">
      <c r="A40" s="184">
        <v>44092.98313695602</v>
      </c>
      <c r="B40" s="329">
        <v>5.158</v>
      </c>
      <c r="C40" s="329">
        <v>53.46</v>
      </c>
      <c r="D40" s="329">
        <v>188.5</v>
      </c>
      <c r="E40" s="329">
        <v>156.38</v>
      </c>
      <c r="F40" s="330">
        <v>6.33</v>
      </c>
      <c r="G40" s="331">
        <v>-6.585670275832308E-4</v>
      </c>
      <c r="H40" s="281">
        <v>-0.008499584180556777</v>
      </c>
      <c r="I40" s="281">
        <v>-4.27959563959505E-4</v>
      </c>
      <c r="J40" s="281">
        <v>1.0338619619491378E-4</v>
      </c>
      <c r="K40" s="281">
        <v>0.004697989245615449</v>
      </c>
    </row>
    <row r="41">
      <c r="A41" s="184">
        <v>44091.983113912036</v>
      </c>
      <c r="B41" s="329">
        <v>5.193</v>
      </c>
      <c r="C41" s="329">
        <v>54.11</v>
      </c>
      <c r="D41" s="329">
        <v>189.31</v>
      </c>
      <c r="E41" s="329">
        <v>156.29</v>
      </c>
      <c r="F41" s="330">
        <v>6.27</v>
      </c>
      <c r="G41" s="331">
        <v>0.0012162946699170174</v>
      </c>
      <c r="H41" s="281">
        <v>-0.001954157018543734</v>
      </c>
      <c r="I41" s="281">
        <v>0.0011633499972264854</v>
      </c>
      <c r="J41" s="281">
        <v>-8.347865023935105E-4</v>
      </c>
      <c r="K41" s="281">
        <v>0.0015384315836880862</v>
      </c>
    </row>
    <row r="42">
      <c r="A42" s="184">
        <v>44090.98311256945</v>
      </c>
      <c r="B42" s="329">
        <v>5.197</v>
      </c>
      <c r="C42" s="329">
        <v>54.95</v>
      </c>
      <c r="D42" s="329">
        <v>189.03</v>
      </c>
      <c r="E42" s="329">
        <v>157.65</v>
      </c>
      <c r="F42" s="330">
        <v>6.28</v>
      </c>
      <c r="G42" s="331">
        <v>-8.717254170805452E-6</v>
      </c>
      <c r="H42" s="281">
        <v>0.006773102684667058</v>
      </c>
      <c r="I42" s="281">
        <v>2.4626576123657856E-4</v>
      </c>
      <c r="J42" s="281">
        <v>0.0027891931437663184</v>
      </c>
      <c r="K42" s="281">
        <v>0.0020700636942675432</v>
      </c>
    </row>
    <row r="43">
      <c r="A43" s="184">
        <v>44089.983111064816</v>
      </c>
      <c r="B43" s="329">
        <v>5.168</v>
      </c>
      <c r="C43" s="329">
        <v>54.83</v>
      </c>
      <c r="D43" s="329">
        <v>188.74</v>
      </c>
      <c r="E43" s="329">
        <v>156.32</v>
      </c>
      <c r="F43" s="330">
        <v>6.241</v>
      </c>
      <c r="G43" s="331">
        <v>0.0038396568077880833</v>
      </c>
      <c r="H43" s="281">
        <v>0.0022066342710837703</v>
      </c>
      <c r="I43" s="281">
        <v>0.0016936950952804268</v>
      </c>
      <c r="J43" s="281">
        <v>-1.2955552700621986E-4</v>
      </c>
      <c r="K43" s="281">
        <v>-5.3410244084857915E-5</v>
      </c>
    </row>
    <row r="44">
      <c r="A44" s="184">
        <v>44088.98265143519</v>
      </c>
      <c r="B44" s="329">
        <v>5.174</v>
      </c>
      <c r="C44" s="329">
        <v>54.42</v>
      </c>
      <c r="D44" s="329">
        <v>188.65</v>
      </c>
      <c r="E44" s="329">
        <v>156.67</v>
      </c>
      <c r="F44" s="330">
        <v>6.241</v>
      </c>
      <c r="G44" s="331">
        <v>3.112269302936177E-4</v>
      </c>
      <c r="H44" s="281">
        <v>-0.0016936795155483668</v>
      </c>
      <c r="I44" s="281">
        <v>-5.954060290898436E-4</v>
      </c>
      <c r="J44" s="281">
        <v>8.938795666028435E-4</v>
      </c>
      <c r="K44" s="281">
        <v>4.8060663084833105E-4</v>
      </c>
    </row>
    <row r="45">
      <c r="A45" s="184">
        <v>44085.98232016204</v>
      </c>
      <c r="B45" s="329">
        <v>5.197</v>
      </c>
      <c r="C45" s="329">
        <v>53.84</v>
      </c>
      <c r="D45" s="329">
        <v>188.89</v>
      </c>
      <c r="E45" s="329">
        <v>156.33</v>
      </c>
      <c r="F45" s="330">
        <v>6.241</v>
      </c>
      <c r="G45" s="331">
        <v>-9.804830684577714E-4</v>
      </c>
      <c r="H45" s="281">
        <v>-0.0017112184838095068</v>
      </c>
      <c r="I45" s="281">
        <v>-0.0014942316101515714</v>
      </c>
      <c r="J45" s="281">
        <v>0.0025384907025361634</v>
      </c>
      <c r="K45" s="281">
        <v>0.0020852279402193328</v>
      </c>
    </row>
    <row r="46">
      <c r="A46" s="184">
        <v>44084.983114375005</v>
      </c>
      <c r="B46" s="329">
        <v>5.108</v>
      </c>
      <c r="C46" s="329">
        <v>54.46</v>
      </c>
      <c r="D46" s="329">
        <v>187.78</v>
      </c>
      <c r="E46" s="329">
        <v>156.38</v>
      </c>
      <c r="F46" s="330">
        <v>6.242</v>
      </c>
      <c r="G46" s="331">
        <v>-0.001635491940974898</v>
      </c>
      <c r="H46" s="281">
        <v>-0.004833813121390825</v>
      </c>
      <c r="I46" s="281">
        <v>-0.0013623533379711155</v>
      </c>
      <c r="J46" s="281">
        <v>0.0031822520253625233</v>
      </c>
      <c r="K46" s="281">
        <v>-0.0017848273644435197</v>
      </c>
    </row>
    <row r="47">
      <c r="A47" s="184">
        <v>44083.98310972222</v>
      </c>
      <c r="B47" s="329">
        <v>5.168</v>
      </c>
      <c r="C47" s="329">
        <v>54.69</v>
      </c>
      <c r="D47" s="329">
        <v>188.98</v>
      </c>
      <c r="E47" s="329">
        <v>156.25</v>
      </c>
      <c r="F47" s="330">
        <v>6.232</v>
      </c>
      <c r="G47" s="331">
        <v>-0.002006892906922575</v>
      </c>
      <c r="H47" s="281">
        <v>0.0015220531642234174</v>
      </c>
      <c r="I47" s="281">
        <v>-9.471333187755319E-4</v>
      </c>
      <c r="J47" s="281">
        <v>0.0020012819809087277</v>
      </c>
      <c r="K47" s="281">
        <v>-0.002053239989708707</v>
      </c>
    </row>
    <row r="48">
      <c r="A48" s="184">
        <v>44082.98262440972</v>
      </c>
      <c r="B48" s="329">
        <v>5.211</v>
      </c>
      <c r="C48" s="329">
        <v>54.11</v>
      </c>
      <c r="D48" s="329">
        <v>189.73</v>
      </c>
      <c r="E48" s="329">
        <v>155.14</v>
      </c>
      <c r="F48" s="330">
        <v>6.202</v>
      </c>
      <c r="G48" s="331">
        <v>-0.003016921571595129</v>
      </c>
      <c r="H48" s="281">
        <v>-0.01089456197752392</v>
      </c>
      <c r="I48" s="281">
        <v>-8.15617619801164E-5</v>
      </c>
      <c r="J48" s="281">
        <v>-7.315796935917588E-4</v>
      </c>
      <c r="K48" s="281">
        <v>-0.002328781022631047</v>
      </c>
    </row>
    <row r="49">
      <c r="A49" s="184">
        <v>44081.983368657406</v>
      </c>
      <c r="B49" s="329">
        <v>5.132</v>
      </c>
      <c r="C49" s="329">
        <v>55.24</v>
      </c>
      <c r="D49" s="329">
        <v>188.54</v>
      </c>
      <c r="E49" s="329">
        <v>154.89</v>
      </c>
      <c r="F49" s="330">
        <v>6.275</v>
      </c>
      <c r="G49" s="331">
        <v>-0.005597440939173397</v>
      </c>
      <c r="H49" s="281">
        <v>-0.010555949968547066</v>
      </c>
      <c r="I49" s="281">
        <v>-0.0012061702930676876</v>
      </c>
      <c r="J49" s="281">
        <v>-0.001525996750933271</v>
      </c>
      <c r="K49" s="281">
        <v>-0.003369286650824884</v>
      </c>
    </row>
    <row r="50">
      <c r="A50" s="184">
        <v>44078.98312335648</v>
      </c>
      <c r="B50" s="329">
        <v>5.198</v>
      </c>
      <c r="C50" s="329">
        <v>54.42</v>
      </c>
      <c r="D50" s="329">
        <v>189.51</v>
      </c>
      <c r="E50" s="329">
        <v>155.31</v>
      </c>
      <c r="F50" s="330">
        <v>6.27</v>
      </c>
      <c r="G50" s="331">
        <v>0.007505024983839685</v>
      </c>
      <c r="H50" s="281">
        <v>-0.008835048537290854</v>
      </c>
      <c r="I50" s="281">
        <v>0.004701412523873498</v>
      </c>
      <c r="J50" s="281">
        <v>-0.003578427690810848</v>
      </c>
      <c r="K50" s="281">
        <v>-0.00358229807415437</v>
      </c>
    </row>
    <row r="51">
      <c r="A51" s="184">
        <v>44077.983117129625</v>
      </c>
      <c r="B51" s="329">
        <v>5.257</v>
      </c>
      <c r="C51" s="329">
        <v>55.87</v>
      </c>
      <c r="D51" s="329">
        <v>189.77</v>
      </c>
      <c r="E51" s="329">
        <v>155.48</v>
      </c>
      <c r="F51" s="330">
        <v>6.245</v>
      </c>
      <c r="G51" s="331">
        <v>0.011419765056490302</v>
      </c>
      <c r="H51" s="281">
        <v>0.0011209886800505053</v>
      </c>
      <c r="I51" s="281">
        <v>0.005319297467794952</v>
      </c>
      <c r="J51" s="281">
        <v>-0.0015785381996034076</v>
      </c>
      <c r="K51" s="281">
        <v>-0.0032281423293521647</v>
      </c>
    </row>
    <row r="52">
      <c r="A52" s="184">
        <v>44076.98311821759</v>
      </c>
      <c r="B52" s="329">
        <v>5.218</v>
      </c>
      <c r="C52" s="329">
        <v>56.98</v>
      </c>
      <c r="D52" s="329">
        <v>189.22</v>
      </c>
      <c r="E52" s="329">
        <v>155.6</v>
      </c>
      <c r="F52" s="330">
        <v>6.338</v>
      </c>
      <c r="G52" s="331">
        <v>0.009078157054266511</v>
      </c>
      <c r="H52" s="281">
        <v>0.00702485629634908</v>
      </c>
      <c r="I52" s="281">
        <v>0.003407209472502837</v>
      </c>
      <c r="J52" s="281">
        <v>-0.0015986747326538115</v>
      </c>
      <c r="K52" s="281">
        <v>0.0013128840947477238</v>
      </c>
    </row>
    <row r="53">
      <c r="A53" s="184">
        <v>44075.98313422454</v>
      </c>
      <c r="B53" s="329">
        <v>5.08</v>
      </c>
      <c r="C53" s="329">
        <v>55.84</v>
      </c>
      <c r="D53" s="329">
        <v>186.84</v>
      </c>
      <c r="E53" s="329">
        <v>156.98</v>
      </c>
      <c r="F53" s="330">
        <v>6.337</v>
      </c>
      <c r="G53" s="331">
        <v>-0.0022328843259027398</v>
      </c>
      <c r="H53" s="281">
        <v>-0.002632079140435728</v>
      </c>
      <c r="I53" s="281">
        <v>-0.003099267058028913</v>
      </c>
      <c r="J53" s="281">
        <v>0.005429944477625348</v>
      </c>
      <c r="K53" s="281">
        <v>0.0011018879736206522</v>
      </c>
    </row>
    <row r="54">
      <c r="A54" s="184">
        <v>44074.98330252315</v>
      </c>
      <c r="B54" s="329">
        <v>5.078</v>
      </c>
      <c r="C54" s="329">
        <v>55.66</v>
      </c>
      <c r="D54" s="329">
        <v>186.75</v>
      </c>
      <c r="E54" s="329">
        <v>156.21</v>
      </c>
      <c r="F54" s="330">
        <v>6.305</v>
      </c>
      <c r="G54" s="331">
        <v>-0.005753506528143104</v>
      </c>
      <c r="H54" s="281">
        <v>3.209039316508881E-4</v>
      </c>
      <c r="I54" s="281">
        <v>-0.003224480319048132</v>
      </c>
      <c r="J54" s="281">
        <v>1.470934832110693E-4</v>
      </c>
      <c r="K54" s="281">
        <v>7.380524167987327E-4</v>
      </c>
    </row>
    <row r="55">
      <c r="A55" s="184">
        <v>44071.98311236111</v>
      </c>
      <c r="B55" s="329">
        <v>5.076</v>
      </c>
      <c r="C55" s="329">
        <v>55.78</v>
      </c>
      <c r="D55" s="329">
        <v>187.28</v>
      </c>
      <c r="E55" s="329">
        <v>156.34</v>
      </c>
      <c r="F55" s="330">
        <v>6.313</v>
      </c>
      <c r="G55" s="331">
        <v>-0.006852658632588253</v>
      </c>
      <c r="H55" s="281">
        <v>0.003377682368046623</v>
      </c>
      <c r="I55" s="281">
        <v>-0.0023138297499589733</v>
      </c>
      <c r="J55" s="281">
        <v>0.005057685977928439</v>
      </c>
      <c r="K55" s="281">
        <v>0.003121469802502238</v>
      </c>
    </row>
    <row r="56">
      <c r="A56" s="184">
        <v>44070.983116250005</v>
      </c>
      <c r="B56" s="329">
        <v>5.114</v>
      </c>
      <c r="C56" s="329">
        <v>56.28</v>
      </c>
      <c r="D56" s="329">
        <v>188.58</v>
      </c>
      <c r="E56" s="329">
        <v>154.43</v>
      </c>
      <c r="F56" s="330">
        <v>6.316</v>
      </c>
      <c r="G56" s="331">
        <v>-0.009375591656492524</v>
      </c>
      <c r="H56" s="281">
        <v>0.007150493101652278</v>
      </c>
      <c r="I56" s="281">
        <v>-0.002050415599640587</v>
      </c>
      <c r="J56" s="281">
        <v>-0.0022624427616189102</v>
      </c>
      <c r="K56" s="281">
        <v>0.003919463759267068</v>
      </c>
    </row>
    <row r="57">
      <c r="A57" s="184">
        <v>44069.98313633102</v>
      </c>
      <c r="B57" s="329">
        <v>5.166</v>
      </c>
      <c r="C57" s="329">
        <v>55.6</v>
      </c>
      <c r="D57" s="329">
        <v>188.56</v>
      </c>
      <c r="E57" s="329">
        <v>156.12</v>
      </c>
      <c r="F57" s="330">
        <v>6.291</v>
      </c>
      <c r="G57" s="331">
        <v>-0.006620037112295159</v>
      </c>
      <c r="H57" s="281">
        <v>0.005906841043445595</v>
      </c>
      <c r="I57" s="281">
        <v>-0.0028587551251509544</v>
      </c>
      <c r="J57" s="281">
        <v>-0.0013593392150899424</v>
      </c>
      <c r="K57" s="281">
        <v>0.004148712232144451</v>
      </c>
    </row>
    <row r="58">
      <c r="A58" s="184">
        <v>44068.98311475695</v>
      </c>
      <c r="B58" s="329">
        <v>5.181</v>
      </c>
      <c r="C58" s="329">
        <v>55.21</v>
      </c>
      <c r="D58" s="329">
        <v>188.58</v>
      </c>
      <c r="E58" s="329">
        <v>153.95</v>
      </c>
      <c r="F58" s="330">
        <v>6.254</v>
      </c>
      <c r="G58" s="331">
        <v>-0.0019829098365407027</v>
      </c>
      <c r="H58" s="281">
        <v>0.006498041462824474</v>
      </c>
      <c r="I58" s="281">
        <v>-5.974380770987775E-4</v>
      </c>
      <c r="J58" s="281">
        <v>-0.004206015525319777</v>
      </c>
      <c r="K58" s="281">
        <v>0.0014907772890729865</v>
      </c>
    </row>
    <row r="59">
      <c r="A59" s="184">
        <v>44067.98312518519</v>
      </c>
      <c r="B59" s="329">
        <v>5.259</v>
      </c>
      <c r="C59" s="329">
        <v>55.08</v>
      </c>
      <c r="D59" s="329">
        <v>189.74</v>
      </c>
      <c r="E59" s="329">
        <v>155.45</v>
      </c>
      <c r="F59" s="330">
        <v>6.242</v>
      </c>
      <c r="G59" s="331">
        <v>0.005082378352582777</v>
      </c>
      <c r="H59" s="281">
        <v>0.004851196684535449</v>
      </c>
      <c r="I59" s="281">
        <v>0.0042585425622382695</v>
      </c>
      <c r="J59" s="281">
        <v>-0.0016210683596102893</v>
      </c>
      <c r="K59" s="281">
        <v>-2.1959182884082976E-4</v>
      </c>
    </row>
    <row r="60">
      <c r="A60" s="184">
        <v>44064.98312237269</v>
      </c>
      <c r="B60" s="329">
        <v>5.269</v>
      </c>
      <c r="C60" s="329">
        <v>54.62</v>
      </c>
      <c r="D60" s="329">
        <v>190.18</v>
      </c>
      <c r="E60" s="329">
        <v>156.73</v>
      </c>
      <c r="F60" s="330">
        <v>6.213</v>
      </c>
      <c r="G60" s="331">
        <v>0.008097624527845756</v>
      </c>
      <c r="H60" s="281">
        <v>0.003971076265688156</v>
      </c>
      <c r="I60" s="281">
        <v>0.005013735298456649</v>
      </c>
      <c r="J60" s="281">
        <v>-0.005214376897446156</v>
      </c>
      <c r="K60" s="281">
        <v>-0.0023019156514071013</v>
      </c>
    </row>
    <row r="61">
      <c r="A61" s="184">
        <v>44063.98311584491</v>
      </c>
      <c r="B61" s="329">
        <v>5.211</v>
      </c>
      <c r="C61" s="329">
        <v>54.14</v>
      </c>
      <c r="D61" s="329">
        <v>188.91</v>
      </c>
      <c r="E61" s="329">
        <v>155.89</v>
      </c>
      <c r="F61" s="330">
        <v>6.226</v>
      </c>
      <c r="G61" s="331">
        <v>0.002613246739246159</v>
      </c>
      <c r="H61" s="281">
        <v>-1.935078036356952E-4</v>
      </c>
      <c r="I61" s="281">
        <v>9.727950143109121E-4</v>
      </c>
      <c r="J61" s="281">
        <v>-0.00605850009201155</v>
      </c>
      <c r="K61" s="281">
        <v>-1.1255223292786869E-4</v>
      </c>
    </row>
    <row r="62">
      <c r="A62" s="184">
        <v>44062.983174548615</v>
      </c>
      <c r="B62" s="329">
        <v>5.179</v>
      </c>
      <c r="C62" s="329">
        <v>54.28</v>
      </c>
      <c r="D62" s="329">
        <v>187.32</v>
      </c>
      <c r="E62" s="329">
        <v>156.2</v>
      </c>
      <c r="F62" s="330">
        <v>6.246</v>
      </c>
      <c r="G62" s="331">
        <v>5.018202460903565E-4</v>
      </c>
      <c r="H62" s="281">
        <v>2.3771228530119112E-4</v>
      </c>
      <c r="I62" s="281">
        <v>-0.002027446812843984</v>
      </c>
      <c r="J62" s="281">
        <v>1.7059021689321459E-6</v>
      </c>
      <c r="K62" s="281">
        <v>0.004062486552703397</v>
      </c>
    </row>
    <row r="63">
      <c r="A63" s="184">
        <v>44061.983352696756</v>
      </c>
      <c r="B63" s="329">
        <v>5.142</v>
      </c>
      <c r="C63" s="329">
        <v>53.97</v>
      </c>
      <c r="D63" s="329">
        <v>187.33</v>
      </c>
      <c r="E63" s="329">
        <v>159.17</v>
      </c>
      <c r="F63" s="330">
        <v>6.256</v>
      </c>
      <c r="G63" s="331">
        <v>-0.004973770942544142</v>
      </c>
      <c r="H63" s="281">
        <v>-0.002034728440488539</v>
      </c>
      <c r="I63" s="281">
        <v>-0.002522581309246208</v>
      </c>
      <c r="J63" s="281">
        <v>0.00559258923181923</v>
      </c>
      <c r="K63" s="281">
        <v>0.0062709318323446546</v>
      </c>
    </row>
    <row r="64">
      <c r="A64" s="184">
        <v>44060.98334341435</v>
      </c>
      <c r="B64" s="329">
        <v>5.17</v>
      </c>
      <c r="C64" s="329">
        <v>54.17</v>
      </c>
      <c r="D64" s="329">
        <v>188.35</v>
      </c>
      <c r="E64" s="329">
        <v>158.72</v>
      </c>
      <c r="F64" s="330">
        <v>6.228</v>
      </c>
      <c r="G64" s="331">
        <v>-0.003988953154702379</v>
      </c>
      <c r="H64" s="281">
        <v>-0.0014133478289968249</v>
      </c>
      <c r="I64" s="281">
        <v>-0.001184423587083705</v>
      </c>
      <c r="J64" s="281">
        <v>0.005459572262735153</v>
      </c>
      <c r="K64" s="281">
        <v>0.006353662857430294</v>
      </c>
    </row>
    <row r="65">
      <c r="A65" s="184">
        <v>44057.98324901621</v>
      </c>
      <c r="B65" s="329">
        <v>5.171</v>
      </c>
      <c r="C65" s="329">
        <v>54.24</v>
      </c>
      <c r="D65" s="329">
        <v>188.46</v>
      </c>
      <c r="E65" s="329">
        <v>156.15</v>
      </c>
      <c r="F65" s="330">
        <v>6.17</v>
      </c>
      <c r="G65" s="331">
        <v>-0.00685516159869722</v>
      </c>
      <c r="H65" s="281">
        <v>-0.0014728011839035087</v>
      </c>
      <c r="I65" s="281">
        <v>-0.0022770922768062065</v>
      </c>
      <c r="J65" s="281">
        <v>-0.0019447763273347334</v>
      </c>
      <c r="K65" s="281">
        <v>0.0011762983269727096</v>
      </c>
    </row>
    <row r="66">
      <c r="A66" s="184">
        <v>44056.983145046295</v>
      </c>
      <c r="B66" s="329">
        <v>5.219</v>
      </c>
      <c r="C66" s="329">
        <v>54.3</v>
      </c>
      <c r="D66" s="329">
        <v>188.75</v>
      </c>
      <c r="E66" s="329">
        <v>156.5</v>
      </c>
      <c r="F66" s="330">
        <v>6.139</v>
      </c>
      <c r="G66" s="331">
        <v>-0.009823885137710006</v>
      </c>
      <c r="H66" s="281">
        <v>0.0012821271489749098</v>
      </c>
      <c r="I66" s="281">
        <v>-0.004047869551092524</v>
      </c>
      <c r="J66" s="281">
        <v>-0.01628740609640082</v>
      </c>
      <c r="K66" s="281">
        <v>-0.004239526068709883</v>
      </c>
    </row>
    <row r="67">
      <c r="A67" s="184">
        <v>44055.983145578706</v>
      </c>
      <c r="B67" s="329">
        <v>5.232</v>
      </c>
      <c r="C67" s="329">
        <v>54.4</v>
      </c>
      <c r="D67" s="329">
        <v>189.02</v>
      </c>
      <c r="E67" s="329">
        <v>156.12</v>
      </c>
      <c r="F67" s="330">
        <v>6.11</v>
      </c>
      <c r="G67" s="331">
        <v>-0.010048045335629899</v>
      </c>
      <c r="H67" s="281">
        <v>0.003066888717154622</v>
      </c>
      <c r="I67" s="281">
        <v>-0.0032046521276864284</v>
      </c>
      <c r="J67" s="281">
        <v>-0.016609478018133467</v>
      </c>
      <c r="K67" s="281">
        <v>-0.003562268222975303</v>
      </c>
    </row>
    <row r="68">
      <c r="A68" s="184">
        <v>44054.98311929398</v>
      </c>
      <c r="B68" s="329">
        <v>5.278</v>
      </c>
      <c r="C68" s="329">
        <v>54.48</v>
      </c>
      <c r="D68" s="329">
        <v>189.75</v>
      </c>
      <c r="E68" s="329">
        <v>157.06</v>
      </c>
      <c r="F68" s="330">
        <v>6.148</v>
      </c>
      <c r="G68" s="331">
        <v>-0.008539485650981652</v>
      </c>
      <c r="H68" s="281">
        <v>0.007391345772704024</v>
      </c>
      <c r="I68" s="281">
        <v>-0.0013234446836981235</v>
      </c>
      <c r="J68" s="281">
        <v>-0.015517499563838114</v>
      </c>
      <c r="K68" s="281">
        <v>-0.004458124885909354</v>
      </c>
    </row>
    <row r="69">
      <c r="A69" s="184">
        <v>44053.983234074076</v>
      </c>
      <c r="B69" s="329">
        <v>5.374</v>
      </c>
      <c r="C69" s="329">
        <v>54.09</v>
      </c>
      <c r="D69" s="329">
        <v>191.05</v>
      </c>
      <c r="E69" s="329">
        <v>164.17</v>
      </c>
      <c r="F69" s="330">
        <v>6.217</v>
      </c>
      <c r="G69" s="331">
        <v>0.0024489187491395135</v>
      </c>
      <c r="H69" s="281">
        <v>0.0061938376919361176</v>
      </c>
      <c r="I69" s="281">
        <v>0.003392457923337607</v>
      </c>
      <c r="J69" s="281">
        <v>0.0014378710213934776</v>
      </c>
      <c r="K69" s="281">
        <v>7.81056456215882E-4</v>
      </c>
    </row>
    <row r="70">
      <c r="A70" s="184">
        <v>44050.98313256944</v>
      </c>
      <c r="B70" s="329">
        <v>5.391</v>
      </c>
      <c r="C70" s="329">
        <v>53.9</v>
      </c>
      <c r="D70" s="329">
        <v>190.84</v>
      </c>
      <c r="E70" s="329">
        <v>163.93</v>
      </c>
      <c r="F70" s="330">
        <v>6.175</v>
      </c>
      <c r="G70" s="331">
        <v>-0.0023083950347208373</v>
      </c>
      <c r="H70" s="281">
        <v>0.004143939180467404</v>
      </c>
      <c r="I70" s="281">
        <v>-0.001239533288009409</v>
      </c>
      <c r="J70" s="281">
        <v>0.0065788595373771725</v>
      </c>
      <c r="K70" s="281">
        <v>7.327567168339636E-4</v>
      </c>
    </row>
    <row r="71">
      <c r="A71" s="184">
        <v>44049.98322616898</v>
      </c>
      <c r="B71" s="329">
        <v>5.414</v>
      </c>
      <c r="C71" s="329">
        <v>53.28</v>
      </c>
      <c r="D71" s="329">
        <v>190.5</v>
      </c>
      <c r="E71" s="329">
        <v>164.38</v>
      </c>
      <c r="F71" s="330">
        <v>6.23</v>
      </c>
      <c r="G71" s="331">
        <v>0.0010792094929817548</v>
      </c>
      <c r="H71" s="281">
        <v>-3.4284407736858333E-6</v>
      </c>
      <c r="I71" s="281">
        <v>-0.0019204175742537262</v>
      </c>
      <c r="J71" s="281">
        <v>0.009982994386168084</v>
      </c>
      <c r="K71" s="281">
        <v>0.005054311856352596</v>
      </c>
    </row>
    <row r="72">
      <c r="A72" s="184">
        <v>44048.98313822917</v>
      </c>
      <c r="B72" s="329">
        <v>5.334</v>
      </c>
      <c r="C72" s="329">
        <v>53.09</v>
      </c>
      <c r="D72" s="329">
        <v>189.11</v>
      </c>
      <c r="E72" s="329">
        <v>163.46</v>
      </c>
      <c r="F72" s="330">
        <v>6.202</v>
      </c>
      <c r="G72" s="331">
        <v>-0.0037227210846041046</v>
      </c>
      <c r="H72" s="281">
        <v>0.006190265252920065</v>
      </c>
      <c r="I72" s="281">
        <v>-0.002386507136421967</v>
      </c>
      <c r="J72" s="281">
        <v>0.010876019099021509</v>
      </c>
      <c r="K72" s="281">
        <v>0.0105096829944508</v>
      </c>
    </row>
    <row r="73">
      <c r="A73" s="184">
        <v>44047.98315832176</v>
      </c>
      <c r="B73" s="329">
        <v>5.427</v>
      </c>
      <c r="C73" s="329">
        <v>53.23</v>
      </c>
      <c r="D73" s="329">
        <v>191.53</v>
      </c>
      <c r="E73" s="329">
        <v>160.7</v>
      </c>
      <c r="F73" s="330">
        <v>6.161</v>
      </c>
      <c r="G73" s="331">
        <v>5.438395133630092E-4</v>
      </c>
      <c r="H73" s="281">
        <v>0.007325193844465394</v>
      </c>
      <c r="I73" s="281">
        <v>0.0010039675145267306</v>
      </c>
      <c r="J73" s="281">
        <v>0.008492978862449818</v>
      </c>
      <c r="K73" s="281">
        <v>0.01013698489855149</v>
      </c>
    </row>
    <row r="74">
      <c r="A74" s="184">
        <v>44046.98314548611</v>
      </c>
      <c r="B74" s="329">
        <v>5.395</v>
      </c>
      <c r="C74" s="329">
        <v>53.28</v>
      </c>
      <c r="D74" s="329">
        <v>191.58</v>
      </c>
      <c r="E74" s="329">
        <v>159.5</v>
      </c>
      <c r="F74" s="330">
        <v>6.136</v>
      </c>
      <c r="G74" s="331">
        <v>0.001285384240406584</v>
      </c>
      <c r="H74" s="281">
        <v>0.00597355468246726</v>
      </c>
      <c r="I74" s="281">
        <v>0.0014575741963606854</v>
      </c>
      <c r="J74" s="281">
        <v>0.003599204095560249</v>
      </c>
      <c r="K74" s="281">
        <v>0.005381322282423606</v>
      </c>
    </row>
    <row r="75">
      <c r="A75" s="184">
        <v>44043.98321990741</v>
      </c>
      <c r="B75" s="329">
        <v>5.393</v>
      </c>
      <c r="C75" s="329">
        <v>52.1</v>
      </c>
      <c r="D75" s="329">
        <v>190.45</v>
      </c>
      <c r="E75" s="329">
        <v>158.18</v>
      </c>
      <c r="F75" s="330">
        <v>6.008</v>
      </c>
      <c r="G75" s="331">
        <v>-2.6480897469712456E-4</v>
      </c>
      <c r="H75" s="281">
        <v>-0.002109643194308619</v>
      </c>
      <c r="I75" s="281">
        <v>-0.0013124188340094545</v>
      </c>
      <c r="J75" s="281">
        <v>-8.90398853838903E-5</v>
      </c>
      <c r="K75" s="281">
        <v>-0.001627400406792397</v>
      </c>
    </row>
    <row r="76">
      <c r="A76" s="184">
        <v>44042.98322649306</v>
      </c>
      <c r="B76" s="329">
        <v>5.418</v>
      </c>
      <c r="C76" s="329">
        <v>52.06</v>
      </c>
      <c r="D76" s="329">
        <v>190.95</v>
      </c>
      <c r="E76" s="329">
        <v>156.64</v>
      </c>
      <c r="F76" s="330">
        <v>5.975</v>
      </c>
      <c r="G76" s="331">
        <v>0.0013421666633218754</v>
      </c>
      <c r="H76" s="281">
        <v>5.035833836900908E-5</v>
      </c>
      <c r="I76" s="281">
        <v>3.4722032348769954E-4</v>
      </c>
      <c r="J76" s="281">
        <v>3.317256112710017E-4</v>
      </c>
      <c r="K76" s="281">
        <v>-0.001360120169175009</v>
      </c>
    </row>
    <row r="77">
      <c r="A77" s="184">
        <v>44041.98347232639</v>
      </c>
      <c r="B77" s="329">
        <v>5.374</v>
      </c>
      <c r="C77" s="329">
        <v>52.32</v>
      </c>
      <c r="D77" s="329">
        <v>190.74</v>
      </c>
      <c r="E77" s="329">
        <v>157.77</v>
      </c>
      <c r="F77" s="330">
        <v>6.036</v>
      </c>
      <c r="G77" s="331">
        <v>-0.0037122771398936014</v>
      </c>
      <c r="H77" s="281">
        <v>-0.0014869451670693017</v>
      </c>
      <c r="I77" s="281">
        <v>-0.0035492935203441287</v>
      </c>
      <c r="J77" s="281">
        <v>0.005122364117144136</v>
      </c>
      <c r="K77" s="281">
        <v>-6.851485048287032E-5</v>
      </c>
    </row>
    <row r="78">
      <c r="A78" s="184">
        <v>44040.983154421294</v>
      </c>
      <c r="B78" s="329">
        <v>5.397</v>
      </c>
      <c r="C78" s="329">
        <v>52.43</v>
      </c>
      <c r="D78" s="329">
        <v>191.2</v>
      </c>
      <c r="E78" s="329">
        <v>158.21</v>
      </c>
      <c r="F78" s="330">
        <v>6.037</v>
      </c>
      <c r="G78" s="331">
        <v>-0.0024696816325144497</v>
      </c>
      <c r="H78" s="281">
        <v>-0.0074464531741030475</v>
      </c>
      <c r="I78" s="281">
        <v>-0.0038520797950104177</v>
      </c>
      <c r="J78" s="281">
        <v>0.006974635193005563</v>
      </c>
      <c r="K78" s="281">
        <v>-0.0017249575829310082</v>
      </c>
    </row>
    <row r="79">
      <c r="A79" s="184">
        <v>44039.98320153935</v>
      </c>
      <c r="B79" s="329">
        <v>5.396</v>
      </c>
      <c r="C79" s="329">
        <v>52.05</v>
      </c>
      <c r="D79" s="329">
        <v>190.75</v>
      </c>
      <c r="E79" s="329">
        <v>156.47</v>
      </c>
      <c r="F79" s="330">
        <v>5.999</v>
      </c>
      <c r="G79" s="331">
        <v>-0.001489202908029193</v>
      </c>
      <c r="H79" s="281">
        <v>-0.008991726046817528</v>
      </c>
      <c r="I79" s="281">
        <v>-0.00511916588127385</v>
      </c>
      <c r="J79" s="281">
        <v>0.00806376410578813</v>
      </c>
      <c r="K79" s="281">
        <v>-9.116819309574383E-4</v>
      </c>
    </row>
    <row r="80">
      <c r="A80" s="184">
        <v>44036.98309721064</v>
      </c>
      <c r="B80" s="329">
        <v>5.434</v>
      </c>
      <c r="C80" s="329">
        <v>52.55</v>
      </c>
      <c r="D80" s="329">
        <v>192.77</v>
      </c>
      <c r="E80" s="329">
        <v>155.35</v>
      </c>
      <c r="F80" s="330">
        <v>6.037</v>
      </c>
      <c r="G80" s="331">
        <v>-5.562992127950972E-4</v>
      </c>
      <c r="H80" s="281">
        <v>-0.009530791587484044</v>
      </c>
      <c r="I80" s="281">
        <v>-0.0038609113767319827</v>
      </c>
      <c r="J80" s="281">
        <v>0.007183912939940362</v>
      </c>
      <c r="K80" s="281">
        <v>-6.84397352124592E-4</v>
      </c>
    </row>
    <row r="81">
      <c r="A81" s="184">
        <v>44035.98311418982</v>
      </c>
      <c r="B81" s="329">
        <v>5.437</v>
      </c>
      <c r="C81" s="329">
        <v>53.6</v>
      </c>
      <c r="D81" s="329">
        <v>193.41</v>
      </c>
      <c r="E81" s="329">
        <v>154.92</v>
      </c>
      <c r="F81" s="330">
        <v>6.068</v>
      </c>
      <c r="G81" s="331">
        <v>-8.62198611686904E-4</v>
      </c>
      <c r="H81" s="281">
        <v>-3.4241283880069123E-4</v>
      </c>
      <c r="I81" s="281">
        <v>-0.003779826916392818</v>
      </c>
      <c r="J81" s="281">
        <v>0.009002132585092082</v>
      </c>
      <c r="K81" s="281">
        <v>0.0050499730677761034</v>
      </c>
    </row>
    <row r="82">
      <c r="A82" s="184">
        <v>44034.98312655093</v>
      </c>
      <c r="B82" s="329">
        <v>5.42</v>
      </c>
      <c r="C82" s="329">
        <v>53.46</v>
      </c>
      <c r="D82" s="329">
        <v>193.69</v>
      </c>
      <c r="E82" s="329">
        <v>152.71</v>
      </c>
      <c r="F82" s="330">
        <v>6.015</v>
      </c>
      <c r="G82" s="331">
        <v>-0.002210194339697195</v>
      </c>
      <c r="H82" s="281">
        <v>1.5382452053495457E-4</v>
      </c>
      <c r="I82" s="281">
        <v>-0.003791440256028548</v>
      </c>
      <c r="J82" s="281">
        <v>0.005020795721805619</v>
      </c>
      <c r="K82" s="281">
        <v>5.767222677548478E-4</v>
      </c>
    </row>
    <row r="83">
      <c r="A83" s="184">
        <v>44033.98311412037</v>
      </c>
      <c r="B83" s="329">
        <v>5.443</v>
      </c>
      <c r="C83" s="329">
        <v>54.06</v>
      </c>
      <c r="D83" s="329">
        <v>195.01</v>
      </c>
      <c r="E83" s="329">
        <v>152.02</v>
      </c>
      <c r="F83" s="330">
        <v>6.049</v>
      </c>
      <c r="G83" s="331">
        <v>-0.0017121024819457542</v>
      </c>
      <c r="H83" s="281">
        <v>0.005205064770477589</v>
      </c>
      <c r="I83" s="281">
        <v>-0.0016558929015339323</v>
      </c>
      <c r="J83" s="281">
        <v>0.00437891978124072</v>
      </c>
      <c r="K83" s="281">
        <v>0.0017946781922156447</v>
      </c>
    </row>
    <row r="84">
      <c r="A84" s="184">
        <v>44032.983140972225</v>
      </c>
      <c r="B84" s="329">
        <v>5.451</v>
      </c>
      <c r="C84" s="329">
        <v>53.65</v>
      </c>
      <c r="D84" s="329">
        <v>195.61</v>
      </c>
      <c r="E84" s="329">
        <v>150.77</v>
      </c>
      <c r="F84" s="330">
        <v>5.976</v>
      </c>
      <c r="G84" s="331">
        <v>9.102793967779022E-4</v>
      </c>
      <c r="H84" s="281">
        <v>5.474842820840283E-4</v>
      </c>
      <c r="I84" s="281">
        <v>-3.2415078101951284E-4</v>
      </c>
      <c r="J84" s="281">
        <v>9.270834341889763E-4</v>
      </c>
      <c r="K84" s="281">
        <v>-8.428302494821368E-4</v>
      </c>
    </row>
    <row r="85">
      <c r="A85" s="184">
        <v>44029.98313068287</v>
      </c>
      <c r="B85" s="329">
        <v>5.456</v>
      </c>
      <c r="C85" s="329">
        <v>53.43</v>
      </c>
      <c r="D85" s="329">
        <v>195.9</v>
      </c>
      <c r="E85" s="329">
        <v>150.42</v>
      </c>
      <c r="F85" s="330">
        <v>6.004</v>
      </c>
      <c r="G85" s="331">
        <v>-0.001849946194546111</v>
      </c>
      <c r="H85" s="281">
        <v>0.004221675586004133</v>
      </c>
      <c r="I85" s="281">
        <v>-8.173722945698328E-4</v>
      </c>
      <c r="J85" s="281">
        <v>-6.448598203825003E-4</v>
      </c>
      <c r="K85" s="281">
        <v>-5.050857925468962E-4</v>
      </c>
    </row>
    <row r="86">
      <c r="A86" s="184">
        <v>44028.98310488426</v>
      </c>
      <c r="B86" s="329">
        <v>5.471</v>
      </c>
      <c r="C86" s="329">
        <v>53.22</v>
      </c>
      <c r="D86" s="329">
        <v>195.98</v>
      </c>
      <c r="E86" s="329">
        <v>150.03</v>
      </c>
      <c r="F86" s="330">
        <v>6.016</v>
      </c>
      <c r="G86" s="331">
        <v>0.0017399479606285222</v>
      </c>
      <c r="H86" s="281">
        <v>-0.004545005893861013</v>
      </c>
      <c r="I86" s="281">
        <v>-8.679612575045089E-4</v>
      </c>
      <c r="J86" s="281">
        <v>-0.002216867638255312</v>
      </c>
      <c r="K86" s="281">
        <v>-0.00200084564575409</v>
      </c>
    </row>
    <row r="87">
      <c r="A87" s="184">
        <v>44027.983116874995</v>
      </c>
      <c r="B87" s="329">
        <v>5.436</v>
      </c>
      <c r="C87" s="329">
        <v>53.56</v>
      </c>
      <c r="D87" s="329">
        <v>195.8</v>
      </c>
      <c r="E87" s="329">
        <v>150.35</v>
      </c>
      <c r="F87" s="330">
        <v>5.991</v>
      </c>
      <c r="G87" s="331">
        <v>-0.005231415283873424</v>
      </c>
      <c r="H87" s="281">
        <v>0.003456328482575303</v>
      </c>
      <c r="I87" s="281">
        <v>-0.003786631274883471</v>
      </c>
      <c r="J87" s="281">
        <v>-0.0017707467643627666</v>
      </c>
      <c r="K87" s="281">
        <v>-0.005203621646185412</v>
      </c>
    </row>
    <row r="88">
      <c r="A88" s="184">
        <v>44026.0</v>
      </c>
      <c r="B88" s="329">
        <v>5.486</v>
      </c>
      <c r="C88" s="329">
        <v>52.75</v>
      </c>
      <c r="D88" s="329">
        <v>196.38</v>
      </c>
      <c r="E88" s="329">
        <v>150.71</v>
      </c>
      <c r="F88" s="330">
        <v>6.013</v>
      </c>
      <c r="G88" s="331">
        <v>3.0E-4</v>
      </c>
      <c r="H88" s="281">
        <v>0.0014</v>
      </c>
      <c r="I88" s="281">
        <v>-0.0028</v>
      </c>
      <c r="J88" s="281">
        <v>-0.0015</v>
      </c>
      <c r="K88" s="281">
        <v>-0.0039</v>
      </c>
    </row>
    <row r="89">
      <c r="A89" s="184">
        <v>44025.98310383102</v>
      </c>
      <c r="B89" s="329">
        <v>5.442</v>
      </c>
      <c r="C89" s="329">
        <v>53.93</v>
      </c>
      <c r="D89" s="329">
        <v>196.49</v>
      </c>
      <c r="E89" s="329">
        <v>151.03</v>
      </c>
      <c r="F89" s="330">
        <v>6.052</v>
      </c>
      <c r="G89" s="331">
        <v>0.0018943972472410902</v>
      </c>
      <c r="H89" s="281">
        <v>0.007875943669444737</v>
      </c>
      <c r="I89" s="281">
        <v>-8.956922943180364E-4</v>
      </c>
      <c r="J89" s="281">
        <v>-0.0018289174308450118</v>
      </c>
      <c r="K89" s="281">
        <v>-0.0013792368011338318</v>
      </c>
    </row>
    <row r="90">
      <c r="A90" s="184">
        <v>44022.983135567134</v>
      </c>
      <c r="B90" s="329">
        <v>5.521</v>
      </c>
      <c r="C90" s="329">
        <v>52.98</v>
      </c>
      <c r="D90" s="329">
        <v>198.03</v>
      </c>
      <c r="E90" s="329">
        <v>151.15</v>
      </c>
      <c r="F90" s="330">
        <v>6.085</v>
      </c>
      <c r="G90" s="331">
        <v>0.007349447456890405</v>
      </c>
      <c r="H90" s="281">
        <v>-0.002490105243041126</v>
      </c>
      <c r="I90" s="281">
        <v>0.0011753963568030084</v>
      </c>
      <c r="J90" s="281">
        <v>6.748348665082116E-4</v>
      </c>
      <c r="K90" s="281">
        <v>5.480474165378372E-4</v>
      </c>
    </row>
    <row r="91">
      <c r="A91" s="184">
        <v>44021.98311680555</v>
      </c>
      <c r="B91" s="329">
        <v>5.48</v>
      </c>
      <c r="C91" s="329">
        <v>52.5</v>
      </c>
      <c r="D91" s="329">
        <v>198.04</v>
      </c>
      <c r="E91" s="329">
        <v>151.41</v>
      </c>
      <c r="F91" s="330">
        <v>6.083</v>
      </c>
      <c r="G91" s="331">
        <v>0.007590099870458371</v>
      </c>
      <c r="H91" s="281">
        <v>-0.005197827489206386</v>
      </c>
      <c r="I91" s="281">
        <v>0.002087514216598548</v>
      </c>
      <c r="J91" s="281">
        <v>0.003325472970634532</v>
      </c>
      <c r="K91" s="281">
        <v>0.002962493878581681</v>
      </c>
    </row>
    <row r="92">
      <c r="A92" s="184">
        <v>44020.98313337963</v>
      </c>
      <c r="B92" s="329">
        <v>5.41</v>
      </c>
      <c r="C92" s="329">
        <v>52.66</v>
      </c>
      <c r="D92" s="329">
        <v>197.01</v>
      </c>
      <c r="E92" s="329">
        <v>151.86</v>
      </c>
      <c r="F92" s="330">
        <v>6.077</v>
      </c>
      <c r="G92" s="331">
        <v>-0.0010865281102585926</v>
      </c>
      <c r="H92" s="281">
        <v>-2.4346985217812053E-4</v>
      </c>
      <c r="I92" s="281">
        <v>-0.002406982392172815</v>
      </c>
      <c r="J92" s="281">
        <v>0.004004841850902996</v>
      </c>
      <c r="K92" s="281">
        <v>0.004237070270050898</v>
      </c>
    </row>
    <row r="93">
      <c r="A93" s="184">
        <v>44019.98297020834</v>
      </c>
      <c r="B93" s="329">
        <v>5.4</v>
      </c>
      <c r="C93" s="329">
        <v>53.37</v>
      </c>
      <c r="D93" s="329">
        <v>197.33</v>
      </c>
      <c r="E93" s="329">
        <v>150.84</v>
      </c>
      <c r="F93" s="330">
        <v>6.075</v>
      </c>
      <c r="G93" s="331">
        <v>-0.0015184071895659734</v>
      </c>
      <c r="H93" s="281">
        <v>0.002163087252775068</v>
      </c>
      <c r="I93" s="281">
        <v>-0.0016135766875507256</v>
      </c>
      <c r="J93" s="281">
        <v>0.0010327997670728968</v>
      </c>
      <c r="K93" s="281">
        <v>0.0036273670173494477</v>
      </c>
    </row>
    <row r="94">
      <c r="A94" s="184">
        <v>44018.9831022338</v>
      </c>
      <c r="B94" s="329">
        <v>5.356</v>
      </c>
      <c r="C94" s="329">
        <v>53.32</v>
      </c>
      <c r="D94" s="329">
        <v>196.8</v>
      </c>
      <c r="E94" s="329">
        <v>149.9</v>
      </c>
      <c r="F94" s="330">
        <v>6.029</v>
      </c>
      <c r="G94" s="331">
        <v>-0.0035584487060087433</v>
      </c>
      <c r="H94" s="281">
        <v>0.006251656972183069</v>
      </c>
      <c r="I94" s="281">
        <v>-0.001970902293379151</v>
      </c>
      <c r="J94" s="281">
        <v>0.0027461932438700063</v>
      </c>
      <c r="K94" s="281">
        <v>0.003876978882131158</v>
      </c>
    </row>
    <row r="95">
      <c r="A95" s="184">
        <v>44015.98317586805</v>
      </c>
      <c r="B95" s="329">
        <v>5.427</v>
      </c>
      <c r="C95" s="329">
        <v>52.69</v>
      </c>
      <c r="D95" s="329">
        <v>198.43</v>
      </c>
      <c r="E95" s="329">
        <v>150.04</v>
      </c>
      <c r="F95" s="330">
        <v>6.0</v>
      </c>
      <c r="G95" s="331">
        <v>-0.0016029341303007334</v>
      </c>
      <c r="H95" s="281">
        <v>0.005371276326562979</v>
      </c>
      <c r="I95" s="281">
        <v>-4.7294357515792473E-4</v>
      </c>
      <c r="J95" s="281">
        <v>-0.0013821490705916057</v>
      </c>
      <c r="K95" s="281">
        <v>0.0036161244838193163</v>
      </c>
    </row>
    <row r="96">
      <c r="A96" s="184">
        <v>44014.983128113425</v>
      </c>
      <c r="B96" s="329">
        <v>5.424</v>
      </c>
      <c r="C96" s="329">
        <v>53.02</v>
      </c>
      <c r="D96" s="329">
        <v>198.28</v>
      </c>
      <c r="E96" s="329">
        <v>150.37</v>
      </c>
      <c r="F96" s="330">
        <v>6.009</v>
      </c>
      <c r="G96" s="331">
        <v>-0.0025818675969879377</v>
      </c>
      <c r="H96" s="281">
        <v>0.011059782044064362</v>
      </c>
      <c r="I96" s="281">
        <v>-8.423456544747188E-4</v>
      </c>
      <c r="J96" s="281">
        <v>0.0012097248187999214</v>
      </c>
      <c r="K96" s="281">
        <v>0.007205144422038938</v>
      </c>
    </row>
    <row r="97">
      <c r="A97" s="184">
        <v>44013.98307696759</v>
      </c>
      <c r="B97" s="329">
        <v>5.413</v>
      </c>
      <c r="C97" s="329">
        <v>52.32</v>
      </c>
      <c r="D97" s="329">
        <v>197.96</v>
      </c>
      <c r="E97" s="329">
        <v>148.66</v>
      </c>
      <c r="F97" s="330">
        <v>5.959</v>
      </c>
      <c r="G97" s="331">
        <v>-0.004477536397521502</v>
      </c>
      <c r="H97" s="281">
        <v>0.007048942621426783</v>
      </c>
      <c r="I97" s="281">
        <v>-0.0023025980938235304</v>
      </c>
      <c r="J97" s="281">
        <v>-6.895141419489548E-4</v>
      </c>
      <c r="K97" s="281">
        <v>0.007832887614506437</v>
      </c>
    </row>
    <row r="98">
      <c r="A98" s="184">
        <v>44012.98311090277</v>
      </c>
      <c r="B98" s="329">
        <v>5.453</v>
      </c>
      <c r="C98" s="329">
        <v>51.84</v>
      </c>
      <c r="D98" s="329">
        <v>198.71</v>
      </c>
      <c r="E98" s="329">
        <v>150.64</v>
      </c>
      <c r="F98" s="330">
        <v>5.935</v>
      </c>
      <c r="G98" s="331">
        <v>-2.5226953132436353E-4</v>
      </c>
      <c r="H98" s="281">
        <v>0.002624184994973966</v>
      </c>
      <c r="I98" s="281">
        <v>-1.868596324552385E-4</v>
      </c>
      <c r="J98" s="281">
        <v>0.003906798949793326</v>
      </c>
      <c r="K98" s="281">
        <v>0.007005844399963028</v>
      </c>
    </row>
    <row r="99">
      <c r="A99" s="184">
        <v>44011.983127245374</v>
      </c>
      <c r="B99" s="329">
        <v>5.466</v>
      </c>
      <c r="C99" s="329">
        <v>51.28</v>
      </c>
      <c r="D99" s="329">
        <v>198.78</v>
      </c>
      <c r="E99" s="329">
        <v>149.8</v>
      </c>
      <c r="F99" s="330">
        <v>5.88</v>
      </c>
      <c r="G99" s="331">
        <v>0.005306922700989425</v>
      </c>
      <c r="H99" s="281">
        <v>-7.173859924803164E-4</v>
      </c>
      <c r="I99" s="281">
        <v>0.0020765591214211288</v>
      </c>
      <c r="J99" s="281">
        <v>2.1213238700020418E-4</v>
      </c>
      <c r="K99" s="281">
        <v>0.0013355131555999138</v>
      </c>
    </row>
    <row r="100">
      <c r="A100" s="184">
        <v>44008.983114421295</v>
      </c>
      <c r="B100" s="329">
        <v>5.486</v>
      </c>
      <c r="C100" s="329">
        <v>51.22</v>
      </c>
      <c r="D100" s="329">
        <v>199.33</v>
      </c>
      <c r="E100" s="329">
        <v>148.95</v>
      </c>
      <c r="F100" s="330">
        <v>5.82</v>
      </c>
      <c r="G100" s="331">
        <v>0.010926410120965735</v>
      </c>
      <c r="H100" s="281">
        <v>-0.009928832481085226</v>
      </c>
      <c r="I100" s="281">
        <v>0.005411865171394396</v>
      </c>
      <c r="J100" s="281">
        <v>0.0021951371147466148</v>
      </c>
      <c r="K100" s="281">
        <v>-0.005367304583517529</v>
      </c>
    </row>
    <row r="101">
      <c r="A101" s="184">
        <v>44007.98311541667</v>
      </c>
      <c r="B101" s="329">
        <v>5.457</v>
      </c>
      <c r="C101" s="329">
        <v>51.43</v>
      </c>
      <c r="D101" s="329">
        <v>198.82</v>
      </c>
      <c r="E101" s="329">
        <v>148.88</v>
      </c>
      <c r="F101" s="330">
        <v>5.811</v>
      </c>
      <c r="G101" s="331">
        <v>0.0036380994311900525</v>
      </c>
      <c r="H101" s="281">
        <v>-0.00546581232147884</v>
      </c>
      <c r="I101" s="281">
        <v>0.001074569094885754</v>
      </c>
      <c r="J101" s="281">
        <v>9.12054427528434E-4</v>
      </c>
      <c r="K101" s="281">
        <v>-0.007235490854780258</v>
      </c>
    </row>
    <row r="102">
      <c r="A102" s="184">
        <v>44006.98314642361</v>
      </c>
      <c r="B102" s="329">
        <v>5.379</v>
      </c>
      <c r="C102" s="329">
        <v>51.39</v>
      </c>
      <c r="D102" s="329">
        <v>197.54</v>
      </c>
      <c r="E102" s="329">
        <v>149.7</v>
      </c>
      <c r="F102" s="330">
        <v>5.856</v>
      </c>
      <c r="G102" s="331">
        <v>-6.940041244338779E-4</v>
      </c>
      <c r="H102" s="281">
        <v>-0.010700188757401493</v>
      </c>
      <c r="I102" s="281">
        <v>-0.0017442825578021608</v>
      </c>
      <c r="J102" s="281">
        <v>0.00447684567896726</v>
      </c>
      <c r="K102" s="281">
        <v>-0.00645051950597364</v>
      </c>
    </row>
    <row r="103">
      <c r="A103" s="184">
        <v>44005.98312171296</v>
      </c>
      <c r="B103" s="329">
        <v>5.308</v>
      </c>
      <c r="C103" s="329">
        <v>52.75</v>
      </c>
      <c r="D103" s="329">
        <v>196.11</v>
      </c>
      <c r="E103" s="329">
        <v>147.96</v>
      </c>
      <c r="F103" s="330">
        <v>5.914</v>
      </c>
      <c r="G103" s="331">
        <v>-0.004289723478338188</v>
      </c>
      <c r="H103" s="281">
        <v>8.864507781409051E-4</v>
      </c>
      <c r="I103" s="281">
        <v>-0.003636882311022438</v>
      </c>
      <c r="J103" s="281">
        <v>0.004687563455957259</v>
      </c>
      <c r="K103" s="281">
        <v>7.035340038340129E-4</v>
      </c>
    </row>
    <row r="104">
      <c r="A104" s="184">
        <v>44004.983123136575</v>
      </c>
      <c r="B104" s="329">
        <v>5.396</v>
      </c>
      <c r="C104" s="329">
        <v>52.26</v>
      </c>
      <c r="D104" s="329">
        <v>198.16</v>
      </c>
      <c r="E104" s="329">
        <v>148.46</v>
      </c>
      <c r="F104" s="330">
        <v>5.938</v>
      </c>
      <c r="G104" s="331">
        <v>0.005080772239416424</v>
      </c>
      <c r="H104" s="281">
        <v>-0.0032238574289002266</v>
      </c>
      <c r="I104" s="281">
        <v>9.23639081855517E-4</v>
      </c>
      <c r="J104" s="281">
        <v>0.005631195375487026</v>
      </c>
      <c r="K104" s="281">
        <v>0.0035249339828321937</v>
      </c>
    </row>
    <row r="105">
      <c r="A105" s="184">
        <v>44001.98311321759</v>
      </c>
      <c r="B105" s="329">
        <v>5.389</v>
      </c>
      <c r="C105" s="329">
        <v>53.04</v>
      </c>
      <c r="D105" s="329">
        <v>198.56</v>
      </c>
      <c r="E105" s="329">
        <v>147.69</v>
      </c>
      <c r="F105" s="330">
        <v>5.97</v>
      </c>
      <c r="G105" s="331">
        <v>0.005714718738767943</v>
      </c>
      <c r="H105" s="281">
        <v>0.002762133767505892</v>
      </c>
      <c r="I105" s="281">
        <v>0.0030471648582695763</v>
      </c>
      <c r="J105" s="281">
        <v>0.004404755381906433</v>
      </c>
      <c r="K105" s="281">
        <v>0.007363827131658507</v>
      </c>
    </row>
    <row r="106">
      <c r="A106" s="184">
        <v>44000.983121666664</v>
      </c>
      <c r="B106" s="329">
        <v>5.376</v>
      </c>
      <c r="C106" s="329">
        <v>52.6</v>
      </c>
      <c r="D106" s="329">
        <v>198.25</v>
      </c>
      <c r="E106" s="329">
        <v>145.88</v>
      </c>
      <c r="F106" s="330">
        <v>5.901</v>
      </c>
      <c r="G106" s="331">
        <v>-0.0016969020800364776</v>
      </c>
      <c r="H106" s="281">
        <v>0.011974111431731401</v>
      </c>
      <c r="I106" s="281">
        <v>0.0010866834454645498</v>
      </c>
      <c r="J106" s="281">
        <v>0.001600441831878315</v>
      </c>
      <c r="K106" s="281">
        <v>0.0056805520475549836</v>
      </c>
    </row>
    <row r="107">
      <c r="A107" s="184">
        <v>43999.98313015046</v>
      </c>
      <c r="B107" s="329">
        <v>5.314</v>
      </c>
      <c r="C107" s="329">
        <v>52.76</v>
      </c>
      <c r="D107" s="329">
        <v>197.61</v>
      </c>
      <c r="E107" s="329">
        <v>145.96</v>
      </c>
      <c r="F107" s="330">
        <v>5.875</v>
      </c>
      <c r="G107" s="331">
        <v>-0.005479442570624937</v>
      </c>
      <c r="H107" s="281">
        <v>0.01055592271530692</v>
      </c>
      <c r="I107" s="281">
        <v>-3.773881458719967E-4</v>
      </c>
      <c r="J107" s="281">
        <v>-0.0012245200020732927</v>
      </c>
      <c r="K107" s="281">
        <v>4.194248446346786E-4</v>
      </c>
    </row>
    <row r="108">
      <c r="A108" s="184">
        <v>43998.98309865741</v>
      </c>
      <c r="B108" s="329">
        <v>5.297</v>
      </c>
      <c r="C108" s="329">
        <v>52.6</v>
      </c>
      <c r="D108" s="329">
        <v>196.75</v>
      </c>
      <c r="E108" s="329">
        <v>145.74</v>
      </c>
      <c r="F108" s="330">
        <v>5.839</v>
      </c>
      <c r="G108" s="331">
        <v>-0.0023490544582464392</v>
      </c>
      <c r="H108" s="281">
        <v>0.008044142297427856</v>
      </c>
      <c r="I108" s="281">
        <v>0.001861979928695338</v>
      </c>
      <c r="J108" s="281">
        <v>5.940367845111982E-4</v>
      </c>
      <c r="K108" s="281">
        <v>9.335445694568975E-4</v>
      </c>
    </row>
    <row r="109">
      <c r="A109" s="184">
        <v>43997.983079004625</v>
      </c>
      <c r="B109" s="329">
        <v>5.402</v>
      </c>
      <c r="C109" s="329">
        <v>50.71</v>
      </c>
      <c r="D109" s="329">
        <v>197.6</v>
      </c>
      <c r="E109" s="329">
        <v>145.18</v>
      </c>
      <c r="F109" s="330">
        <v>5.801</v>
      </c>
      <c r="G109" s="331">
        <v>0.0051960178261587124</v>
      </c>
      <c r="H109" s="281">
        <v>-0.018225254759503134</v>
      </c>
      <c r="I109" s="281">
        <v>0.004682133568600107</v>
      </c>
      <c r="J109" s="281">
        <v>0.003414864593170345</v>
      </c>
      <c r="K109" s="281">
        <v>-0.005186309124418568</v>
      </c>
    </row>
    <row r="110">
      <c r="A110" s="184">
        <v>43994.98312618055</v>
      </c>
      <c r="B110" s="329">
        <v>5.401</v>
      </c>
      <c r="C110" s="329">
        <v>51.08</v>
      </c>
      <c r="D110" s="329">
        <v>197.83</v>
      </c>
      <c r="E110" s="329">
        <v>146.49</v>
      </c>
      <c r="F110" s="330">
        <v>5.867</v>
      </c>
      <c r="G110" s="331">
        <v>0.008205642358963705</v>
      </c>
      <c r="H110" s="281">
        <v>-0.017225878347093476</v>
      </c>
      <c r="I110" s="281">
        <v>0.006490164175995683</v>
      </c>
      <c r="J110" s="281">
        <v>0.006283426856149206</v>
      </c>
      <c r="K110" s="281">
        <v>6.997295439438537E-4</v>
      </c>
    </row>
    <row r="111">
      <c r="A111" s="184">
        <v>43993.98315501158</v>
      </c>
      <c r="B111" s="329">
        <v>5.333</v>
      </c>
      <c r="C111" s="329">
        <v>51.31</v>
      </c>
      <c r="D111" s="329">
        <v>195.64</v>
      </c>
      <c r="E111" s="329">
        <v>145.47</v>
      </c>
      <c r="F111" s="330">
        <v>5.822</v>
      </c>
      <c r="G111" s="331">
        <v>0.008184254015842626</v>
      </c>
      <c r="H111" s="281">
        <v>-0.017610586878760232</v>
      </c>
      <c r="I111" s="281">
        <v>0.001872292224080252</v>
      </c>
      <c r="J111" s="281">
        <v>0.007371382110344937</v>
      </c>
      <c r="K111" s="281">
        <v>-0.003622118181615027</v>
      </c>
    </row>
    <row r="112">
      <c r="A112" s="184">
        <v>43992.98308452546</v>
      </c>
      <c r="B112" s="329">
        <v>5.318</v>
      </c>
      <c r="C112" s="329">
        <v>53.51</v>
      </c>
      <c r="D112" s="329">
        <v>194.83</v>
      </c>
      <c r="E112" s="329">
        <v>143.68</v>
      </c>
      <c r="F112" s="330">
        <v>5.891</v>
      </c>
      <c r="G112" s="331">
        <v>0.013140730910774464</v>
      </c>
      <c r="H112" s="281">
        <v>-0.0026769234900912617</v>
      </c>
      <c r="I112" s="281">
        <v>0.0023941288358783805</v>
      </c>
      <c r="J112" s="281">
        <v>0.006315586361228383</v>
      </c>
      <c r="K112" s="281">
        <v>-1.8135632177248193E-4</v>
      </c>
    </row>
    <row r="113">
      <c r="A113" s="184">
        <v>43991.98310413194</v>
      </c>
      <c r="B113" s="329">
        <v>5.269</v>
      </c>
      <c r="C113" s="329">
        <v>53.74</v>
      </c>
      <c r="D113" s="329">
        <v>194.0</v>
      </c>
      <c r="E113" s="329">
        <v>143.74</v>
      </c>
      <c r="F113" s="330">
        <v>5.854</v>
      </c>
      <c r="G113" s="331">
        <v>0.0011996427985936364</v>
      </c>
      <c r="H113" s="281">
        <v>0.008766953982798734</v>
      </c>
      <c r="I113" s="281">
        <v>-0.0013523355631372969</v>
      </c>
      <c r="J113" s="281">
        <v>-3.078836004998993E-4</v>
      </c>
      <c r="K113" s="281">
        <v>0.0011183358905442198</v>
      </c>
    </row>
    <row r="114">
      <c r="A114" s="184">
        <v>43990.983107962966</v>
      </c>
      <c r="B114" s="329">
        <v>5.203</v>
      </c>
      <c r="C114" s="329">
        <v>54.044</v>
      </c>
      <c r="D114" s="329">
        <v>194.54</v>
      </c>
      <c r="E114" s="329">
        <v>142.27</v>
      </c>
      <c r="F114" s="330">
        <v>5.885</v>
      </c>
      <c r="G114" s="331">
        <v>-0.008439161971577605</v>
      </c>
      <c r="H114" s="281">
        <v>0.007785603636983625</v>
      </c>
      <c r="I114" s="281">
        <v>-0.00403541196725025</v>
      </c>
      <c r="J114" s="281">
        <v>-0.0029520246277652262</v>
      </c>
      <c r="K114" s="281">
        <v>0.0017979204815306755</v>
      </c>
    </row>
    <row r="115">
      <c r="A115" s="184">
        <v>43987.9827878588</v>
      </c>
      <c r="B115" s="329">
        <v>5.111</v>
      </c>
      <c r="C115" s="329">
        <v>53.94</v>
      </c>
      <c r="D115" s="329">
        <v>193.43</v>
      </c>
      <c r="E115" s="329">
        <v>140.97</v>
      </c>
      <c r="F115" s="330">
        <v>5.894</v>
      </c>
      <c r="G115" s="331">
        <v>-0.02102111545879648</v>
      </c>
      <c r="H115" s="281">
        <v>0.011692189651787163</v>
      </c>
      <c r="I115" s="281">
        <v>-0.009932797230613652</v>
      </c>
      <c r="J115" s="281">
        <v>-0.015057109861408883</v>
      </c>
      <c r="K115" s="281">
        <v>1.4355873098052344E-4</v>
      </c>
    </row>
    <row r="116">
      <c r="A116" s="184">
        <v>43986.98310633102</v>
      </c>
      <c r="B116" s="329">
        <v>5.247</v>
      </c>
      <c r="C116" s="329">
        <v>52.32</v>
      </c>
      <c r="D116" s="329">
        <v>194.78</v>
      </c>
      <c r="E116" s="329">
        <v>143.83</v>
      </c>
      <c r="F116" s="330">
        <v>5.834</v>
      </c>
      <c r="G116" s="331">
        <v>-0.01564400447940173</v>
      </c>
      <c r="H116" s="281">
        <v>0.0013608612501084434</v>
      </c>
      <c r="I116" s="281">
        <v>-0.009379690839146212</v>
      </c>
      <c r="J116" s="281">
        <v>-0.011392587316876904</v>
      </c>
      <c r="K116" s="281">
        <v>-0.003193139083101556</v>
      </c>
    </row>
    <row r="117">
      <c r="A117" s="184">
        <v>43985.983138888885</v>
      </c>
      <c r="B117" s="329">
        <v>5.333</v>
      </c>
      <c r="C117" s="329">
        <v>52.77</v>
      </c>
      <c r="D117" s="329">
        <v>196.89</v>
      </c>
      <c r="E117" s="329">
        <v>143.5</v>
      </c>
      <c r="F117" s="330">
        <v>5.853</v>
      </c>
      <c r="G117" s="331">
        <v>-0.010180565053698132</v>
      </c>
      <c r="H117" s="281">
        <v>0.008130584846814318</v>
      </c>
      <c r="I117" s="281">
        <v>-0.005752138510173828</v>
      </c>
      <c r="J117" s="281">
        <v>-0.0106561803665568</v>
      </c>
      <c r="K117" s="281">
        <v>0.0017407816388378035</v>
      </c>
    </row>
    <row r="118">
      <c r="A118" s="184">
        <v>43984.98315847223</v>
      </c>
      <c r="B118" s="329">
        <v>5.44</v>
      </c>
      <c r="C118" s="329">
        <v>52.05</v>
      </c>
      <c r="D118" s="329">
        <v>199.25</v>
      </c>
      <c r="E118" s="329">
        <v>147.4</v>
      </c>
      <c r="F118" s="330">
        <v>5.891</v>
      </c>
      <c r="G118" s="331">
        <v>-0.005372460290283006</v>
      </c>
      <c r="H118" s="281">
        <v>-0.002438040333169004</v>
      </c>
      <c r="I118" s="281">
        <v>-0.003254429100563394</v>
      </c>
      <c r="J118" s="281">
        <v>-0.0015519322873247532</v>
      </c>
      <c r="K118" s="281">
        <v>0.0024163075572563772</v>
      </c>
    </row>
    <row r="119">
      <c r="A119" s="184">
        <v>43983.98310591435</v>
      </c>
      <c r="B119" s="329">
        <v>5.497</v>
      </c>
      <c r="C119" s="329">
        <v>52.1</v>
      </c>
      <c r="D119" s="329">
        <v>200.31</v>
      </c>
      <c r="E119" s="329">
        <v>148.77</v>
      </c>
      <c r="F119" s="330">
        <v>5.89</v>
      </c>
      <c r="G119" s="331">
        <v>-0.005859552739419034</v>
      </c>
      <c r="H119" s="281">
        <v>0.0019518580991951806</v>
      </c>
      <c r="I119" s="281">
        <v>-0.004181576379998535</v>
      </c>
      <c r="J119" s="281">
        <v>0.003977331662559018</v>
      </c>
      <c r="K119" s="281">
        <v>7.637368362162963E-4</v>
      </c>
    </row>
    <row r="120">
      <c r="A120" s="184">
        <v>43980.982303599536</v>
      </c>
      <c r="B120" s="329">
        <v>5.497</v>
      </c>
      <c r="C120" s="329">
        <v>51.49</v>
      </c>
      <c r="D120" s="329">
        <v>200.3</v>
      </c>
      <c r="E120" s="329">
        <v>148.1</v>
      </c>
      <c r="F120" s="330">
        <v>5.822</v>
      </c>
      <c r="G120" s="331">
        <v>-0.005740377432542558</v>
      </c>
      <c r="H120" s="281">
        <v>-0.0037533907673243196</v>
      </c>
      <c r="I120" s="281">
        <v>-0.003376511062577118</v>
      </c>
      <c r="J120" s="281">
        <v>-6.304430195395542E-4</v>
      </c>
      <c r="K120" s="281">
        <v>-0.006204629973339222</v>
      </c>
    </row>
    <row r="121">
      <c r="A121" s="184">
        <v>43979.98312496528</v>
      </c>
      <c r="B121" s="329">
        <v>5.528</v>
      </c>
      <c r="C121" s="329">
        <v>52.42</v>
      </c>
      <c r="D121" s="329">
        <v>201.2</v>
      </c>
      <c r="E121" s="329">
        <v>148.08</v>
      </c>
      <c r="F121" s="330">
        <v>5.848</v>
      </c>
      <c r="G121" s="331">
        <v>-0.010655986232556628</v>
      </c>
      <c r="H121" s="281">
        <v>0.0013707941664190166</v>
      </c>
      <c r="I121" s="281">
        <v>-0.00540435119499616</v>
      </c>
      <c r="J121" s="281">
        <v>-0.0068087730095421906</v>
      </c>
      <c r="K121" s="281">
        <v>-0.005502849817976922</v>
      </c>
    </row>
    <row r="122">
      <c r="A122" s="184">
        <v>43978.98315972222</v>
      </c>
      <c r="B122" s="329">
        <v>5.594</v>
      </c>
      <c r="C122" s="329">
        <v>51.78</v>
      </c>
      <c r="D122" s="329">
        <v>202.83</v>
      </c>
      <c r="E122" s="329">
        <v>147.0</v>
      </c>
      <c r="F122" s="330">
        <v>5.876</v>
      </c>
      <c r="G122" s="331">
        <v>-0.0065594106456159</v>
      </c>
      <c r="H122" s="281">
        <v>0.0033036549436272398</v>
      </c>
      <c r="I122" s="281">
        <v>-0.0027690965517789636</v>
      </c>
      <c r="J122" s="281">
        <v>-0.009967886029459935</v>
      </c>
      <c r="K122" s="281">
        <v>-0.0033461673237497416</v>
      </c>
    </row>
    <row r="123">
      <c r="A123" s="184">
        <v>43977.98311393519</v>
      </c>
      <c r="B123" s="329">
        <v>5.592</v>
      </c>
      <c r="C123" s="329">
        <v>52.06</v>
      </c>
      <c r="D123" s="329">
        <v>202.33</v>
      </c>
      <c r="E123" s="329">
        <v>148.37</v>
      </c>
      <c r="F123" s="330">
        <v>5.931</v>
      </c>
      <c r="G123" s="331">
        <v>-0.004516360613548913</v>
      </c>
      <c r="H123" s="281">
        <v>0.006146600082883739</v>
      </c>
      <c r="I123" s="281">
        <v>-2.005854752241317E-4</v>
      </c>
      <c r="J123" s="281">
        <v>-0.00289908329429552</v>
      </c>
      <c r="K123" s="281">
        <v>1.670169742643187E-4</v>
      </c>
    </row>
    <row r="124">
      <c r="A124" s="184">
        <v>43976.98307869213</v>
      </c>
      <c r="B124" s="329">
        <v>5.706</v>
      </c>
      <c r="C124" s="329">
        <v>52.2</v>
      </c>
      <c r="D124" s="329">
        <v>204.47</v>
      </c>
      <c r="E124" s="329">
        <v>151.1</v>
      </c>
      <c r="F124" s="330">
        <v>5.945</v>
      </c>
      <c r="G124" s="331">
        <v>0.007690507803431353</v>
      </c>
      <c r="H124" s="281">
        <v>0.00469466507588312</v>
      </c>
      <c r="I124" s="281">
        <v>0.004098938109966976</v>
      </c>
      <c r="J124" s="281">
        <v>-0.001533082866436312</v>
      </c>
      <c r="K124" s="281">
        <v>-0.002082593992701461</v>
      </c>
    </row>
    <row r="125">
      <c r="A125" s="184">
        <v>43973.98311027778</v>
      </c>
      <c r="B125" s="329">
        <v>5.704</v>
      </c>
      <c r="C125" s="329">
        <v>51.26</v>
      </c>
      <c r="D125" s="329">
        <v>204.51</v>
      </c>
      <c r="E125" s="329">
        <v>151.43</v>
      </c>
      <c r="F125" s="330">
        <v>5.935</v>
      </c>
      <c r="G125" s="331">
        <v>0.0056603682864830125</v>
      </c>
      <c r="H125" s="281">
        <v>-0.0011135635126770331</v>
      </c>
      <c r="I125" s="281">
        <v>0.002249576808094752</v>
      </c>
      <c r="J125" s="281">
        <v>4.687692109572132E-4</v>
      </c>
      <c r="K125" s="281">
        <v>-0.0018631711226521814</v>
      </c>
    </row>
    <row r="126">
      <c r="A126" s="184">
        <v>43972.98312583333</v>
      </c>
      <c r="B126" s="329">
        <v>5.667</v>
      </c>
      <c r="C126" s="329">
        <v>51.1</v>
      </c>
      <c r="D126" s="329">
        <v>202.43</v>
      </c>
      <c r="E126" s="329">
        <v>149.63</v>
      </c>
      <c r="F126" s="330">
        <v>5.928</v>
      </c>
      <c r="G126" s="331">
        <v>0.0011201630414698534</v>
      </c>
      <c r="H126" s="281">
        <v>-0.0031262061218552497</v>
      </c>
      <c r="I126" s="281">
        <v>-0.0028637597975167037</v>
      </c>
      <c r="J126" s="281">
        <v>-0.011893484017264533</v>
      </c>
      <c r="K126" s="281">
        <v>-0.003931922331947428</v>
      </c>
    </row>
    <row r="127">
      <c r="A127" s="184">
        <v>43971.98311164352</v>
      </c>
      <c r="B127" s="329">
        <v>5.575</v>
      </c>
      <c r="C127" s="329">
        <v>51.46</v>
      </c>
      <c r="D127" s="329">
        <v>201.96</v>
      </c>
      <c r="E127" s="329">
        <v>151.77</v>
      </c>
      <c r="F127" s="330">
        <v>5.982</v>
      </c>
      <c r="G127" s="331">
        <v>-0.013086513849910183</v>
      </c>
      <c r="H127" s="281">
        <v>0.011242293326876021</v>
      </c>
      <c r="I127" s="281">
        <v>-0.006870290164420719</v>
      </c>
      <c r="J127" s="281">
        <v>-0.003319717471972535</v>
      </c>
      <c r="K127" s="281">
        <v>0.004828645180660322</v>
      </c>
    </row>
    <row r="128">
      <c r="A128" s="184">
        <v>43970.98310216435</v>
      </c>
      <c r="B128" s="329">
        <v>5.607</v>
      </c>
      <c r="C128" s="329">
        <v>51.43</v>
      </c>
      <c r="D128" s="329">
        <v>203.12</v>
      </c>
      <c r="E128" s="329">
        <v>151.19</v>
      </c>
      <c r="F128" s="330">
        <v>5.968</v>
      </c>
      <c r="G128" s="331">
        <v>-0.013933734911597995</v>
      </c>
      <c r="H128" s="281">
        <v>0.013729651734633105</v>
      </c>
      <c r="I128" s="281">
        <v>-0.006491817932691009</v>
      </c>
      <c r="J128" s="281">
        <v>-0.0032230860361982896</v>
      </c>
      <c r="K128" s="281">
        <v>0.0058579700793029614</v>
      </c>
    </row>
    <row r="129">
      <c r="A129" s="184">
        <v>43969.98310482639</v>
      </c>
      <c r="B129" s="329">
        <v>5.647</v>
      </c>
      <c r="C129" s="329">
        <v>51.58</v>
      </c>
      <c r="D129" s="329">
        <v>204.17</v>
      </c>
      <c r="E129" s="329">
        <v>155.0</v>
      </c>
      <c r="F129" s="330">
        <v>5.998</v>
      </c>
      <c r="G129" s="331">
        <v>-0.0056807835248072385</v>
      </c>
      <c r="H129" s="281">
        <v>0.011930827757055784</v>
      </c>
      <c r="I129" s="281">
        <v>-0.00539641467355767</v>
      </c>
      <c r="J129" s="281">
        <v>0.009742252784055494</v>
      </c>
      <c r="K129" s="281">
        <v>0.009750868196682952</v>
      </c>
    </row>
    <row r="130">
      <c r="A130" s="184">
        <v>43966.98312289352</v>
      </c>
      <c r="B130" s="329">
        <v>5.796</v>
      </c>
      <c r="C130" s="329">
        <v>49.72</v>
      </c>
      <c r="D130" s="329">
        <v>206.15</v>
      </c>
      <c r="E130" s="329">
        <v>153.23</v>
      </c>
      <c r="F130" s="330">
        <v>5.895</v>
      </c>
      <c r="G130" s="331">
        <v>0.007933584181321507</v>
      </c>
      <c r="H130" s="281">
        <v>-0.009406313446518913</v>
      </c>
      <c r="I130" s="281">
        <v>3.262654537246057E-4</v>
      </c>
      <c r="J130" s="281">
        <v>0.00834981574382739</v>
      </c>
      <c r="K130" s="281">
        <v>0.002366939396240294</v>
      </c>
    </row>
    <row r="131">
      <c r="A131" s="184">
        <v>43965.98311664352</v>
      </c>
      <c r="B131" s="329">
        <v>5.844</v>
      </c>
      <c r="C131" s="329">
        <v>49.32</v>
      </c>
      <c r="D131" s="329">
        <v>207.1</v>
      </c>
      <c r="E131" s="329">
        <v>152.6</v>
      </c>
      <c r="F131" s="330">
        <v>5.863</v>
      </c>
      <c r="G131" s="331">
        <v>0.009751490559143003</v>
      </c>
      <c r="H131" s="281">
        <v>-0.013326912515441602</v>
      </c>
      <c r="I131" s="281">
        <v>-4.757764286574447E-5</v>
      </c>
      <c r="J131" s="281">
        <v>0.007380879606477782</v>
      </c>
      <c r="K131" s="281">
        <v>-0.004397227707701679</v>
      </c>
    </row>
    <row r="132">
      <c r="A132" s="184">
        <v>43964.98311777778</v>
      </c>
      <c r="B132" s="329">
        <v>5.741</v>
      </c>
      <c r="C132" s="329">
        <v>49.73</v>
      </c>
      <c r="D132" s="329">
        <v>207.49</v>
      </c>
      <c r="E132" s="329">
        <v>150.51</v>
      </c>
      <c r="F132" s="330">
        <v>5.824</v>
      </c>
      <c r="G132" s="331">
        <v>0.0025840740073375854</v>
      </c>
      <c r="H132" s="281">
        <v>-0.008736884680773679</v>
      </c>
      <c r="I132" s="281">
        <v>7.732631949170695E-4</v>
      </c>
      <c r="J132" s="281">
        <v>0.0011404131288218489</v>
      </c>
      <c r="K132" s="281">
        <v>-0.007175689835757337</v>
      </c>
    </row>
    <row r="133">
      <c r="A133" s="184">
        <v>43963.983165405094</v>
      </c>
      <c r="B133" s="329">
        <v>5.658</v>
      </c>
      <c r="C133" s="329">
        <v>51.12</v>
      </c>
      <c r="D133" s="329">
        <v>205.94</v>
      </c>
      <c r="E133" s="329">
        <v>149.42</v>
      </c>
      <c r="F133" s="330">
        <v>5.853</v>
      </c>
      <c r="G133" s="331">
        <v>-0.004400325365202518</v>
      </c>
      <c r="H133" s="281">
        <v>0.0016252305165876575</v>
      </c>
      <c r="I133" s="281">
        <v>-0.0034398440234894765</v>
      </c>
      <c r="J133" s="281">
        <v>-7.180088487913627E-4</v>
      </c>
      <c r="K133" s="281">
        <v>-0.007644742841575051</v>
      </c>
    </row>
    <row r="134">
      <c r="A134" s="184">
        <v>43962.98312564815</v>
      </c>
      <c r="B134" s="329">
        <v>5.674</v>
      </c>
      <c r="C134" s="329">
        <v>51.31</v>
      </c>
      <c r="D134" s="329">
        <v>207.12</v>
      </c>
      <c r="E134" s="329">
        <v>149.24</v>
      </c>
      <c r="F134" s="330">
        <v>5.94</v>
      </c>
      <c r="G134" s="331">
        <v>9.030114030637767E-4</v>
      </c>
      <c r="H134" s="281">
        <v>0.006205997266941672</v>
      </c>
      <c r="I134" s="281">
        <v>4.566083332333178E-4</v>
      </c>
      <c r="J134" s="281">
        <v>0.0015072137802913204</v>
      </c>
      <c r="K134" s="281">
        <v>0.004769344402335933</v>
      </c>
    </row>
    <row r="135">
      <c r="A135" s="184">
        <v>43959.98311270833</v>
      </c>
      <c r="B135" s="329">
        <v>5.696</v>
      </c>
      <c r="C135" s="329">
        <v>51.03</v>
      </c>
      <c r="D135" s="329">
        <v>207.0</v>
      </c>
      <c r="E135" s="329">
        <v>149.99</v>
      </c>
      <c r="F135" s="330">
        <v>5.95</v>
      </c>
      <c r="G135" s="331">
        <v>-0.00316568409377919</v>
      </c>
      <c r="H135" s="281">
        <v>0.0027322361776169757</v>
      </c>
      <c r="I135" s="281">
        <v>0.0013110427617333276</v>
      </c>
      <c r="J135" s="281">
        <v>0.0019707362304955955</v>
      </c>
      <c r="K135" s="281">
        <v>0.0017432208887963412</v>
      </c>
    </row>
    <row r="136">
      <c r="A136" s="184">
        <v>43958.983103645834</v>
      </c>
      <c r="B136" s="329">
        <v>5.733</v>
      </c>
      <c r="C136" s="329">
        <v>50.87</v>
      </c>
      <c r="D136" s="329">
        <v>208.07</v>
      </c>
      <c r="E136" s="329">
        <v>149.74</v>
      </c>
      <c r="F136" s="330">
        <v>5.988</v>
      </c>
      <c r="G136" s="331">
        <v>-0.001290327412304541</v>
      </c>
      <c r="H136" s="281">
        <v>0.012488653700030014</v>
      </c>
      <c r="I136" s="281">
        <v>0.003373579303682206</v>
      </c>
      <c r="J136" s="281">
        <v>0.0024435362131220995</v>
      </c>
      <c r="K136" s="281">
        <v>0.013787006799307297</v>
      </c>
    </row>
    <row r="137">
      <c r="A137" s="184">
        <v>43957.983155231486</v>
      </c>
      <c r="B137" s="329">
        <v>5.658</v>
      </c>
      <c r="C137" s="329">
        <v>50.36</v>
      </c>
      <c r="D137" s="329">
        <v>206.83</v>
      </c>
      <c r="E137" s="329">
        <v>148.56</v>
      </c>
      <c r="F137" s="330">
        <v>5.854</v>
      </c>
      <c r="G137" s="331">
        <v>-0.007388967504688093</v>
      </c>
      <c r="H137" s="281">
        <v>-0.00119966870729038</v>
      </c>
      <c r="I137" s="281">
        <v>0.0017269236725773185</v>
      </c>
      <c r="J137" s="281">
        <v>0.001543528046832258</v>
      </c>
      <c r="K137" s="281">
        <v>0.004818034385067671</v>
      </c>
    </row>
    <row r="138">
      <c r="A138" s="184">
        <v>43956.983102893515</v>
      </c>
      <c r="B138" s="329">
        <v>5.749</v>
      </c>
      <c r="C138" s="329">
        <v>50.61</v>
      </c>
      <c r="D138" s="329">
        <v>206.18</v>
      </c>
      <c r="E138" s="329">
        <v>149.1</v>
      </c>
      <c r="F138" s="330">
        <v>5.917</v>
      </c>
      <c r="G138" s="331">
        <v>-0.006695876729291876</v>
      </c>
      <c r="H138" s="281">
        <v>-0.004826490167281612</v>
      </c>
      <c r="I138" s="281">
        <v>-0.001977452518145554</v>
      </c>
      <c r="J138" s="281">
        <v>-6.261887709681687E-4</v>
      </c>
      <c r="K138" s="281">
        <v>0.01054392983137146</v>
      </c>
    </row>
    <row r="139">
      <c r="A139" s="184">
        <v>43955.98319719908</v>
      </c>
      <c r="B139" s="329">
        <v>5.754</v>
      </c>
      <c r="C139" s="329">
        <v>48.97</v>
      </c>
      <c r="D139" s="329">
        <v>205.97</v>
      </c>
      <c r="E139" s="329">
        <v>148.64</v>
      </c>
      <c r="F139" s="330">
        <v>5.741</v>
      </c>
      <c r="G139" s="331">
        <v>-0.005894462287075204</v>
      </c>
      <c r="H139" s="281">
        <v>-0.01010390077958312</v>
      </c>
      <c r="I139" s="281">
        <v>-0.0024616097080367347</v>
      </c>
      <c r="J139" s="281">
        <v>-0.0021901641296701766</v>
      </c>
      <c r="K139" s="281">
        <v>0.001210729027503632</v>
      </c>
    </row>
    <row r="140">
      <c r="A140" s="184">
        <v>43951.98270328704</v>
      </c>
      <c r="B140" s="329">
        <v>5.784</v>
      </c>
      <c r="C140" s="329">
        <v>50.49</v>
      </c>
      <c r="D140" s="329">
        <v>205.76</v>
      </c>
      <c r="E140" s="329">
        <v>147.87</v>
      </c>
      <c r="F140" s="330">
        <v>5.767</v>
      </c>
      <c r="G140" s="331">
        <v>-0.0029611856498676925</v>
      </c>
      <c r="H140" s="281">
        <v>0.001101676377902372</v>
      </c>
      <c r="I140" s="281">
        <v>-0.0018536281832298347</v>
      </c>
      <c r="J140" s="281">
        <v>-0.005543382257596911</v>
      </c>
      <c r="K140" s="281">
        <v>0.004759965310584276</v>
      </c>
    </row>
    <row r="141">
      <c r="A141" s="184">
        <v>43950.98311217593</v>
      </c>
      <c r="B141" s="329">
        <v>5.865</v>
      </c>
      <c r="C141" s="329">
        <v>51.29</v>
      </c>
      <c r="D141" s="329">
        <v>207.4</v>
      </c>
      <c r="E141" s="329">
        <v>149.37</v>
      </c>
      <c r="F141" s="330">
        <v>5.73</v>
      </c>
      <c r="G141" s="331">
        <v>-0.002349119861906631</v>
      </c>
      <c r="H141" s="281">
        <v>0.014400211792260772</v>
      </c>
      <c r="I141" s="281">
        <v>-0.0015328833561758144</v>
      </c>
      <c r="J141" s="281">
        <v>-0.003957963002907627</v>
      </c>
      <c r="K141" s="281">
        <v>-0.0023038812589020186</v>
      </c>
    </row>
    <row r="142">
      <c r="A142" s="184">
        <v>43949.98310431713</v>
      </c>
      <c r="B142" s="329">
        <v>5.856</v>
      </c>
      <c r="C142" s="329">
        <v>50.44</v>
      </c>
      <c r="D142" s="329">
        <v>207.49</v>
      </c>
      <c r="E142" s="329">
        <v>149.61</v>
      </c>
      <c r="F142" s="330">
        <v>5.72</v>
      </c>
      <c r="G142" s="331">
        <v>-0.002296231025752604</v>
      </c>
      <c r="H142" s="281">
        <v>0.0052779689170957544</v>
      </c>
      <c r="I142" s="281">
        <v>-8.762762897555806E-4</v>
      </c>
      <c r="J142" s="281">
        <v>-0.00531895095736649</v>
      </c>
      <c r="K142" s="281">
        <v>-0.00843250336713719</v>
      </c>
    </row>
    <row r="143">
      <c r="A143" s="184">
        <v>43948.98310358796</v>
      </c>
      <c r="B143" s="329">
        <v>5.835</v>
      </c>
      <c r="C143" s="329">
        <v>50.31</v>
      </c>
      <c r="D143" s="329">
        <v>206.9</v>
      </c>
      <c r="E143" s="329">
        <v>150.34</v>
      </c>
      <c r="F143" s="330">
        <v>5.685</v>
      </c>
      <c r="G143" s="331">
        <v>-0.0023608761310755324</v>
      </c>
      <c r="H143" s="281">
        <v>0.009254647195462281</v>
      </c>
      <c r="I143" s="281">
        <v>-0.0016478565036454433</v>
      </c>
      <c r="J143" s="281">
        <v>5.177493631444522E-4</v>
      </c>
      <c r="K143" s="281">
        <v>-0.007346242370390203</v>
      </c>
    </row>
    <row r="144">
      <c r="A144" s="184">
        <v>43945.98313090278</v>
      </c>
      <c r="B144" s="329">
        <v>5.906</v>
      </c>
      <c r="C144" s="329">
        <v>49.1</v>
      </c>
      <c r="D144" s="329">
        <v>208.35</v>
      </c>
      <c r="E144" s="329">
        <v>151.15</v>
      </c>
      <c r="F144" s="330">
        <v>5.769</v>
      </c>
      <c r="G144" s="331">
        <v>-0.0018220239622212715</v>
      </c>
      <c r="H144" s="281">
        <v>0.008870753229145953</v>
      </c>
      <c r="I144" s="281">
        <v>4.4773856634986825E-4</v>
      </c>
      <c r="J144" s="281">
        <v>0.008732049789732299</v>
      </c>
      <c r="K144" s="281">
        <v>0.002742510681773188</v>
      </c>
    </row>
    <row r="145">
      <c r="A145" s="184">
        <v>43944.98310631944</v>
      </c>
      <c r="B145" s="329">
        <v>5.896</v>
      </c>
      <c r="C145" s="329">
        <v>49.63</v>
      </c>
      <c r="D145" s="329">
        <v>208.03</v>
      </c>
      <c r="E145" s="329">
        <v>152.01</v>
      </c>
      <c r="F145" s="330">
        <v>5.865</v>
      </c>
      <c r="G145" s="331">
        <v>0.005191887445233208</v>
      </c>
      <c r="H145" s="281">
        <v>-0.0022483130297057765</v>
      </c>
      <c r="I145" s="281">
        <v>0.002130553717655285</v>
      </c>
      <c r="J145" s="281">
        <v>0.008364127771581612</v>
      </c>
      <c r="K145" s="281">
        <v>-0.0021418362072539074</v>
      </c>
    </row>
    <row r="146">
      <c r="A146" s="184">
        <v>43943.98310791666</v>
      </c>
      <c r="B146" s="329">
        <v>5.876</v>
      </c>
      <c r="C146" s="329">
        <v>48.91</v>
      </c>
      <c r="D146" s="329">
        <v>207.92</v>
      </c>
      <c r="E146" s="329">
        <v>150.09</v>
      </c>
      <c r="F146" s="330">
        <v>5.81</v>
      </c>
      <c r="G146" s="331">
        <v>2.700348468057297E-4</v>
      </c>
      <c r="H146" s="281">
        <v>-0.004478887416440203</v>
      </c>
      <c r="I146" s="281">
        <v>0.0014866305826000865</v>
      </c>
      <c r="J146" s="281">
        <v>0.004941102917314273</v>
      </c>
      <c r="K146" s="281">
        <v>-0.0063978592947664765</v>
      </c>
    </row>
    <row r="147">
      <c r="A147" s="184">
        <v>43942.98312209491</v>
      </c>
      <c r="B147" s="329">
        <v>5.938</v>
      </c>
      <c r="C147" s="329">
        <v>47.79</v>
      </c>
      <c r="D147" s="329">
        <v>208.07</v>
      </c>
      <c r="E147" s="329">
        <v>147.2</v>
      </c>
      <c r="F147" s="330">
        <v>5.72</v>
      </c>
      <c r="G147" s="331">
        <v>0.003787166682521622</v>
      </c>
      <c r="H147" s="281">
        <v>-0.00773573466326057</v>
      </c>
      <c r="I147" s="281">
        <v>4.065930105316233E-4</v>
      </c>
      <c r="J147" s="281">
        <v>-0.008579060639306912</v>
      </c>
      <c r="K147" s="281">
        <v>-0.011730317939714796</v>
      </c>
    </row>
    <row r="148">
      <c r="A148" s="184">
        <v>43941.98310591435</v>
      </c>
      <c r="B148" s="329">
        <v>5.803</v>
      </c>
      <c r="C148" s="329">
        <v>49.9</v>
      </c>
      <c r="D148" s="329">
        <v>206.7</v>
      </c>
      <c r="E148" s="329">
        <v>148.2</v>
      </c>
      <c r="F148" s="330">
        <v>5.899</v>
      </c>
      <c r="G148" s="331">
        <v>0.0027971462362995267</v>
      </c>
      <c r="H148" s="281">
        <v>0.011211202851120131</v>
      </c>
      <c r="I148" s="281">
        <v>0.0019171265489750233</v>
      </c>
      <c r="J148" s="281">
        <v>-0.003665561263167194</v>
      </c>
      <c r="K148" s="281">
        <v>0.001458994717682997</v>
      </c>
    </row>
    <row r="149">
      <c r="A149" s="184">
        <v>43938.98311165509</v>
      </c>
      <c r="B149" s="329">
        <v>5.869</v>
      </c>
      <c r="C149" s="329">
        <v>49.51</v>
      </c>
      <c r="D149" s="329">
        <v>206.99</v>
      </c>
      <c r="E149" s="329">
        <v>147.85</v>
      </c>
      <c r="F149" s="330">
        <v>5.919</v>
      </c>
      <c r="G149" s="331">
        <v>0.015627051133635755</v>
      </c>
      <c r="H149" s="281">
        <v>0.004598253347912529</v>
      </c>
      <c r="I149" s="281">
        <v>0.0057262366877918565</v>
      </c>
      <c r="J149" s="281">
        <v>-0.005965914350534396</v>
      </c>
      <c r="K149" s="281">
        <v>-0.00291629051609806</v>
      </c>
    </row>
    <row r="150">
      <c r="A150" s="184">
        <v>43937.98311678241</v>
      </c>
      <c r="B150" s="329">
        <v>5.869</v>
      </c>
      <c r="C150" s="329">
        <v>48.86</v>
      </c>
      <c r="D150" s="329">
        <v>207.81</v>
      </c>
      <c r="E150" s="329">
        <v>151.0</v>
      </c>
      <c r="F150" s="330">
        <v>5.922</v>
      </c>
      <c r="G150" s="331">
        <v>0.010981705412713852</v>
      </c>
      <c r="H150" s="281">
        <v>0.0030897102371987284</v>
      </c>
      <c r="I150" s="281">
        <v>0.006211124154485474</v>
      </c>
      <c r="J150" s="281">
        <v>0.010572347969369974</v>
      </c>
      <c r="K150" s="281">
        <v>-0.0053157406020292175</v>
      </c>
    </row>
    <row r="151">
      <c r="A151" s="184">
        <v>43936.98317759259</v>
      </c>
      <c r="B151" s="329">
        <v>5.753</v>
      </c>
      <c r="C151" s="329">
        <v>48.24</v>
      </c>
      <c r="D151" s="329">
        <v>205.5</v>
      </c>
      <c r="E151" s="329">
        <v>149.8</v>
      </c>
      <c r="F151" s="330">
        <v>5.873</v>
      </c>
      <c r="G151" s="331">
        <v>0.002161404916490491</v>
      </c>
      <c r="H151" s="281">
        <v>0.005884731487546831</v>
      </c>
      <c r="I151" s="281">
        <v>0.0013290574118988892</v>
      </c>
      <c r="J151" s="281">
        <v>0.012186324066955523</v>
      </c>
      <c r="K151" s="281">
        <v>-0.0067440305941490015</v>
      </c>
    </row>
    <row r="152">
      <c r="A152" s="184">
        <v>43935.983222361116</v>
      </c>
      <c r="B152" s="329">
        <v>5.597</v>
      </c>
      <c r="C152" s="329">
        <v>48.82</v>
      </c>
      <c r="D152" s="329">
        <v>203.44</v>
      </c>
      <c r="E152" s="329">
        <v>150.48</v>
      </c>
      <c r="F152" s="330">
        <v>5.97</v>
      </c>
      <c r="G152" s="331">
        <v>-0.00466019193944156</v>
      </c>
      <c r="H152" s="281">
        <v>0.00975176422405651</v>
      </c>
      <c r="I152" s="281">
        <v>-0.0010514898191769095</v>
      </c>
      <c r="J152" s="281">
        <v>0.013791820769713858</v>
      </c>
      <c r="K152" s="281">
        <v>-0.0036306886358871138</v>
      </c>
    </row>
    <row r="153">
      <c r="A153" s="184">
        <v>43930.98312423611</v>
      </c>
      <c r="B153" s="329">
        <v>5.675</v>
      </c>
      <c r="C153" s="329">
        <v>48.4</v>
      </c>
      <c r="D153" s="329">
        <v>203.95</v>
      </c>
      <c r="E153" s="329">
        <v>146.22</v>
      </c>
      <c r="F153" s="330">
        <v>6.016</v>
      </c>
      <c r="G153" s="331">
        <v>-0.0071807786707956955</v>
      </c>
      <c r="H153" s="281">
        <v>0.018466365523586197</v>
      </c>
      <c r="I153" s="281">
        <v>-0.005311903375548617</v>
      </c>
      <c r="J153" s="281">
        <v>0.003177331265662812</v>
      </c>
      <c r="K153" s="281">
        <v>0.002417410647235626</v>
      </c>
    </row>
    <row r="154">
      <c r="A154" s="184">
        <v>43929.98314677083</v>
      </c>
      <c r="B154" s="329">
        <v>5.713</v>
      </c>
      <c r="C154" s="329">
        <v>47.38</v>
      </c>
      <c r="D154" s="329">
        <v>204.67</v>
      </c>
      <c r="E154" s="329">
        <v>144.35</v>
      </c>
      <c r="F154" s="330">
        <v>5.992</v>
      </c>
      <c r="G154" s="331">
        <v>-0.009261342393436123</v>
      </c>
      <c r="H154" s="281">
        <v>0.0255244373753228</v>
      </c>
      <c r="I154" s="281">
        <v>-0.006580446811289886</v>
      </c>
      <c r="J154" s="281">
        <v>0.004576549898964906</v>
      </c>
      <c r="K154" s="281">
        <v>0.0052180096601231645</v>
      </c>
    </row>
    <row r="155">
      <c r="A155" s="184">
        <v>43928.98324935185</v>
      </c>
      <c r="B155" s="329">
        <v>5.675</v>
      </c>
      <c r="C155" s="329">
        <v>47.4</v>
      </c>
      <c r="D155" s="329">
        <v>204.08</v>
      </c>
      <c r="E155" s="329">
        <v>144.31</v>
      </c>
      <c r="F155" s="330">
        <v>6.035</v>
      </c>
      <c r="G155" s="331">
        <v>-0.00846987940281907</v>
      </c>
      <c r="H155" s="281">
        <v>0.026577968915154366</v>
      </c>
      <c r="I155" s="281">
        <v>-0.00493817469440024</v>
      </c>
      <c r="J155" s="281">
        <v>0.00804323398035097</v>
      </c>
      <c r="K155" s="281">
        <v>0.0117922966450833</v>
      </c>
    </row>
    <row r="156">
      <c r="A156" s="184">
        <v>43927.98316011574</v>
      </c>
      <c r="B156" s="329">
        <v>5.797</v>
      </c>
      <c r="C156" s="329">
        <v>45.753</v>
      </c>
      <c r="D156" s="329">
        <v>207.2</v>
      </c>
      <c r="E156" s="329">
        <v>144.82</v>
      </c>
      <c r="F156" s="330">
        <v>5.972</v>
      </c>
      <c r="G156" s="331">
        <v>1.2814332842814302E-4</v>
      </c>
      <c r="H156" s="281">
        <v>0.01736029760424092</v>
      </c>
      <c r="I156" s="281">
        <v>0.00258837132928987</v>
      </c>
      <c r="J156" s="281">
        <v>0.01613216898123952</v>
      </c>
      <c r="K156" s="281">
        <v>0.01466561688325437</v>
      </c>
    </row>
    <row r="157">
      <c r="A157" s="184">
        <v>43924.983126631945</v>
      </c>
      <c r="B157" s="329">
        <v>5.872</v>
      </c>
      <c r="C157" s="329">
        <v>43.82</v>
      </c>
      <c r="D157" s="329">
        <v>208.72</v>
      </c>
      <c r="E157" s="329">
        <v>142.36</v>
      </c>
      <c r="F157" s="330">
        <v>5.898</v>
      </c>
      <c r="G157" s="331">
        <v>0.012264904737976479</v>
      </c>
      <c r="H157" s="281">
        <v>-0.012932139733951168</v>
      </c>
      <c r="I157" s="281">
        <v>0.008406245684959734</v>
      </c>
      <c r="J157" s="281">
        <v>0.007038026405870849</v>
      </c>
      <c r="K157" s="281">
        <v>0.003708694665730835</v>
      </c>
    </row>
    <row r="158">
      <c r="A158" s="184">
        <v>43923.983110960646</v>
      </c>
      <c r="B158" s="329">
        <v>5.819</v>
      </c>
      <c r="C158" s="329">
        <v>43.7</v>
      </c>
      <c r="D158" s="329">
        <v>207.09</v>
      </c>
      <c r="E158" s="329">
        <v>140.84</v>
      </c>
      <c r="F158" s="330">
        <v>5.824</v>
      </c>
      <c r="G158" s="331">
        <v>0.0025990357330005023</v>
      </c>
      <c r="H158" s="281">
        <v>-0.008423719506681046</v>
      </c>
      <c r="I158" s="281">
        <v>0.005737557100211399</v>
      </c>
      <c r="J158" s="281">
        <v>0.0024503153218173868</v>
      </c>
      <c r="K158" s="281">
        <v>0.0015276295180060757</v>
      </c>
    </row>
    <row r="159">
      <c r="A159" s="184">
        <v>43922.98347398148</v>
      </c>
      <c r="B159" s="329">
        <v>5.794</v>
      </c>
      <c r="C159" s="329">
        <v>43.39</v>
      </c>
      <c r="D159" s="329">
        <v>205.58</v>
      </c>
      <c r="E159" s="329">
        <v>137.92</v>
      </c>
      <c r="F159" s="330">
        <v>5.713</v>
      </c>
      <c r="G159" s="331">
        <v>0.009022314252042326</v>
      </c>
      <c r="H159" s="281">
        <v>-0.0022986037098455072</v>
      </c>
      <c r="I159" s="281">
        <v>0.006828063275851948</v>
      </c>
      <c r="J159" s="281">
        <v>-0.00500912032573364</v>
      </c>
      <c r="K159" s="281">
        <v>-0.007126226512359872</v>
      </c>
    </row>
    <row r="160">
      <c r="A160" s="184">
        <v>43921.9831580787</v>
      </c>
      <c r="B160" s="329">
        <v>5.658</v>
      </c>
      <c r="C160" s="329">
        <v>45.5</v>
      </c>
      <c r="D160" s="329">
        <v>203.5</v>
      </c>
      <c r="E160" s="329">
        <v>139.34</v>
      </c>
      <c r="F160" s="330">
        <v>5.83</v>
      </c>
      <c r="G160" s="331">
        <v>0.006936075665418873</v>
      </c>
      <c r="H160" s="281">
        <v>0.006422048932273124</v>
      </c>
      <c r="I160" s="281">
        <v>0.004233418107957669</v>
      </c>
      <c r="J160" s="281">
        <v>-0.002839083865673923</v>
      </c>
      <c r="K160" s="281">
        <v>-0.006983495169015826</v>
      </c>
    </row>
    <row r="161">
      <c r="A161" s="184">
        <v>43920.983203807875</v>
      </c>
      <c r="B161" s="329">
        <v>5.771</v>
      </c>
      <c r="C161" s="329">
        <v>44.76</v>
      </c>
      <c r="D161" s="329">
        <v>203.54</v>
      </c>
      <c r="E161" s="329">
        <v>139.77</v>
      </c>
      <c r="F161" s="330">
        <v>5.795</v>
      </c>
      <c r="G161" s="331">
        <v>0.004023074186259097</v>
      </c>
      <c r="H161" s="281">
        <v>0.004065078548396846</v>
      </c>
      <c r="I161" s="281">
        <v>-0.001192468024677466</v>
      </c>
      <c r="J161" s="281">
        <v>-0.005439543287554027</v>
      </c>
      <c r="K161" s="281">
        <v>-0.01626510462941407</v>
      </c>
    </row>
    <row r="162">
      <c r="A162" s="184">
        <v>43917.98325414352</v>
      </c>
      <c r="B162" s="329">
        <v>5.635</v>
      </c>
      <c r="C162" s="329">
        <v>43.62</v>
      </c>
      <c r="D162" s="329">
        <v>201.39</v>
      </c>
      <c r="E162" s="329">
        <v>140.0</v>
      </c>
      <c r="F162" s="330">
        <v>5.835</v>
      </c>
      <c r="G162" s="331">
        <v>0.004768723467937108</v>
      </c>
      <c r="H162" s="281">
        <v>0.005004336497204702</v>
      </c>
      <c r="I162" s="281">
        <v>-0.003799477268605337</v>
      </c>
      <c r="J162" s="281">
        <v>-0.007401699339712575</v>
      </c>
      <c r="K162" s="281">
        <v>-0.014402722840579937</v>
      </c>
    </row>
    <row r="163">
      <c r="A163" s="184">
        <v>43916.983197106485</v>
      </c>
      <c r="B163" s="329">
        <v>5.538</v>
      </c>
      <c r="C163" s="329">
        <v>44.6</v>
      </c>
      <c r="D163" s="329">
        <v>200.92</v>
      </c>
      <c r="E163" s="329">
        <v>140.53</v>
      </c>
      <c r="F163" s="330">
        <v>5.952</v>
      </c>
      <c r="G163" s="331">
        <v>-0.006674929590622769</v>
      </c>
      <c r="H163" s="281">
        <v>0.03811039614873365</v>
      </c>
      <c r="I163" s="281">
        <v>-0.009978297613474574</v>
      </c>
      <c r="J163" s="281">
        <v>0.008136271469375345</v>
      </c>
      <c r="K163" s="281">
        <v>0.002844847522848933</v>
      </c>
    </row>
    <row r="164">
      <c r="A164" s="184">
        <v>43915.98351332176</v>
      </c>
      <c r="B164" s="329">
        <v>5.697</v>
      </c>
      <c r="C164" s="329">
        <v>44.19</v>
      </c>
      <c r="D164" s="329">
        <v>204.23</v>
      </c>
      <c r="E164" s="329">
        <v>142.06</v>
      </c>
      <c r="F164" s="330">
        <v>6.082</v>
      </c>
      <c r="G164" s="331">
        <v>0.01836623059069627</v>
      </c>
      <c r="H164" s="281">
        <v>0.011669060902820863</v>
      </c>
      <c r="I164" s="281">
        <v>5.218860242450774E-4</v>
      </c>
      <c r="J164" s="281">
        <v>0.022787287617315855</v>
      </c>
      <c r="K164" s="281">
        <v>0.006846810278955395</v>
      </c>
    </row>
    <row r="165">
      <c r="A165" s="184">
        <v>43914.98346335648</v>
      </c>
      <c r="B165" s="329">
        <v>5.55</v>
      </c>
      <c r="C165" s="329">
        <v>42.94</v>
      </c>
      <c r="D165" s="329">
        <v>203.67</v>
      </c>
      <c r="E165" s="329">
        <v>143.13</v>
      </c>
      <c r="F165" s="330">
        <v>6.09</v>
      </c>
      <c r="G165" s="331">
        <v>0.024193350476204262</v>
      </c>
      <c r="H165" s="281">
        <v>0.0017686042680777891</v>
      </c>
      <c r="I165" s="281">
        <v>0.003924571760252886</v>
      </c>
      <c r="J165" s="281">
        <v>0.028720122333535048</v>
      </c>
      <c r="K165" s="281">
        <v>0.011371464613553983</v>
      </c>
    </row>
    <row r="166">
      <c r="A166" s="184">
        <v>43913.98311645833</v>
      </c>
      <c r="B166" s="329">
        <v>5.645</v>
      </c>
      <c r="C166" s="329">
        <v>39.64</v>
      </c>
      <c r="D166" s="329">
        <v>206.97</v>
      </c>
      <c r="E166" s="329">
        <v>137.0</v>
      </c>
      <c r="F166" s="330">
        <v>5.897</v>
      </c>
      <c r="G166" s="331">
        <v>0.029704881424628533</v>
      </c>
      <c r="H166" s="281">
        <v>-0.018669628206263427</v>
      </c>
      <c r="I166" s="281">
        <v>0.01760827356594219</v>
      </c>
      <c r="J166" s="281">
        <v>0.015994916886865496</v>
      </c>
      <c r="K166" s="281">
        <v>0.010271600044777784</v>
      </c>
    </row>
    <row r="167">
      <c r="A167" s="184">
        <v>43910.98322962963</v>
      </c>
      <c r="B167" s="329">
        <v>5.383</v>
      </c>
      <c r="C167" s="329">
        <v>42.42</v>
      </c>
      <c r="D167" s="329">
        <v>203.86</v>
      </c>
      <c r="E167" s="329">
        <v>132.47</v>
      </c>
      <c r="F167" s="330">
        <v>5.955</v>
      </c>
      <c r="G167" s="331">
        <v>-0.0049781462428878</v>
      </c>
      <c r="H167" s="281">
        <v>-0.008284756743136779</v>
      </c>
      <c r="I167" s="281">
        <v>0.0074692002000364965</v>
      </c>
      <c r="J167" s="281">
        <v>-0.0014893053167123564</v>
      </c>
      <c r="K167" s="281">
        <v>0.0036346760002302636</v>
      </c>
    </row>
    <row r="168">
      <c r="A168" s="184">
        <v>43909.98347266203</v>
      </c>
      <c r="B168" s="329">
        <v>5.15</v>
      </c>
      <c r="C168" s="329">
        <v>42.48</v>
      </c>
      <c r="D168" s="329">
        <v>201.22</v>
      </c>
      <c r="E168" s="329">
        <v>131.11</v>
      </c>
      <c r="F168" s="330">
        <v>5.882</v>
      </c>
      <c r="G168" s="331">
        <v>-0.01169986218973825</v>
      </c>
      <c r="H168" s="281">
        <v>-0.003210289079372227</v>
      </c>
      <c r="I168" s="281">
        <v>0.007017198083015004</v>
      </c>
      <c r="J168" s="281">
        <v>0.005587421170446231</v>
      </c>
      <c r="K168" s="281">
        <v>0.0012477092732365858</v>
      </c>
    </row>
    <row r="169">
      <c r="A169" s="184">
        <v>43908.98312024305</v>
      </c>
      <c r="B169" s="329">
        <v>5.153</v>
      </c>
      <c r="C169" s="329">
        <v>41.82</v>
      </c>
      <c r="D169" s="329">
        <v>196.22</v>
      </c>
      <c r="E169" s="329">
        <v>130.5</v>
      </c>
      <c r="F169" s="330">
        <v>5.715</v>
      </c>
      <c r="G169" s="331">
        <v>-0.0065595316598547155</v>
      </c>
      <c r="H169" s="281">
        <v>-0.015545945147599513</v>
      </c>
      <c r="I169" s="281">
        <v>-2.500208245893217E-4</v>
      </c>
      <c r="J169" s="281">
        <v>-0.002560769451799727</v>
      </c>
      <c r="K169" s="281">
        <v>-0.022164384322290842</v>
      </c>
    </row>
    <row r="170">
      <c r="A170" s="184">
        <v>43907.98342488426</v>
      </c>
      <c r="B170" s="329">
        <v>5.45</v>
      </c>
      <c r="C170" s="329">
        <v>43.45</v>
      </c>
      <c r="D170" s="329">
        <v>199.24</v>
      </c>
      <c r="E170" s="329">
        <v>133.03</v>
      </c>
      <c r="F170" s="330">
        <v>5.885</v>
      </c>
      <c r="G170" s="331">
        <v>0.01583020727935236</v>
      </c>
      <c r="H170" s="281">
        <v>2.640030982362281E-4</v>
      </c>
      <c r="I170" s="281">
        <v>0.006374358193145653</v>
      </c>
      <c r="J170" s="281">
        <v>-0.0051554509188564595</v>
      </c>
      <c r="K170" s="281">
        <v>-0.010882836865449774</v>
      </c>
    </row>
    <row r="171">
      <c r="A171" s="184">
        <v>43906.98310600694</v>
      </c>
      <c r="B171" s="329">
        <v>5.324</v>
      </c>
      <c r="C171" s="329">
        <v>42.85</v>
      </c>
      <c r="D171" s="329">
        <v>196.93</v>
      </c>
      <c r="E171" s="329">
        <v>128.84</v>
      </c>
      <c r="F171" s="330">
        <v>5.855</v>
      </c>
      <c r="G171" s="331">
        <v>-0.0086230867312966</v>
      </c>
      <c r="H171" s="281">
        <v>-0.030836684699062384</v>
      </c>
      <c r="I171" s="281">
        <v>0.003106585493588998</v>
      </c>
      <c r="J171" s="281">
        <v>-0.02439766723958714</v>
      </c>
      <c r="K171" s="281">
        <v>-0.024708272483893328</v>
      </c>
    </row>
    <row r="172">
      <c r="A172" s="184">
        <v>43903.98311412037</v>
      </c>
      <c r="B172" s="329">
        <v>5.245</v>
      </c>
      <c r="C172" s="329">
        <v>43.77</v>
      </c>
      <c r="D172" s="329">
        <v>196.33</v>
      </c>
      <c r="E172" s="329">
        <v>131.39</v>
      </c>
      <c r="F172" s="330">
        <v>6.1</v>
      </c>
      <c r="G172" s="331">
        <v>-0.02578820633576569</v>
      </c>
      <c r="H172" s="281">
        <v>-0.020243436885733563</v>
      </c>
      <c r="I172" s="281">
        <v>-0.0015652484629575432</v>
      </c>
      <c r="J172" s="281">
        <v>-0.018546426267192977</v>
      </c>
      <c r="K172" s="281">
        <v>-0.007848178319216878</v>
      </c>
    </row>
    <row r="173">
      <c r="A173" s="184">
        <v>43902.98312346065</v>
      </c>
      <c r="B173" s="329">
        <v>5.195</v>
      </c>
      <c r="C173" s="329">
        <v>43.4</v>
      </c>
      <c r="D173" s="329">
        <v>195.45</v>
      </c>
      <c r="E173" s="329">
        <v>134.96</v>
      </c>
      <c r="F173" s="330">
        <v>6.075</v>
      </c>
      <c r="G173" s="331">
        <v>-0.03238403478692079</v>
      </c>
      <c r="H173" s="281">
        <v>-0.024685915115708685</v>
      </c>
      <c r="I173" s="281">
        <v>-0.001115844770061473</v>
      </c>
      <c r="J173" s="281">
        <v>-0.008480847537387573</v>
      </c>
      <c r="K173" s="281">
        <v>-0.0033925819325512454</v>
      </c>
    </row>
    <row r="174">
      <c r="A174" s="184">
        <v>43901.98199244213</v>
      </c>
      <c r="B174" s="329">
        <v>5.456</v>
      </c>
      <c r="C174" s="329">
        <v>46.85</v>
      </c>
      <c r="D174" s="329">
        <v>195.1</v>
      </c>
      <c r="E174" s="329">
        <v>138.5</v>
      </c>
      <c r="F174" s="330">
        <v>6.296</v>
      </c>
      <c r="G174" s="331">
        <v>-0.003678231514723166</v>
      </c>
      <c r="H174" s="281">
        <v>-0.02048770631058468</v>
      </c>
      <c r="I174" s="281">
        <v>-0.0020017408265737093</v>
      </c>
      <c r="J174" s="281">
        <v>-0.002579725395450446</v>
      </c>
      <c r="K174" s="281">
        <v>-0.009096344693645286</v>
      </c>
    </row>
    <row r="175">
      <c r="A175" s="184">
        <v>43900.98310751157</v>
      </c>
      <c r="B175" s="329">
        <v>5.656</v>
      </c>
      <c r="C175" s="329">
        <v>46.367</v>
      </c>
      <c r="D175" s="329">
        <v>197.24</v>
      </c>
      <c r="E175" s="329">
        <v>138.81</v>
      </c>
      <c r="F175" s="330">
        <v>6.241</v>
      </c>
      <c r="G175" s="331">
        <v>0.023183438192378336</v>
      </c>
      <c r="H175" s="281">
        <v>-0.0408892698150544</v>
      </c>
      <c r="I175" s="281">
        <v>0.0024187960996462365</v>
      </c>
      <c r="J175" s="281">
        <v>-0.005439950979151879</v>
      </c>
      <c r="K175" s="281">
        <v>-0.025733736626276094</v>
      </c>
    </row>
    <row r="176">
      <c r="A176" s="184">
        <v>43899.983149699074</v>
      </c>
      <c r="B176" s="329">
        <v>5.714</v>
      </c>
      <c r="C176" s="329">
        <v>46.593</v>
      </c>
      <c r="D176" s="329">
        <v>196.09</v>
      </c>
      <c r="E176" s="329">
        <v>138.39</v>
      </c>
      <c r="F176" s="330">
        <v>6.132</v>
      </c>
      <c r="G176" s="331">
        <v>0.02552575588179466</v>
      </c>
      <c r="H176" s="281">
        <v>-0.040094055934911076</v>
      </c>
      <c r="I176" s="281">
        <v>-5.290656740040885E-4</v>
      </c>
      <c r="J176" s="281">
        <v>-0.003731389362198264</v>
      </c>
      <c r="K176" s="281">
        <v>-0.034875901244208064</v>
      </c>
    </row>
    <row r="177">
      <c r="A177" s="184">
        <v>43896.98312738426</v>
      </c>
      <c r="B177" s="329">
        <v>5.509</v>
      </c>
      <c r="C177" s="329">
        <v>49.71</v>
      </c>
      <c r="D177" s="329">
        <v>196.26</v>
      </c>
      <c r="E177" s="329">
        <v>139.57</v>
      </c>
      <c r="F177" s="330">
        <v>6.46</v>
      </c>
      <c r="G177" s="331">
        <v>0.016468666640756746</v>
      </c>
      <c r="H177" s="281">
        <v>-0.014993983310516304</v>
      </c>
      <c r="I177" s="281">
        <v>0.001677771994263851</v>
      </c>
      <c r="J177" s="281">
        <v>-3.4128715258000913E-4</v>
      </c>
      <c r="K177" s="281">
        <v>-0.015819185178685524</v>
      </c>
    </row>
    <row r="178">
      <c r="A178" s="184">
        <v>43895.98228765046</v>
      </c>
      <c r="B178" s="329">
        <v>5.267</v>
      </c>
      <c r="C178" s="329">
        <v>52.24</v>
      </c>
      <c r="D178" s="329">
        <v>195.81</v>
      </c>
      <c r="E178" s="329">
        <v>141.08</v>
      </c>
      <c r="F178" s="330">
        <v>6.726</v>
      </c>
      <c r="G178" s="331">
        <v>0.002653248534390862</v>
      </c>
      <c r="H178" s="281">
        <v>0.005180529344298949</v>
      </c>
      <c r="I178" s="281">
        <v>0.0029789958518765904</v>
      </c>
      <c r="J178" s="281">
        <v>0.012117330033549534</v>
      </c>
      <c r="K178" s="281">
        <v>0.0020434208566363723</v>
      </c>
    </row>
    <row r="179">
      <c r="A179" s="184">
        <v>43894.98311025463</v>
      </c>
      <c r="B179" s="329">
        <v>5.284</v>
      </c>
      <c r="C179" s="329">
        <v>52.37</v>
      </c>
      <c r="D179" s="329">
        <v>196.4</v>
      </c>
      <c r="E179" s="329">
        <v>139.93</v>
      </c>
      <c r="F179" s="330">
        <v>6.793</v>
      </c>
      <c r="G179" s="331">
        <v>4.755412909815959E-4</v>
      </c>
      <c r="H179" s="281">
        <v>0.012361709610135496</v>
      </c>
      <c r="I179" s="281">
        <v>0.0011148422074812592</v>
      </c>
      <c r="J179" s="281">
        <v>0.006140151916547006</v>
      </c>
      <c r="K179" s="281">
        <v>0.005264128195076563</v>
      </c>
    </row>
    <row r="180">
      <c r="A180" s="184">
        <v>43893.983123784725</v>
      </c>
      <c r="B180" s="329">
        <v>5.238</v>
      </c>
      <c r="C180" s="329">
        <v>51.93</v>
      </c>
      <c r="D180" s="329">
        <v>195.27</v>
      </c>
      <c r="E180" s="329">
        <v>139.7</v>
      </c>
      <c r="F180" s="330">
        <v>6.768</v>
      </c>
      <c r="G180" s="331">
        <v>0.0036389001619023067</v>
      </c>
      <c r="H180" s="281">
        <v>-0.00629616040688837</v>
      </c>
      <c r="I180" s="281">
        <v>0.0015131032268850264</v>
      </c>
      <c r="J180" s="281">
        <v>-0.007297342009698449</v>
      </c>
      <c r="K180" s="281">
        <v>-0.002393973922649321</v>
      </c>
    </row>
    <row r="181">
      <c r="A181" s="184">
        <v>43892.98301008102</v>
      </c>
      <c r="B181" s="329">
        <v>5.225</v>
      </c>
      <c r="C181" s="329">
        <v>51.43</v>
      </c>
      <c r="D181" s="329">
        <v>194.06</v>
      </c>
      <c r="E181" s="329">
        <v>135.99</v>
      </c>
      <c r="F181" s="330">
        <v>6.684</v>
      </c>
      <c r="G181" s="331">
        <v>0.003069012650433948</v>
      </c>
      <c r="H181" s="281">
        <v>-0.02571500668996733</v>
      </c>
      <c r="I181" s="281">
        <v>-0.0012726886588105835</v>
      </c>
      <c r="J181" s="281">
        <v>-0.017084464259439363</v>
      </c>
      <c r="K181" s="281">
        <v>-0.016753638062210714</v>
      </c>
    </row>
    <row r="182">
      <c r="A182" s="184">
        <v>43889.975480567125</v>
      </c>
      <c r="B182" s="329">
        <v>5.276</v>
      </c>
      <c r="C182" s="329">
        <v>50.45</v>
      </c>
      <c r="D182" s="329">
        <v>195.73</v>
      </c>
      <c r="E182" s="329">
        <v>137.32</v>
      </c>
      <c r="F182" s="330">
        <v>6.686</v>
      </c>
      <c r="G182" s="331">
        <v>0.005099005082687791</v>
      </c>
      <c r="H182" s="281">
        <v>-0.03441240567189078</v>
      </c>
      <c r="I182" s="281">
        <v>0.0010140168149609756</v>
      </c>
      <c r="J182" s="281">
        <v>-0.016085018638521815</v>
      </c>
      <c r="K182" s="281">
        <v>-0.018125043933142182</v>
      </c>
    </row>
    <row r="183">
      <c r="A183" s="184">
        <v>43888.97548252315</v>
      </c>
      <c r="B183" s="329">
        <v>5.18</v>
      </c>
      <c r="C183" s="329">
        <v>52.85</v>
      </c>
      <c r="D183" s="329">
        <v>194.37</v>
      </c>
      <c r="E183" s="329">
        <v>142.63</v>
      </c>
      <c r="F183" s="330">
        <v>6.815</v>
      </c>
      <c r="G183" s="331">
        <v>-3.887174825302579E-4</v>
      </c>
      <c r="H183" s="281">
        <v>-0.024468040063601704</v>
      </c>
      <c r="I183" s="281">
        <v>-9.091984631821592E-4</v>
      </c>
      <c r="J183" s="281">
        <v>-0.00909819548417031</v>
      </c>
      <c r="K183" s="281">
        <v>-0.013583607437039014</v>
      </c>
    </row>
    <row r="184">
      <c r="A184" s="184">
        <v>43887.97548005787</v>
      </c>
      <c r="B184" s="329">
        <v>5.176</v>
      </c>
      <c r="C184" s="329">
        <v>55.42</v>
      </c>
      <c r="D184" s="329">
        <v>194.79</v>
      </c>
      <c r="E184" s="329">
        <v>143.03</v>
      </c>
      <c r="F184" s="330">
        <v>7.024</v>
      </c>
      <c r="G184" s="331">
        <v>0.004817309435799055</v>
      </c>
      <c r="H184" s="281">
        <v>-0.019056764462978066</v>
      </c>
      <c r="I184" s="281">
        <v>0.0022567759484181473</v>
      </c>
      <c r="J184" s="281">
        <v>-0.0021358538951048445</v>
      </c>
      <c r="K184" s="281">
        <v>-0.010079405389951113</v>
      </c>
    </row>
    <row r="185">
      <c r="A185" s="184">
        <v>43886.97584920139</v>
      </c>
      <c r="B185" s="329">
        <v>5.195</v>
      </c>
      <c r="C185" s="329">
        <v>55.81</v>
      </c>
      <c r="D185" s="329">
        <v>195.13</v>
      </c>
      <c r="E185" s="329">
        <v>144.0</v>
      </c>
      <c r="F185" s="330">
        <v>7.055</v>
      </c>
      <c r="G185" s="331">
        <v>0.006759718824872474</v>
      </c>
      <c r="H185" s="281">
        <v>-0.01875742561780565</v>
      </c>
      <c r="I185" s="281">
        <v>0.0017531595053632183</v>
      </c>
      <c r="J185" s="281">
        <v>0.002116868274933218</v>
      </c>
      <c r="K185" s="281">
        <v>-0.01270699698606396</v>
      </c>
    </row>
    <row r="186">
      <c r="A186" s="184">
        <v>43885.97547398148</v>
      </c>
      <c r="B186" s="329">
        <v>5.186</v>
      </c>
      <c r="C186" s="329">
        <v>56.8</v>
      </c>
      <c r="D186" s="329">
        <v>194.9</v>
      </c>
      <c r="E186" s="329">
        <v>146.55</v>
      </c>
      <c r="F186" s="330">
        <v>7.095</v>
      </c>
      <c r="G186" s="331">
        <v>0.00978407414108314</v>
      </c>
      <c r="H186" s="281">
        <v>-0.01696880057136581</v>
      </c>
      <c r="I186" s="281">
        <v>0.00283716098642095</v>
      </c>
      <c r="J186" s="281">
        <v>0.011841420847640097</v>
      </c>
      <c r="K186" s="281">
        <v>-0.00963424466930407</v>
      </c>
    </row>
    <row r="187">
      <c r="A187" s="184">
        <v>43882.9754755787</v>
      </c>
      <c r="B187" s="329">
        <v>5.101</v>
      </c>
      <c r="C187" s="329">
        <v>58.64</v>
      </c>
      <c r="D187" s="329">
        <v>193.47</v>
      </c>
      <c r="E187" s="329">
        <v>143.9</v>
      </c>
      <c r="F187" s="330">
        <v>7.238</v>
      </c>
      <c r="G187" s="331">
        <v>0.003393801549928225</v>
      </c>
      <c r="H187" s="281">
        <v>-0.0025432439389770542</v>
      </c>
      <c r="I187" s="281">
        <v>5.122102848260646E-4</v>
      </c>
      <c r="J187" s="281">
        <v>0.006803997965126614</v>
      </c>
      <c r="K187" s="281">
        <v>2.800108201036859E-4</v>
      </c>
    </row>
    <row r="188">
      <c r="A188" s="184">
        <v>43881.975497418985</v>
      </c>
      <c r="B188" s="329">
        <v>5.09</v>
      </c>
      <c r="C188" s="329">
        <v>59.0</v>
      </c>
      <c r="D188" s="329">
        <v>194.1</v>
      </c>
      <c r="E188" s="329">
        <v>143.04</v>
      </c>
      <c r="F188" s="330">
        <v>7.327</v>
      </c>
      <c r="G188" s="331">
        <v>0.006108011286213595</v>
      </c>
      <c r="H188" s="281">
        <v>-0.0028101067925606995</v>
      </c>
      <c r="I188" s="281">
        <v>0.0033405016074215346</v>
      </c>
      <c r="J188" s="281">
        <v>0.009706185054652816</v>
      </c>
      <c r="K188" s="281">
        <v>0.005577292270296426</v>
      </c>
    </row>
    <row r="189">
      <c r="A189" s="184">
        <v>43880.97547686343</v>
      </c>
      <c r="B189" s="329">
        <v>5.035</v>
      </c>
      <c r="C189" s="329">
        <v>59.73</v>
      </c>
      <c r="D189" s="329">
        <v>193.24</v>
      </c>
      <c r="E189" s="329">
        <v>141.4</v>
      </c>
      <c r="F189" s="330">
        <v>7.301</v>
      </c>
      <c r="G189" s="331">
        <v>0.0027062976974840947</v>
      </c>
      <c r="H189" s="281">
        <v>0.002658950818603086</v>
      </c>
      <c r="I189" s="281">
        <v>0.002002372911359518</v>
      </c>
      <c r="J189" s="281">
        <v>0.0061483701378222495</v>
      </c>
      <c r="K189" s="281">
        <v>0.005689849260323195</v>
      </c>
    </row>
    <row r="190">
      <c r="A190" s="184">
        <v>43879.975484027775</v>
      </c>
      <c r="B190" s="329">
        <v>5.049</v>
      </c>
      <c r="C190" s="329">
        <v>59.08</v>
      </c>
      <c r="D190" s="329">
        <v>193.17</v>
      </c>
      <c r="E190" s="329">
        <v>140.98</v>
      </c>
      <c r="F190" s="330">
        <v>7.231</v>
      </c>
      <c r="G190" s="331">
        <v>0.0066367474380997216</v>
      </c>
      <c r="H190" s="281">
        <v>-6.871897958780071E-4</v>
      </c>
      <c r="I190" s="281">
        <v>0.0030096271853711962</v>
      </c>
      <c r="J190" s="281">
        <v>0.006671239427633109</v>
      </c>
      <c r="K190" s="281">
        <v>0.0030977206195660356</v>
      </c>
    </row>
    <row r="191">
      <c r="A191" s="184">
        <v>43878.97510631944</v>
      </c>
      <c r="B191" s="329">
        <v>4.997</v>
      </c>
      <c r="C191" s="329">
        <v>59.49</v>
      </c>
      <c r="D191" s="329">
        <v>192.16</v>
      </c>
      <c r="E191" s="329">
        <v>138.91</v>
      </c>
      <c r="F191" s="330">
        <v>7.205</v>
      </c>
      <c r="G191" s="331">
        <v>0.005156980947378376</v>
      </c>
      <c r="H191" s="281">
        <v>0.003258940660916032</v>
      </c>
      <c r="I191" s="281">
        <v>0.0028513407551289025</v>
      </c>
      <c r="J191" s="281">
        <v>0.0046719126172690695</v>
      </c>
      <c r="K191" s="281">
        <v>0.004877029534748038</v>
      </c>
    </row>
    <row r="192">
      <c r="A192" s="184">
        <v>43875.97547909722</v>
      </c>
      <c r="B192" s="329">
        <v>4.994</v>
      </c>
      <c r="C192" s="329">
        <v>59.25</v>
      </c>
      <c r="D192" s="329">
        <v>192.08</v>
      </c>
      <c r="E192" s="329">
        <v>138.8</v>
      </c>
      <c r="F192" s="330">
        <v>7.177</v>
      </c>
      <c r="G192" s="331">
        <v>0.0033308446151724866</v>
      </c>
      <c r="H192" s="281">
        <v>0.0037814319700144963</v>
      </c>
      <c r="I192" s="281">
        <v>0.0022926640883976037</v>
      </c>
      <c r="J192" s="281">
        <v>0.006135825022638912</v>
      </c>
      <c r="K192" s="281">
        <v>0.006914966152837265</v>
      </c>
    </row>
    <row r="193">
      <c r="A193" s="184">
        <v>43874.97560451389</v>
      </c>
      <c r="B193" s="329">
        <v>4.949</v>
      </c>
      <c r="C193" s="329">
        <v>59.2</v>
      </c>
      <c r="D193" s="329">
        <v>191.43</v>
      </c>
      <c r="E193" s="329">
        <v>138.17</v>
      </c>
      <c r="F193" s="330">
        <v>7.164</v>
      </c>
      <c r="G193" s="331">
        <v>-0.0013583044780868248</v>
      </c>
      <c r="H193" s="281">
        <v>0.005946934421612797</v>
      </c>
      <c r="I193" s="281">
        <v>3.6085953257932363E-4</v>
      </c>
      <c r="J193" s="281">
        <v>0.0022988682694801512</v>
      </c>
      <c r="K193" s="281">
        <v>0.006690566218487515</v>
      </c>
    </row>
    <row r="194">
      <c r="A194" s="184">
        <v>43873.975479976856</v>
      </c>
      <c r="B194" s="329">
        <v>4.92</v>
      </c>
      <c r="C194" s="329">
        <v>58.91</v>
      </c>
      <c r="D194" s="329">
        <v>190.52</v>
      </c>
      <c r="E194" s="329">
        <v>136.97</v>
      </c>
      <c r="F194" s="330">
        <v>7.1</v>
      </c>
      <c r="G194" s="331">
        <v>-2.9284498878704807E-4</v>
      </c>
      <c r="H194" s="281">
        <v>0.0053458658121607145</v>
      </c>
      <c r="I194" s="281">
        <v>9.378533549344592E-4</v>
      </c>
      <c r="J194" s="281">
        <v>0.0020518929644383808</v>
      </c>
      <c r="K194" s="281">
        <v>0.0020985089903686007</v>
      </c>
    </row>
    <row r="195">
      <c r="A195" s="184">
        <v>43872.97546798611</v>
      </c>
      <c r="B195" s="329">
        <v>4.944</v>
      </c>
      <c r="C195" s="329">
        <v>58.58</v>
      </c>
      <c r="D195" s="329">
        <v>190.76</v>
      </c>
      <c r="E195" s="329">
        <v>136.26</v>
      </c>
      <c r="F195" s="330">
        <v>7.029</v>
      </c>
      <c r="G195" s="331">
        <v>0.006342648661031625</v>
      </c>
      <c r="H195" s="281">
        <v>0.00388111772108235</v>
      </c>
      <c r="I195" s="281">
        <v>0.003691335750372504</v>
      </c>
      <c r="J195" s="281">
        <v>0.0018422888757001488</v>
      </c>
      <c r="K195" s="281">
        <v>-0.0013293199725419313</v>
      </c>
    </row>
    <row r="196">
      <c r="A196" s="184">
        <v>43871.97547528935</v>
      </c>
      <c r="B196" s="329">
        <v>4.969</v>
      </c>
      <c r="C196" s="329">
        <v>58.15</v>
      </c>
      <c r="D196" s="329">
        <v>191.22</v>
      </c>
      <c r="E196" s="329">
        <v>137.21</v>
      </c>
      <c r="F196" s="330">
        <v>7.021</v>
      </c>
      <c r="G196" s="331">
        <v>0.008371836040784545</v>
      </c>
      <c r="H196" s="281">
        <v>0.004312847511892426</v>
      </c>
      <c r="I196" s="281">
        <v>0.004689501544563786</v>
      </c>
      <c r="J196" s="281">
        <v>0.005863694303316791</v>
      </c>
      <c r="K196" s="281">
        <v>2.751451932259119E-4</v>
      </c>
    </row>
    <row r="197">
      <c r="A197" s="184">
        <v>43868.97547746528</v>
      </c>
      <c r="B197" s="329">
        <v>4.924</v>
      </c>
      <c r="C197" s="329">
        <v>57.97</v>
      </c>
      <c r="D197" s="329">
        <v>189.98</v>
      </c>
      <c r="E197" s="329">
        <v>136.12</v>
      </c>
      <c r="F197" s="330">
        <v>7.055</v>
      </c>
      <c r="G197" s="331">
        <v>0.0036331337612298675</v>
      </c>
      <c r="H197" s="281">
        <v>0.006358849730912238</v>
      </c>
      <c r="I197" s="281">
        <v>0.0026693801472614056</v>
      </c>
      <c r="J197" s="281">
        <v>0.005465765528912721</v>
      </c>
      <c r="K197" s="281">
        <v>0.005073004271863413</v>
      </c>
    </row>
    <row r="198">
      <c r="A198" s="184">
        <v>43867.97548303241</v>
      </c>
      <c r="B198" s="329">
        <v>4.85</v>
      </c>
      <c r="C198" s="329">
        <v>57.9</v>
      </c>
      <c r="D198" s="329">
        <v>188.65</v>
      </c>
      <c r="E198" s="329">
        <v>135.5</v>
      </c>
      <c r="F198" s="330">
        <v>7.057</v>
      </c>
      <c r="G198" s="331">
        <v>-0.003977301876201785</v>
      </c>
      <c r="H198" s="281">
        <v>0.01181766382882432</v>
      </c>
      <c r="I198" s="281">
        <v>-4.424364714412654E-4</v>
      </c>
      <c r="J198" s="281">
        <v>-3.591992055236304E-4</v>
      </c>
      <c r="K198" s="281">
        <v>0.007710198039993695</v>
      </c>
    </row>
    <row r="199">
      <c r="A199" s="184">
        <v>43866.97547539352</v>
      </c>
      <c r="B199" s="329">
        <v>4.845</v>
      </c>
      <c r="C199" s="329">
        <v>57.4</v>
      </c>
      <c r="D199" s="329">
        <v>188.54</v>
      </c>
      <c r="E199" s="329">
        <v>134.81</v>
      </c>
      <c r="F199" s="330">
        <v>7.015</v>
      </c>
      <c r="G199" s="331">
        <v>-0.004320944487885632</v>
      </c>
      <c r="H199" s="281">
        <v>0.01108698084168184</v>
      </c>
      <c r="I199" s="281">
        <v>-2.662334938424715E-4</v>
      </c>
      <c r="J199" s="281">
        <v>-0.0037032528628264303</v>
      </c>
      <c r="K199" s="281">
        <v>0.0010853079782022397</v>
      </c>
    </row>
    <row r="200">
      <c r="A200" s="184">
        <v>43865.97547152778</v>
      </c>
      <c r="B200" s="329">
        <v>4.87</v>
      </c>
      <c r="C200" s="329">
        <v>56.87</v>
      </c>
      <c r="D200" s="329">
        <v>188.46</v>
      </c>
      <c r="E200" s="329">
        <v>133.9</v>
      </c>
      <c r="F200" s="330">
        <v>6.948</v>
      </c>
      <c r="G200" s="331">
        <v>-0.0030763725373707342</v>
      </c>
      <c r="H200" s="281">
        <v>0.00476650536886732</v>
      </c>
      <c r="I200" s="281">
        <v>-0.0013262855138602703</v>
      </c>
      <c r="J200" s="281">
        <v>-0.006589185509461896</v>
      </c>
      <c r="K200" s="281">
        <v>-0.00410092083534989</v>
      </c>
    </row>
    <row r="201">
      <c r="A201" s="184">
        <v>43864.97546056713</v>
      </c>
      <c r="B201" s="329">
        <v>4.908</v>
      </c>
      <c r="C201" s="329">
        <v>55.87</v>
      </c>
      <c r="D201" s="329">
        <v>188.9</v>
      </c>
      <c r="E201" s="329">
        <v>135.63</v>
      </c>
      <c r="F201" s="330">
        <v>6.895</v>
      </c>
      <c r="G201" s="331">
        <v>0.0017626325059287111</v>
      </c>
      <c r="H201" s="281">
        <v>-0.005079353388142582</v>
      </c>
      <c r="I201" s="281">
        <v>2.2710496004404077E-4</v>
      </c>
      <c r="J201" s="281">
        <v>-5.494290205270147E-4</v>
      </c>
      <c r="K201" s="281">
        <v>-0.010624850311881096</v>
      </c>
    </row>
    <row r="202">
      <c r="A202" s="184">
        <v>43861.97547103009</v>
      </c>
      <c r="B202" s="329">
        <v>4.908</v>
      </c>
      <c r="C202" s="329">
        <v>55.51</v>
      </c>
      <c r="D202" s="329">
        <v>188.69</v>
      </c>
      <c r="E202" s="329">
        <v>136.3</v>
      </c>
      <c r="F202" s="330">
        <v>6.991</v>
      </c>
      <c r="G202" s="331">
        <v>0.0035378612373229887</v>
      </c>
      <c r="H202" s="281">
        <v>-0.006286905105226411</v>
      </c>
      <c r="I202" s="281">
        <v>8.277380424734174E-4</v>
      </c>
      <c r="J202" s="281">
        <v>0.001465260662238066</v>
      </c>
      <c r="K202" s="281">
        <v>-0.008278780551191764</v>
      </c>
    </row>
    <row r="203">
      <c r="A203" s="184">
        <v>43860.97547587963</v>
      </c>
      <c r="B203" s="329">
        <v>4.915</v>
      </c>
      <c r="C203" s="329">
        <v>56.05</v>
      </c>
      <c r="D203" s="329">
        <v>189.21</v>
      </c>
      <c r="E203" s="329">
        <v>136.56</v>
      </c>
      <c r="F203" s="330">
        <v>7.033</v>
      </c>
      <c r="G203" s="331">
        <v>0.002571759876176897</v>
      </c>
      <c r="H203" s="281">
        <v>6.686251622661418E-4</v>
      </c>
      <c r="I203" s="281">
        <v>0.0013390275863210954</v>
      </c>
      <c r="J203" s="281">
        <v>-4.535419270912759E-4</v>
      </c>
      <c r="K203" s="281">
        <v>-0.00446208356831194</v>
      </c>
    </row>
    <row r="204">
      <c r="A204" s="184">
        <v>43859.97549466435</v>
      </c>
      <c r="B204" s="329">
        <v>4.882</v>
      </c>
      <c r="C204" s="329">
        <v>56.72</v>
      </c>
      <c r="D204" s="329">
        <v>188.77</v>
      </c>
      <c r="E204" s="329">
        <v>135.85</v>
      </c>
      <c r="F204" s="330">
        <v>7.117</v>
      </c>
      <c r="G204" s="331">
        <v>0.005118075051810019</v>
      </c>
      <c r="H204" s="281">
        <v>-0.002260240881845436</v>
      </c>
      <c r="I204" s="281">
        <v>0.0028102707957467685</v>
      </c>
      <c r="J204" s="281">
        <v>1.7798298058609627E-4</v>
      </c>
      <c r="K204" s="281">
        <v>-0.005625606919076172</v>
      </c>
    </row>
    <row r="205">
      <c r="A205" s="184">
        <v>43858.97546988426</v>
      </c>
      <c r="B205" s="329">
        <v>4.856</v>
      </c>
      <c r="C205" s="329">
        <v>56.56</v>
      </c>
      <c r="D205" s="329">
        <v>188.22</v>
      </c>
      <c r="E205" s="329">
        <v>135.7</v>
      </c>
      <c r="F205" s="330">
        <v>7.166</v>
      </c>
      <c r="G205" s="331">
        <v>0.005215115927239185</v>
      </c>
      <c r="H205" s="281">
        <v>-0.0019743981980963796</v>
      </c>
      <c r="I205" s="281">
        <v>0.002782904306643482</v>
      </c>
      <c r="J205" s="281">
        <v>0.0017249332953828873</v>
      </c>
      <c r="K205" s="281">
        <v>-0.006646923725730132</v>
      </c>
    </row>
    <row r="206">
      <c r="A206" s="184">
        <v>43857.975588125</v>
      </c>
      <c r="B206" s="329">
        <v>4.877</v>
      </c>
      <c r="C206" s="329">
        <v>55.93</v>
      </c>
      <c r="D206" s="329">
        <v>188.45</v>
      </c>
      <c r="E206" s="329">
        <v>136.74</v>
      </c>
      <c r="F206" s="330">
        <v>7.127</v>
      </c>
      <c r="G206" s="331">
        <v>0.011886757100993073</v>
      </c>
      <c r="H206" s="281">
        <v>-0.006660077736514373</v>
      </c>
      <c r="I206" s="281">
        <v>0.006172638212120625</v>
      </c>
      <c r="J206" s="281">
        <v>0.007588475249390066</v>
      </c>
      <c r="K206" s="281">
        <v>-0.009783616316720497</v>
      </c>
    </row>
    <row r="207">
      <c r="A207" s="184">
        <v>43854.97547130787</v>
      </c>
      <c r="B207" s="329">
        <v>4.807</v>
      </c>
      <c r="C207" s="329">
        <v>57.09</v>
      </c>
      <c r="D207" s="329">
        <v>187.18</v>
      </c>
      <c r="E207" s="329">
        <v>135.77</v>
      </c>
      <c r="F207" s="330">
        <v>7.237</v>
      </c>
      <c r="G207" s="331">
        <v>0.008377634237168566</v>
      </c>
      <c r="H207" s="281">
        <v>9.486711997328164E-4</v>
      </c>
      <c r="I207" s="281">
        <v>0.004214561632227405</v>
      </c>
      <c r="J207" s="281">
        <v>0.005598001877706538</v>
      </c>
      <c r="K207" s="281">
        <v>-0.005865353860194045</v>
      </c>
    </row>
    <row r="208">
      <c r="A208" s="184">
        <v>43853.97548150463</v>
      </c>
      <c r="B208" s="329">
        <v>4.78</v>
      </c>
      <c r="C208" s="329">
        <v>56.88</v>
      </c>
      <c r="D208" s="329">
        <v>186.65</v>
      </c>
      <c r="E208" s="329">
        <v>134.99</v>
      </c>
      <c r="F208" s="330">
        <v>7.309</v>
      </c>
      <c r="G208" s="331">
        <v>0.00885228163482569</v>
      </c>
      <c r="H208" s="281">
        <v>-4.941147096415577E-4</v>
      </c>
      <c r="I208" s="281">
        <v>0.004028222379362623</v>
      </c>
      <c r="J208" s="281">
        <v>0.002334683956536243</v>
      </c>
      <c r="K208" s="281">
        <v>-0.0032279492052100047</v>
      </c>
    </row>
    <row r="209">
      <c r="A209" s="184">
        <v>43852.975480625</v>
      </c>
      <c r="B209" s="329">
        <v>4.705</v>
      </c>
      <c r="C209" s="329">
        <v>57.046</v>
      </c>
      <c r="D209" s="329">
        <v>184.98</v>
      </c>
      <c r="E209" s="329">
        <v>133.65</v>
      </c>
      <c r="F209" s="330">
        <v>7.338</v>
      </c>
      <c r="G209" s="331">
        <v>0.00469650076157672</v>
      </c>
      <c r="H209" s="281">
        <v>9.409738122279817E-4</v>
      </c>
      <c r="I209" s="281">
        <v>0.0015338826500058318</v>
      </c>
      <c r="J209" s="281">
        <v>1.4486581312744828E-4</v>
      </c>
      <c r="K209" s="281">
        <v>-0.0028087212249063853</v>
      </c>
    </row>
    <row r="210">
      <c r="A210" s="184">
        <v>43851.97547001157</v>
      </c>
      <c r="B210" s="329">
        <v>4.687</v>
      </c>
      <c r="C210" s="329">
        <v>56.927</v>
      </c>
      <c r="D210" s="329">
        <v>184.82</v>
      </c>
      <c r="E210" s="329">
        <v>133.5</v>
      </c>
      <c r="F210" s="330">
        <v>7.365</v>
      </c>
      <c r="G210" s="331">
        <v>0.0023434431588787996</v>
      </c>
      <c r="H210" s="281">
        <v>0.003234114076320719</v>
      </c>
      <c r="I210" s="281">
        <v>0.002295545994052165</v>
      </c>
      <c r="J210" s="281">
        <v>0.002540422716257318</v>
      </c>
      <c r="K210" s="281">
        <v>-0.0015371839476453857</v>
      </c>
    </row>
    <row r="211">
      <c r="A211" s="184">
        <v>43850.97548146991</v>
      </c>
      <c r="B211" s="329">
        <v>4.654</v>
      </c>
      <c r="C211" s="329">
        <v>56.964</v>
      </c>
      <c r="D211" s="329">
        <v>184.4</v>
      </c>
      <c r="E211" s="329">
        <v>134.04</v>
      </c>
      <c r="F211" s="330">
        <v>7.38</v>
      </c>
      <c r="G211" s="331">
        <v>-6.480806354599208E-4</v>
      </c>
      <c r="H211" s="281">
        <v>0.005059043712544842</v>
      </c>
      <c r="I211" s="281">
        <v>0.0015562125722655324</v>
      </c>
      <c r="J211" s="281">
        <v>0.004366796904319255</v>
      </c>
      <c r="K211" s="281">
        <v>-0.001218706385999968</v>
      </c>
    </row>
    <row r="212">
      <c r="A212" s="184">
        <v>43847.97548009259</v>
      </c>
      <c r="B212" s="329">
        <v>4.639</v>
      </c>
      <c r="C212" s="329">
        <v>56.885</v>
      </c>
      <c r="D212" s="329">
        <v>184.13</v>
      </c>
      <c r="E212" s="329">
        <v>133.59</v>
      </c>
      <c r="F212" s="330">
        <v>7.4</v>
      </c>
      <c r="G212" s="331">
        <v>-3.642152630632574E-4</v>
      </c>
      <c r="H212" s="281">
        <v>0.004733416859191264</v>
      </c>
      <c r="I212" s="281">
        <v>9.228523948090483E-4</v>
      </c>
      <c r="J212" s="281">
        <v>0.004104431676176319</v>
      </c>
      <c r="K212" s="281">
        <v>-0.0026554927263217807</v>
      </c>
    </row>
    <row r="213">
      <c r="A213" s="184">
        <v>43846.97549677083</v>
      </c>
      <c r="B213" s="329">
        <v>4.654</v>
      </c>
      <c r="C213" s="329">
        <v>56.375</v>
      </c>
      <c r="D213" s="329">
        <v>183.55</v>
      </c>
      <c r="E213" s="329">
        <v>132.48</v>
      </c>
      <c r="F213" s="330">
        <v>7.399</v>
      </c>
      <c r="G213" s="331">
        <v>0.002866919339106507</v>
      </c>
      <c r="H213" s="281">
        <v>0.003106082055229775</v>
      </c>
      <c r="I213" s="281">
        <v>9.80228994466074E-4</v>
      </c>
      <c r="J213" s="281">
        <v>-1.8096236583287073E-4</v>
      </c>
      <c r="K213" s="281">
        <v>-0.001717385427442301</v>
      </c>
    </row>
    <row r="214">
      <c r="A214" s="184">
        <v>43845.975512951394</v>
      </c>
      <c r="B214" s="329">
        <v>4.663</v>
      </c>
      <c r="C214" s="329">
        <v>56.103</v>
      </c>
      <c r="D214" s="329">
        <v>183.54</v>
      </c>
      <c r="E214" s="329">
        <v>132.29</v>
      </c>
      <c r="F214" s="330">
        <v>7.407</v>
      </c>
      <c r="G214" s="331">
        <v>0.0011274775810670528</v>
      </c>
      <c r="H214" s="281">
        <v>8.532319890436716E-4</v>
      </c>
      <c r="I214" s="281">
        <v>-4.4040481465797604E-4</v>
      </c>
      <c r="J214" s="281">
        <v>-0.003022909788219582</v>
      </c>
      <c r="K214" s="281">
        <v>-0.0035532024399773654</v>
      </c>
    </row>
    <row r="215">
      <c r="A215" s="184">
        <v>43844.975512453704</v>
      </c>
      <c r="B215" s="329">
        <v>4.644</v>
      </c>
      <c r="C215" s="329">
        <v>56.08</v>
      </c>
      <c r="D215" s="329">
        <v>183.62</v>
      </c>
      <c r="E215" s="329">
        <v>131.95</v>
      </c>
      <c r="F215" s="330">
        <v>7.459</v>
      </c>
      <c r="G215" s="331">
        <v>0.00457523556694069</v>
      </c>
      <c r="H215" s="281">
        <v>6.987083454012E-4</v>
      </c>
      <c r="I215" s="281">
        <v>0.0010289328161133815</v>
      </c>
      <c r="J215" s="281">
        <v>-0.00235640326674084</v>
      </c>
      <c r="K215" s="281">
        <v>-5.896878570414247E-4</v>
      </c>
    </row>
    <row r="216">
      <c r="A216" s="184">
        <v>43843.97413259259</v>
      </c>
      <c r="B216" s="329">
        <v>4.614</v>
      </c>
      <c r="C216" s="329">
        <v>55.851</v>
      </c>
      <c r="D216" s="329">
        <v>183.01</v>
      </c>
      <c r="E216" s="329">
        <v>132.55</v>
      </c>
      <c r="F216" s="330">
        <v>7.437</v>
      </c>
      <c r="G216" s="331">
        <v>-0.0010715303215231842</v>
      </c>
      <c r="H216" s="281">
        <v>0.0021609020206387144</v>
      </c>
      <c r="I216" s="281">
        <v>-0.0014259636883446891</v>
      </c>
      <c r="J216" s="281">
        <v>-0.004202106471201746</v>
      </c>
      <c r="K216" s="281">
        <v>-0.0030003919497167595</v>
      </c>
    </row>
    <row r="217">
      <c r="A217" s="184">
        <v>43840.97548270834</v>
      </c>
      <c r="B217" s="329">
        <v>4.647</v>
      </c>
      <c r="C217" s="329">
        <v>55.959</v>
      </c>
      <c r="D217" s="329">
        <v>183.78</v>
      </c>
      <c r="E217" s="329">
        <v>133.49</v>
      </c>
      <c r="F217" s="330">
        <v>7.486</v>
      </c>
      <c r="G217" s="331">
        <v>0.0013125182263744966</v>
      </c>
      <c r="H217" s="281">
        <v>0.004325322321196608</v>
      </c>
      <c r="I217" s="281">
        <v>7.201120645625725E-4</v>
      </c>
      <c r="J217" s="281">
        <v>-0.00141602620973121</v>
      </c>
      <c r="K217" s="281">
        <v>-0.0020479469674210917</v>
      </c>
    </row>
    <row r="218">
      <c r="A218" s="184">
        <v>43839.97445622685</v>
      </c>
      <c r="B218" s="329">
        <v>4.58</v>
      </c>
      <c r="C218" s="329">
        <v>55.962</v>
      </c>
      <c r="D218" s="329">
        <v>183.05</v>
      </c>
      <c r="E218" s="329">
        <v>132.88</v>
      </c>
      <c r="F218" s="330">
        <v>7.472</v>
      </c>
      <c r="G218" s="331">
        <v>-0.002557120193644439</v>
      </c>
      <c r="H218" s="281">
        <v>0.0065036584357871146</v>
      </c>
      <c r="I218" s="281">
        <v>8.320633065030206E-4</v>
      </c>
      <c r="J218" s="281">
        <v>-5.023347841014806E-4</v>
      </c>
      <c r="K218" s="281">
        <v>-0.0021845210181764183</v>
      </c>
    </row>
    <row r="219">
      <c r="A219" s="184">
        <v>43838.97547960648</v>
      </c>
      <c r="B219" s="329">
        <v>4.628</v>
      </c>
      <c r="C219" s="329">
        <v>55.488</v>
      </c>
      <c r="D219" s="329">
        <v>183.79</v>
      </c>
      <c r="E219" s="329">
        <v>134.22</v>
      </c>
      <c r="F219" s="330">
        <v>7.504</v>
      </c>
      <c r="G219" s="331">
        <v>6.959069310704298E-5</v>
      </c>
      <c r="H219" s="281">
        <v>0.0029939305355858314</v>
      </c>
      <c r="I219" s="281">
        <v>0.0017232044766987882</v>
      </c>
      <c r="J219" s="281">
        <v>0.005514338181127713</v>
      </c>
      <c r="K219" s="281">
        <v>-3.523362409681615E-6</v>
      </c>
    </row>
    <row r="220">
      <c r="A220" s="184">
        <v>43837.97549438657</v>
      </c>
      <c r="B220" s="329">
        <v>4.628</v>
      </c>
      <c r="C220" s="329">
        <v>55.235</v>
      </c>
      <c r="D220" s="329">
        <v>183.38</v>
      </c>
      <c r="E220" s="329">
        <v>134.05</v>
      </c>
      <c r="F220" s="330">
        <v>7.532</v>
      </c>
      <c r="G220" s="331">
        <v>0.00424796400915058</v>
      </c>
      <c r="H220" s="281">
        <v>0.001855970016183502</v>
      </c>
      <c r="I220" s="281">
        <v>0.0029485367645902074</v>
      </c>
      <c r="J220" s="281">
        <v>0.010091767001538502</v>
      </c>
      <c r="K220" s="281">
        <v>0.003638978414420476</v>
      </c>
    </row>
    <row r="221">
      <c r="A221" s="184">
        <v>43836.97545784722</v>
      </c>
      <c r="B221" s="329">
        <v>4.615</v>
      </c>
      <c r="C221" s="329">
        <v>54.877</v>
      </c>
      <c r="D221" s="329">
        <v>182.59</v>
      </c>
      <c r="E221" s="329">
        <v>133.07</v>
      </c>
      <c r="F221" s="330">
        <v>7.521</v>
      </c>
      <c r="G221" s="331">
        <v>0.005573252572445157</v>
      </c>
      <c r="H221" s="281">
        <v>0.0028451390980598714</v>
      </c>
      <c r="I221" s="281">
        <v>0.003291441237177765</v>
      </c>
      <c r="J221" s="281">
        <v>0.0103209167719569</v>
      </c>
      <c r="K221" s="281">
        <v>0.002704739296253774</v>
      </c>
    </row>
    <row r="222">
      <c r="A222" s="184">
        <v>43833.975468993056</v>
      </c>
      <c r="B222" s="329">
        <v>4.627</v>
      </c>
      <c r="C222" s="329">
        <v>54.99</v>
      </c>
      <c r="D222" s="329">
        <v>182.84</v>
      </c>
      <c r="E222" s="329">
        <v>132.01</v>
      </c>
      <c r="F222" s="330">
        <v>7.504</v>
      </c>
      <c r="G222" s="331">
        <v>0.006439991467353042</v>
      </c>
      <c r="H222" s="281">
        <v>0.0028269693340085</v>
      </c>
      <c r="I222" s="281">
        <v>0.004374715500068442</v>
      </c>
      <c r="J222" s="281">
        <v>0.008854395304843369</v>
      </c>
      <c r="K222" s="281">
        <v>0.002308755408898263</v>
      </c>
    </row>
    <row r="223">
      <c r="A223" s="184">
        <v>43832.975469895835</v>
      </c>
      <c r="B223" s="329">
        <v>4.569</v>
      </c>
      <c r="C223" s="329">
        <v>54.927</v>
      </c>
      <c r="D223" s="329">
        <v>181.76</v>
      </c>
      <c r="E223" s="329">
        <v>130.03</v>
      </c>
      <c r="F223" s="330">
        <v>7.45</v>
      </c>
      <c r="G223" s="331">
        <v>-0.0015579793218797693</v>
      </c>
      <c r="H223" s="281">
        <v>-0.0012047541310127678</v>
      </c>
      <c r="I223" s="281">
        <v>-2.1729103730453817E-4</v>
      </c>
      <c r="J223" s="281">
        <v>0.002921139893017677</v>
      </c>
      <c r="K223" s="281">
        <v>-0.0021475784421287614</v>
      </c>
    </row>
    <row r="224">
      <c r="A224" s="184">
        <v>43830.97546976852</v>
      </c>
      <c r="B224" s="329">
        <v>4.538</v>
      </c>
      <c r="C224" s="329">
        <v>54.408</v>
      </c>
      <c r="D224" s="329">
        <v>180.79</v>
      </c>
      <c r="E224" s="329">
        <v>128.99</v>
      </c>
      <c r="F224" s="330">
        <v>7.46</v>
      </c>
      <c r="G224" s="331">
        <v>-0.004400570603182071</v>
      </c>
      <c r="H224" s="281">
        <v>-0.005170789681615477</v>
      </c>
      <c r="I224" s="281">
        <v>-0.003077552098964209</v>
      </c>
      <c r="J224" s="281">
        <v>0.002763687532788476</v>
      </c>
      <c r="K224" s="281">
        <v>-6.77656261538262E-4</v>
      </c>
    </row>
    <row r="225">
      <c r="A225" s="184">
        <v>43829.975490729164</v>
      </c>
      <c r="B225" s="329">
        <v>4.538</v>
      </c>
      <c r="C225" s="329">
        <v>54.523</v>
      </c>
      <c r="D225" s="329">
        <v>180.45</v>
      </c>
      <c r="E225" s="329">
        <v>128.53</v>
      </c>
      <c r="F225" s="330">
        <v>7.452</v>
      </c>
      <c r="G225" s="331">
        <v>-0.004400570603182071</v>
      </c>
      <c r="H225" s="281">
        <v>-0.004466236429642685</v>
      </c>
      <c r="I225" s="281">
        <v>-0.003704430429255353</v>
      </c>
      <c r="J225" s="281">
        <v>0.0015749648927905202</v>
      </c>
      <c r="K225" s="281">
        <v>-0.0010351182811986586</v>
      </c>
    </row>
    <row r="226">
      <c r="A226" s="184">
        <v>43826.975554282406</v>
      </c>
      <c r="B226" s="329">
        <v>4.59</v>
      </c>
      <c r="C226" s="329">
        <v>55.12</v>
      </c>
      <c r="D226" s="329">
        <v>181.87</v>
      </c>
      <c r="E226" s="329">
        <v>128.89</v>
      </c>
      <c r="F226" s="330">
        <v>7.498</v>
      </c>
      <c r="G226" s="331">
        <v>-5.809731299927604E-4</v>
      </c>
      <c r="H226" s="281">
        <v>-8.164005805515462E-4</v>
      </c>
      <c r="I226" s="281">
        <v>-0.001081358479500046</v>
      </c>
      <c r="J226" s="281">
        <v>0.00250859906380115</v>
      </c>
      <c r="K226" s="281">
        <v>0.0010224948875255935</v>
      </c>
    </row>
    <row r="227">
      <c r="A227" s="184">
        <v>43824.975497141204</v>
      </c>
      <c r="B227" s="329">
        <v>4.598</v>
      </c>
      <c r="C227" s="329">
        <v>55.255</v>
      </c>
      <c r="D227" s="329">
        <v>182.46</v>
      </c>
      <c r="E227" s="329">
        <v>127.92</v>
      </c>
      <c r="F227" s="330">
        <v>7.475</v>
      </c>
      <c r="G227" s="331">
        <v>2.8998115122513823E-4</v>
      </c>
      <c r="H227" s="281">
        <v>-1.2585601285364234E-5</v>
      </c>
      <c r="I227" s="281">
        <v>-4.2020745056237097E-4</v>
      </c>
      <c r="J227" s="281">
        <v>0.002504790753716198</v>
      </c>
      <c r="K227" s="281">
        <v>3.094580742669291E-4</v>
      </c>
    </row>
    <row r="228">
      <c r="A228" s="184">
        <v>43823.975485821764</v>
      </c>
      <c r="B228" s="329">
        <v>4.598</v>
      </c>
      <c r="C228" s="329">
        <v>55.255</v>
      </c>
      <c r="D228" s="329">
        <v>182.46</v>
      </c>
      <c r="E228" s="329">
        <v>127.92</v>
      </c>
      <c r="F228" s="330">
        <v>7.475</v>
      </c>
      <c r="G228" s="331">
        <v>0.0017411493416184716</v>
      </c>
      <c r="H228" s="281">
        <v>0.0037637082016113896</v>
      </c>
      <c r="I228" s="281">
        <v>8.205099760437337E-4</v>
      </c>
      <c r="J228" s="281">
        <v>0.0040275800836889015</v>
      </c>
      <c r="K228" s="281">
        <v>0.0012914255800694496</v>
      </c>
    </row>
    <row r="229">
      <c r="A229" s="184">
        <v>43822.97548353009</v>
      </c>
      <c r="B229" s="329">
        <v>4.598</v>
      </c>
      <c r="C229" s="329">
        <v>55.187</v>
      </c>
      <c r="D229" s="329">
        <v>182.45</v>
      </c>
      <c r="E229" s="329">
        <v>127.17</v>
      </c>
      <c r="F229" s="330">
        <v>7.45</v>
      </c>
      <c r="G229" s="331">
        <v>0.002032652038018353</v>
      </c>
      <c r="H229" s="281">
        <v>0.00398804926867354</v>
      </c>
      <c r="I229" s="281">
        <v>0.001186835384793768</v>
      </c>
      <c r="J229" s="281">
        <v>0.0024161148747302206</v>
      </c>
      <c r="K229" s="281">
        <v>0.0010719336813567182</v>
      </c>
    </row>
    <row r="230">
      <c r="A230" s="184">
        <v>43819.97547927083</v>
      </c>
      <c r="B230" s="329">
        <v>4.594</v>
      </c>
      <c r="C230" s="329">
        <v>55.257</v>
      </c>
      <c r="D230" s="329">
        <v>182.69</v>
      </c>
      <c r="E230" s="329">
        <v>126.96</v>
      </c>
      <c r="F230" s="330">
        <v>7.468</v>
      </c>
      <c r="G230" s="331">
        <v>-2.9963400015057634E-4</v>
      </c>
      <c r="H230" s="281">
        <v>0.005682395472221084</v>
      </c>
      <c r="I230" s="281">
        <v>0.0012952786763688422</v>
      </c>
      <c r="J230" s="281">
        <v>0.0025521392344202884</v>
      </c>
      <c r="K230" s="281">
        <v>0.002505725467999135</v>
      </c>
    </row>
    <row r="231">
      <c r="A231" s="184">
        <v>43818.975129259255</v>
      </c>
      <c r="B231" s="329">
        <v>4.574</v>
      </c>
      <c r="C231" s="329">
        <v>54.631</v>
      </c>
      <c r="D231" s="329">
        <v>182.01</v>
      </c>
      <c r="E231" s="329">
        <v>126.38</v>
      </c>
      <c r="F231" s="330">
        <v>7.446</v>
      </c>
      <c r="G231" s="331">
        <v>-0.0021132786295753325</v>
      </c>
      <c r="H231" s="281">
        <v>0.0013231257922524664</v>
      </c>
      <c r="I231" s="281">
        <v>-1.286090619931901E-4</v>
      </c>
      <c r="J231" s="281">
        <v>0.0010822641569015283</v>
      </c>
      <c r="K231" s="281">
        <v>0.0018385627832075608</v>
      </c>
    </row>
    <row r="232">
      <c r="A232" s="184">
        <v>43817.974304351854</v>
      </c>
      <c r="B232" s="329">
        <v>4.57</v>
      </c>
      <c r="C232" s="329">
        <v>54.527</v>
      </c>
      <c r="D232" s="329">
        <v>181.8</v>
      </c>
      <c r="E232" s="329">
        <v>126.25</v>
      </c>
      <c r="F232" s="330">
        <v>7.426</v>
      </c>
      <c r="G232" s="331">
        <v>-0.007184272961864894</v>
      </c>
      <c r="H232" s="281">
        <v>0.003984285902947453</v>
      </c>
      <c r="I232" s="281">
        <v>-0.0025452771287644005</v>
      </c>
      <c r="J232" s="281">
        <v>-1.338408841219015E-4</v>
      </c>
      <c r="K232" s="281">
        <v>0.004139266192718131</v>
      </c>
    </row>
    <row r="233">
      <c r="A233" s="184">
        <v>43816.975931168985</v>
      </c>
      <c r="B233" s="329">
        <v>4.598</v>
      </c>
      <c r="C233" s="329">
        <v>54.319</v>
      </c>
      <c r="D233" s="329">
        <v>181.98</v>
      </c>
      <c r="E233" s="329">
        <v>125.99</v>
      </c>
      <c r="F233" s="330">
        <v>7.412</v>
      </c>
      <c r="G233" s="331">
        <v>2.838904244006901E-4</v>
      </c>
      <c r="H233" s="281">
        <v>0.002570442510651564</v>
      </c>
      <c r="I233" s="281">
        <v>-7.413645468845598E-4</v>
      </c>
      <c r="J233" s="281">
        <v>0.0011063201866170491</v>
      </c>
      <c r="K233" s="281">
        <v>0.004692554287160385</v>
      </c>
    </row>
    <row r="234">
      <c r="A234" s="184">
        <v>43815.975489432865</v>
      </c>
      <c r="B234" s="329">
        <v>4.603</v>
      </c>
      <c r="C234" s="329">
        <v>54.414</v>
      </c>
      <c r="D234" s="329">
        <v>182.08</v>
      </c>
      <c r="E234" s="329">
        <v>125.97</v>
      </c>
      <c r="F234" s="330">
        <v>7.405</v>
      </c>
      <c r="G234" s="331">
        <v>-0.010530061034093078</v>
      </c>
      <c r="H234" s="281">
        <v>0.003796596677982341</v>
      </c>
      <c r="I234" s="281">
        <v>-0.0030255700438795254</v>
      </c>
      <c r="J234" s="281">
        <v>-9.906067015513775E-4</v>
      </c>
      <c r="K234" s="281">
        <v>0.006339070392987571</v>
      </c>
    </row>
    <row r="235">
      <c r="A235" s="184">
        <v>43812.97549459491</v>
      </c>
      <c r="B235" s="329">
        <v>4.669</v>
      </c>
      <c r="C235" s="329">
        <v>53.876</v>
      </c>
      <c r="D235" s="329">
        <v>183.19</v>
      </c>
      <c r="E235" s="329">
        <v>126.3</v>
      </c>
      <c r="F235" s="330">
        <v>7.334</v>
      </c>
      <c r="G235" s="331">
        <v>-0.003222657032498799</v>
      </c>
      <c r="H235" s="281">
        <v>3.211816945688876E-4</v>
      </c>
      <c r="I235" s="281">
        <v>-2.8593622364000054E-4</v>
      </c>
      <c r="J235" s="281">
        <v>0.0017031014890444007</v>
      </c>
      <c r="K235" s="281">
        <v>0.0023171541855677344</v>
      </c>
    </row>
    <row r="236">
      <c r="A236" s="184">
        <v>43811.97549092592</v>
      </c>
      <c r="B236" s="329">
        <v>4.593</v>
      </c>
      <c r="C236" s="329">
        <v>53.899</v>
      </c>
      <c r="D236" s="329">
        <v>182.38</v>
      </c>
      <c r="E236" s="329">
        <v>125.57</v>
      </c>
      <c r="F236" s="330">
        <v>7.308</v>
      </c>
      <c r="G236" s="331">
        <v>-0.009922130475569224</v>
      </c>
      <c r="H236" s="281">
        <v>-0.0010104559833189846</v>
      </c>
      <c r="I236" s="281">
        <v>-0.002959772167442735</v>
      </c>
      <c r="J236" s="281">
        <v>-1.969995112226878E-4</v>
      </c>
      <c r="K236" s="281">
        <v>0.0015931302826566924</v>
      </c>
    </row>
    <row r="237">
      <c r="A237" s="184">
        <v>43810.97546834491</v>
      </c>
      <c r="B237" s="329">
        <v>4.747</v>
      </c>
      <c r="C237" s="329">
        <v>53.795</v>
      </c>
      <c r="D237" s="329">
        <v>183.73</v>
      </c>
      <c r="E237" s="329">
        <v>126.34</v>
      </c>
      <c r="F237" s="330">
        <v>7.265</v>
      </c>
      <c r="G237" s="331">
        <v>0.0013388819007040809</v>
      </c>
      <c r="H237" s="281">
        <v>-0.0027696368878603237</v>
      </c>
      <c r="I237" s="281">
        <v>-7.460195470975576E-4</v>
      </c>
      <c r="J237" s="281">
        <v>0.0015817048362608925</v>
      </c>
      <c r="K237" s="281">
        <v>-0.001238991322489354</v>
      </c>
    </row>
    <row r="238">
      <c r="A238" s="184">
        <v>43809.97548283565</v>
      </c>
      <c r="B238" s="329">
        <v>4.711</v>
      </c>
      <c r="C238" s="329">
        <v>53.824</v>
      </c>
      <c r="D238" s="329">
        <v>183.34</v>
      </c>
      <c r="E238" s="329">
        <v>125.65</v>
      </c>
      <c r="F238" s="330">
        <v>7.283</v>
      </c>
      <c r="G238" s="331">
        <v>-9.211116303064296E-4</v>
      </c>
      <c r="H238" s="281">
        <v>0.003291000794629998</v>
      </c>
      <c r="I238" s="281">
        <v>-7.294928080368024E-4</v>
      </c>
      <c r="J238" s="281">
        <v>-0.0028367330198101706</v>
      </c>
      <c r="K238" s="281">
        <v>0.0014153740129047392</v>
      </c>
    </row>
    <row r="239">
      <c r="A239" s="184">
        <v>43808.97547055555</v>
      </c>
      <c r="B239" s="329">
        <v>4.729</v>
      </c>
      <c r="C239" s="329">
        <v>54.062</v>
      </c>
      <c r="D239" s="329">
        <v>184.0</v>
      </c>
      <c r="E239" s="329">
        <v>125.64</v>
      </c>
      <c r="F239" s="330">
        <v>7.273</v>
      </c>
      <c r="G239" s="331">
        <v>-9.176067627643855E-4</v>
      </c>
      <c r="H239" s="281">
        <v>0.003645196776292566</v>
      </c>
      <c r="I239" s="281">
        <v>-4.3661528610676E-4</v>
      </c>
      <c r="J239" s="281">
        <v>-0.0023108627472477514</v>
      </c>
      <c r="K239" s="281">
        <v>0.0024285457759637787</v>
      </c>
    </row>
    <row r="240">
      <c r="A240" s="184">
        <v>43805.975469756944</v>
      </c>
      <c r="B240" s="329">
        <v>4.7278</v>
      </c>
      <c r="C240" s="329">
        <v>54.243</v>
      </c>
      <c r="D240" s="329">
        <v>184.14</v>
      </c>
      <c r="E240" s="329">
        <v>125.74</v>
      </c>
      <c r="F240" s="330">
        <v>7.292</v>
      </c>
      <c r="G240" s="331">
        <v>-0.0060492578105211985</v>
      </c>
      <c r="H240" s="281">
        <v>0.009144129033020162</v>
      </c>
      <c r="I240" s="281">
        <v>-0.0021007804896535642</v>
      </c>
      <c r="J240" s="281">
        <v>-0.0035210636414265695</v>
      </c>
      <c r="K240" s="281">
        <v>0.0056077490396824565</v>
      </c>
    </row>
    <row r="241">
      <c r="A241" s="184">
        <v>43804.97548811343</v>
      </c>
      <c r="B241" s="329">
        <v>4.724</v>
      </c>
      <c r="C241" s="329">
        <v>53.286</v>
      </c>
      <c r="D241" s="329">
        <v>183.74</v>
      </c>
      <c r="E241" s="329">
        <v>126.72</v>
      </c>
      <c r="F241" s="330">
        <v>7.252</v>
      </c>
      <c r="G241" s="331">
        <v>5.237405250816026E-4</v>
      </c>
      <c r="H241" s="281">
        <v>-7.61175097010384E-4</v>
      </c>
      <c r="I241" s="281">
        <v>1.6128135262993837E-4</v>
      </c>
      <c r="J241" s="281">
        <v>0.002146064278253331</v>
      </c>
      <c r="K241" s="281">
        <v>0.0035468111758817</v>
      </c>
    </row>
    <row r="242">
      <c r="A242" s="184">
        <v>43803.97549827547</v>
      </c>
      <c r="B242" s="329">
        <v>4.742</v>
      </c>
      <c r="C242" s="329">
        <v>53.465</v>
      </c>
      <c r="D242" s="329">
        <v>184.24</v>
      </c>
      <c r="E242" s="329">
        <v>126.51</v>
      </c>
      <c r="F242" s="330">
        <v>7.22</v>
      </c>
      <c r="G242" s="331">
        <v>-0.003649769052299634</v>
      </c>
      <c r="H242" s="281">
        <v>-0.005072244635522878</v>
      </c>
      <c r="I242" s="281">
        <v>-0.0016725096218364044</v>
      </c>
      <c r="J242" s="281">
        <v>2.4338728994292383E-4</v>
      </c>
      <c r="K242" s="281">
        <v>-2.469278094949419E-4</v>
      </c>
    </row>
    <row r="243">
      <c r="A243" s="184">
        <v>43802.97550107639</v>
      </c>
      <c r="B243" s="329">
        <v>4.814</v>
      </c>
      <c r="C243" s="329">
        <v>52.762</v>
      </c>
      <c r="D243" s="329">
        <v>185.3</v>
      </c>
      <c r="E243" s="329">
        <v>127.07</v>
      </c>
      <c r="F243" s="330">
        <v>7.17</v>
      </c>
      <c r="G243" s="331">
        <v>4.375412805175394E-4</v>
      </c>
      <c r="H243" s="281">
        <v>-0.01048707094088804</v>
      </c>
      <c r="I243" s="281">
        <v>-4.38851214580908E-4</v>
      </c>
      <c r="J243" s="281">
        <v>0.003010988342721621</v>
      </c>
      <c r="K243" s="281">
        <v>-0.006015538007362542</v>
      </c>
    </row>
    <row r="244">
      <c r="A244" s="184">
        <v>43801.97547090278</v>
      </c>
      <c r="B244" s="329">
        <v>4.715</v>
      </c>
      <c r="C244" s="329">
        <v>53.399</v>
      </c>
      <c r="D244" s="329">
        <v>183.64</v>
      </c>
      <c r="E244" s="329">
        <v>125.9</v>
      </c>
      <c r="F244" s="330">
        <v>7.175</v>
      </c>
      <c r="G244" s="331">
        <v>-0.007111042423909956</v>
      </c>
      <c r="H244" s="281">
        <v>-0.006309627817898973</v>
      </c>
      <c r="I244" s="281">
        <v>-0.003999929283762249</v>
      </c>
      <c r="J244" s="281">
        <v>4.4477871736196367E-4</v>
      </c>
      <c r="K244" s="281">
        <v>-0.006605005792336731</v>
      </c>
    </row>
    <row r="245">
      <c r="A245" s="184">
        <v>43798.97547179398</v>
      </c>
      <c r="B245" s="329">
        <v>4.792</v>
      </c>
      <c r="C245" s="329">
        <v>54.269</v>
      </c>
      <c r="D245" s="329">
        <v>185.15</v>
      </c>
      <c r="E245" s="329">
        <v>126.41</v>
      </c>
      <c r="F245" s="330">
        <v>7.225</v>
      </c>
      <c r="G245" s="331">
        <v>-0.0022903463583619685</v>
      </c>
      <c r="H245" s="281">
        <v>6.772148004723366E-4</v>
      </c>
      <c r="I245" s="281">
        <v>-0.0016357073002778073</v>
      </c>
      <c r="J245" s="281">
        <v>4.4295300146498146E-4</v>
      </c>
      <c r="K245" s="281">
        <v>-0.004509874350255923</v>
      </c>
    </row>
    <row r="246">
      <c r="A246" s="184">
        <v>43797.97546743056</v>
      </c>
      <c r="B246" s="329">
        <v>4.806</v>
      </c>
      <c r="C246" s="329">
        <v>54.437</v>
      </c>
      <c r="D246" s="329">
        <v>185.53</v>
      </c>
      <c r="E246" s="329">
        <v>125.92</v>
      </c>
      <c r="F246" s="330">
        <v>7.3</v>
      </c>
      <c r="G246" s="331">
        <v>3.415300274393444E-4</v>
      </c>
      <c r="H246" s="281">
        <v>0.0023922976962664397</v>
      </c>
      <c r="I246" s="281">
        <v>-4.320316493082732E-4</v>
      </c>
      <c r="J246" s="281">
        <v>-4.266631612570941E-4</v>
      </c>
      <c r="K246" s="281">
        <v>-0.001004148052378806</v>
      </c>
    </row>
    <row r="247">
      <c r="A247" s="184">
        <v>43796.97549200231</v>
      </c>
      <c r="B247" s="329">
        <v>4.816</v>
      </c>
      <c r="C247" s="329">
        <v>54.412</v>
      </c>
      <c r="D247" s="329">
        <v>185.85</v>
      </c>
      <c r="E247" s="329">
        <v>125.73</v>
      </c>
      <c r="F247" s="330">
        <v>7.318</v>
      </c>
      <c r="G247" s="331">
        <v>0.0024237070973491073</v>
      </c>
      <c r="H247" s="281">
        <v>0.0057053345353303975</v>
      </c>
      <c r="I247" s="281">
        <v>7.709145551856681E-4</v>
      </c>
      <c r="J247" s="281">
        <v>-0.0018285281758663545</v>
      </c>
      <c r="K247" s="281">
        <v>-7.285290696171417E-4</v>
      </c>
    </row>
    <row r="248">
      <c r="A248" s="184">
        <v>43795.975486875</v>
      </c>
      <c r="B248" s="329">
        <v>4.825</v>
      </c>
      <c r="C248" s="329">
        <v>54.158</v>
      </c>
      <c r="D248" s="329">
        <v>186.06</v>
      </c>
      <c r="E248" s="329">
        <v>126.24</v>
      </c>
      <c r="F248" s="330">
        <v>7.323</v>
      </c>
      <c r="G248" s="331">
        <v>0.005068522897618055</v>
      </c>
      <c r="H248" s="281">
        <v>0.0057323035765162915</v>
      </c>
      <c r="I248" s="281">
        <v>0.0022981035033283006</v>
      </c>
      <c r="J248" s="281">
        <v>1.0365253047920724E-4</v>
      </c>
      <c r="K248" s="281">
        <v>0.0014081372311109213</v>
      </c>
    </row>
    <row r="249">
      <c r="A249" s="184">
        <v>43794.97548758102</v>
      </c>
      <c r="B249" s="329">
        <v>4.801</v>
      </c>
      <c r="C249" s="329">
        <v>54.047</v>
      </c>
      <c r="D249" s="329">
        <v>185.77</v>
      </c>
      <c r="E249" s="329">
        <v>126.08</v>
      </c>
      <c r="F249" s="330">
        <v>7.322</v>
      </c>
      <c r="G249" s="331">
        <v>0.0024284491608257777</v>
      </c>
      <c r="H249" s="281">
        <v>0.0032707050149865338</v>
      </c>
      <c r="I249" s="281">
        <v>0.0015620841927220057</v>
      </c>
      <c r="J249" s="281">
        <v>-7.678458924344304E-4</v>
      </c>
      <c r="K249" s="281">
        <v>0.002139725877926768</v>
      </c>
    </row>
    <row r="250">
      <c r="A250" s="184">
        <v>43791.97563813657</v>
      </c>
      <c r="B250" s="329">
        <v>4.781</v>
      </c>
      <c r="C250" s="329">
        <v>53.485</v>
      </c>
      <c r="D250" s="329">
        <v>185.42</v>
      </c>
      <c r="E250" s="329">
        <v>126.42</v>
      </c>
      <c r="F250" s="330">
        <v>7.334</v>
      </c>
      <c r="G250" s="331">
        <v>0.004117203039530226</v>
      </c>
      <c r="H250" s="281">
        <v>-2.8261694510981855E-4</v>
      </c>
      <c r="I250" s="281">
        <v>0.0021419275740947783</v>
      </c>
      <c r="J250" s="281">
        <v>-3.437419565128404E-4</v>
      </c>
      <c r="K250" s="281">
        <v>0.00465624234370506</v>
      </c>
    </row>
    <row r="251">
      <c r="A251" s="184">
        <v>43790.975477361106</v>
      </c>
      <c r="B251" s="329">
        <v>4.752</v>
      </c>
      <c r="C251" s="329">
        <v>53.231</v>
      </c>
      <c r="D251" s="329">
        <v>184.78</v>
      </c>
      <c r="E251" s="329">
        <v>126.2</v>
      </c>
      <c r="F251" s="330">
        <v>7.292</v>
      </c>
      <c r="G251" s="331">
        <v>0.004213057544793841</v>
      </c>
      <c r="H251" s="281">
        <v>-0.0018344795229149706</v>
      </c>
      <c r="I251" s="281">
        <v>0.0015703728721399024</v>
      </c>
      <c r="J251" s="281">
        <v>-9.238189485499445E-4</v>
      </c>
      <c r="K251" s="281">
        <v>9.958500463033149E-4</v>
      </c>
    </row>
    <row r="252">
      <c r="A252" s="184">
        <v>43789.97546880787</v>
      </c>
      <c r="B252" s="329">
        <v>4.766</v>
      </c>
      <c r="C252" s="329">
        <v>53.515</v>
      </c>
      <c r="D252" s="329">
        <v>184.9</v>
      </c>
      <c r="E252" s="329">
        <v>126.37</v>
      </c>
      <c r="F252" s="330">
        <v>7.275</v>
      </c>
      <c r="G252" s="331">
        <v>0.005195100193503184</v>
      </c>
      <c r="H252" s="281">
        <v>-4.6709775998687864E-4</v>
      </c>
      <c r="I252" s="281">
        <v>0.0012974767160278307</v>
      </c>
      <c r="J252" s="281">
        <v>-5.335543254569863E-5</v>
      </c>
      <c r="K252" s="281">
        <v>-0.00354100052298012</v>
      </c>
    </row>
    <row r="253">
      <c r="A253" s="184">
        <v>43788.97427358796</v>
      </c>
      <c r="B253" s="329">
        <v>4.722</v>
      </c>
      <c r="C253" s="329">
        <v>53.529</v>
      </c>
      <c r="D253" s="329">
        <v>184.23</v>
      </c>
      <c r="E253" s="329">
        <v>126.55</v>
      </c>
      <c r="F253" s="330">
        <v>7.232</v>
      </c>
      <c r="G253" s="331">
        <v>-1.3540580035109606E-5</v>
      </c>
      <c r="H253" s="281">
        <v>0.0011626815562233068</v>
      </c>
      <c r="I253" s="281">
        <v>-0.0014125370787637277</v>
      </c>
      <c r="J253" s="281">
        <v>-0.0020049114950664673</v>
      </c>
      <c r="K253" s="281">
        <v>-0.006100626940957736</v>
      </c>
    </row>
    <row r="254">
      <c r="A254" s="184">
        <v>43787.97550137731</v>
      </c>
      <c r="B254" s="329">
        <v>4.692</v>
      </c>
      <c r="C254" s="329">
        <v>53.524</v>
      </c>
      <c r="D254" s="329">
        <v>183.91</v>
      </c>
      <c r="E254" s="329">
        <v>126.55</v>
      </c>
      <c r="F254" s="330">
        <v>7.27</v>
      </c>
      <c r="G254" s="331">
        <v>0.0012571074504603708</v>
      </c>
      <c r="H254" s="281">
        <v>8.878353885213297E-4</v>
      </c>
      <c r="I254" s="281">
        <v>-0.004676063065113774</v>
      </c>
      <c r="J254" s="281">
        <v>-1.459321009366077E-4</v>
      </c>
      <c r="K254" s="281">
        <v>-0.004575447556681933</v>
      </c>
    </row>
    <row r="255">
      <c r="A255" s="184">
        <v>43784.97570582176</v>
      </c>
      <c r="B255" s="329">
        <v>4.692</v>
      </c>
      <c r="C255" s="329">
        <v>53.59</v>
      </c>
      <c r="D255" s="329">
        <v>184.18</v>
      </c>
      <c r="E255" s="329">
        <v>126.39</v>
      </c>
      <c r="F255" s="330">
        <v>7.352</v>
      </c>
      <c r="G255" s="331">
        <v>0.0054647811061442715</v>
      </c>
      <c r="H255" s="281">
        <v>7.181349825548337E-4</v>
      </c>
      <c r="I255" s="281">
        <v>-0.002327890762433782</v>
      </c>
      <c r="J255" s="281">
        <v>0.0021709104053295736</v>
      </c>
      <c r="K255" s="281">
        <v>-5.89562302447888E-4</v>
      </c>
    </row>
    <row r="256">
      <c r="A256" s="184">
        <v>43783.97547734954</v>
      </c>
      <c r="B256" s="329">
        <v>4.722</v>
      </c>
      <c r="C256" s="329">
        <v>53.342</v>
      </c>
      <c r="D256" s="329">
        <v>185.01</v>
      </c>
      <c r="E256" s="329">
        <v>127.31</v>
      </c>
      <c r="F256" s="330">
        <v>7.365</v>
      </c>
      <c r="G256" s="331">
        <v>0.00889617674603386</v>
      </c>
      <c r="H256" s="281">
        <v>0.0018622225551461942</v>
      </c>
      <c r="I256" s="281">
        <v>-1.7869727925597564E-4</v>
      </c>
      <c r="J256" s="281">
        <v>0.004650358166780759</v>
      </c>
      <c r="K256" s="281">
        <v>-3.1696728356001014E-4</v>
      </c>
    </row>
    <row r="257">
      <c r="A257" s="184">
        <v>43782.97433885417</v>
      </c>
      <c r="B257" s="329">
        <v>4.674</v>
      </c>
      <c r="C257" s="329">
        <v>53.381</v>
      </c>
      <c r="D257" s="329">
        <v>186.5</v>
      </c>
      <c r="E257" s="329">
        <v>126.6</v>
      </c>
      <c r="F257" s="330">
        <v>7.37</v>
      </c>
      <c r="G257" s="331">
        <v>0.0026798507385287587</v>
      </c>
      <c r="H257" s="281">
        <v>0.0014586593565704131</v>
      </c>
      <c r="I257" s="281">
        <v>0.001245262428442695</v>
      </c>
      <c r="J257" s="281">
        <v>-5.807204254798896E-4</v>
      </c>
      <c r="K257" s="281">
        <v>-0.0020349654655828684</v>
      </c>
    </row>
    <row r="258">
      <c r="A258" s="184">
        <v>43781.97571761574</v>
      </c>
      <c r="B258" s="329">
        <v>4.615</v>
      </c>
      <c r="C258" s="329">
        <v>53.474</v>
      </c>
      <c r="D258" s="329">
        <v>185.46</v>
      </c>
      <c r="E258" s="329">
        <v>125.56</v>
      </c>
      <c r="F258" s="330">
        <v>7.365</v>
      </c>
      <c r="G258" s="331">
        <v>-3.7740589098322896E-4</v>
      </c>
      <c r="H258" s="281">
        <v>0.0015940761622563009</v>
      </c>
      <c r="I258" s="281">
        <v>6.064096929828308E-4</v>
      </c>
      <c r="J258" s="281">
        <v>-0.003240145598267019</v>
      </c>
      <c r="K258" s="281">
        <v>-0.0036097251496611063</v>
      </c>
    </row>
    <row r="259">
      <c r="A259" s="184">
        <v>43780.97593681713</v>
      </c>
      <c r="B259" s="329">
        <v>4.597</v>
      </c>
      <c r="C259" s="329">
        <v>53.043</v>
      </c>
      <c r="D259" s="329">
        <v>185.1</v>
      </c>
      <c r="E259" s="329">
        <v>125.54</v>
      </c>
      <c r="F259" s="330">
        <v>7.372</v>
      </c>
      <c r="G259" s="331">
        <v>-0.006078668634499462</v>
      </c>
      <c r="H259" s="281">
        <v>0.0018325426791294674</v>
      </c>
      <c r="I259" s="281">
        <v>-0.001355092790831569</v>
      </c>
      <c r="J259" s="281">
        <v>-0.006658650960322698</v>
      </c>
      <c r="K259" s="281">
        <v>-0.003830184728702779</v>
      </c>
    </row>
    <row r="260">
      <c r="A260" s="184">
        <v>43777.97559938657</v>
      </c>
      <c r="B260" s="329">
        <v>4.636</v>
      </c>
      <c r="C260" s="329">
        <v>53.146</v>
      </c>
      <c r="D260" s="329">
        <v>185.8</v>
      </c>
      <c r="E260" s="329">
        <v>126.81</v>
      </c>
      <c r="F260" s="330">
        <v>7.415</v>
      </c>
      <c r="G260" s="331">
        <v>-0.0016841205552145337</v>
      </c>
      <c r="H260" s="281">
        <v>0.002151222277925339</v>
      </c>
      <c r="I260" s="281">
        <v>2.103924655582808E-4</v>
      </c>
      <c r="J260" s="281">
        <v>-0.002089196355871977</v>
      </c>
      <c r="K260" s="281">
        <v>-0.0025564019340302835</v>
      </c>
    </row>
    <row r="261">
      <c r="A261" s="184">
        <v>43776.97559756944</v>
      </c>
      <c r="B261" s="329">
        <v>4.62</v>
      </c>
      <c r="C261" s="329">
        <v>53.217</v>
      </c>
      <c r="D261" s="329">
        <v>185.12</v>
      </c>
      <c r="E261" s="329">
        <v>126.78</v>
      </c>
      <c r="F261" s="330">
        <v>7.445</v>
      </c>
      <c r="G261" s="331">
        <v>-0.004694736479576411</v>
      </c>
      <c r="H261" s="281">
        <v>0.004477778316084868</v>
      </c>
      <c r="I261" s="281">
        <v>-4.7099633611469294E-4</v>
      </c>
      <c r="J261" s="281">
        <v>-0.005015494406493959</v>
      </c>
      <c r="K261" s="281">
        <v>4.4282244235442175E-4</v>
      </c>
    </row>
    <row r="262">
      <c r="A262" s="184">
        <v>43775.97560157407</v>
      </c>
      <c r="B262" s="329">
        <v>4.681</v>
      </c>
      <c r="C262" s="329">
        <v>52.75</v>
      </c>
      <c r="D262" s="329">
        <v>185.85</v>
      </c>
      <c r="E262" s="329">
        <v>128.06</v>
      </c>
      <c r="F262" s="330">
        <v>7.457</v>
      </c>
      <c r="G262" s="331">
        <v>-0.002748224554409262</v>
      </c>
      <c r="H262" s="281">
        <v>0.004606383463710451</v>
      </c>
      <c r="I262" s="281">
        <v>1.961473343618699E-4</v>
      </c>
      <c r="J262" s="281">
        <v>-0.001960908971970617</v>
      </c>
      <c r="K262" s="281">
        <v>0.005015065517891992</v>
      </c>
    </row>
    <row r="263">
      <c r="A263" s="184">
        <v>43774.975603935185</v>
      </c>
      <c r="B263" s="329">
        <v>4.659</v>
      </c>
      <c r="C263" s="329">
        <v>52.802</v>
      </c>
      <c r="D263" s="329">
        <v>185.68</v>
      </c>
      <c r="E263" s="329">
        <v>127.6</v>
      </c>
      <c r="F263" s="330">
        <v>7.472</v>
      </c>
      <c r="G263" s="331">
        <v>-0.0068927980786303395</v>
      </c>
      <c r="H263" s="281">
        <v>0.00795287339119699</v>
      </c>
      <c r="I263" s="281">
        <v>-0.0012752632058581348</v>
      </c>
      <c r="J263" s="281">
        <v>-0.0038310899870683812</v>
      </c>
      <c r="K263" s="281">
        <v>0.008953105378465942</v>
      </c>
    </row>
    <row r="264">
      <c r="A264" s="184">
        <v>43773.97487291667</v>
      </c>
      <c r="B264" s="329">
        <v>4.685</v>
      </c>
      <c r="C264" s="329">
        <v>52.504</v>
      </c>
      <c r="D264" s="329">
        <v>185.38</v>
      </c>
      <c r="E264" s="329">
        <v>128.69</v>
      </c>
      <c r="F264" s="330">
        <v>7.435</v>
      </c>
      <c r="G264" s="331">
        <v>2.9400580974744034E-4</v>
      </c>
      <c r="H264" s="281">
        <v>0.004287025684160506</v>
      </c>
      <c r="I264" s="281">
        <v>-2.2217941176279807E-4</v>
      </c>
      <c r="J264" s="281">
        <v>0.0020121403273122653</v>
      </c>
      <c r="K264" s="281">
        <v>0.004002622414332284</v>
      </c>
    </row>
    <row r="265">
      <c r="A265" s="184">
        <v>43770.97546878472</v>
      </c>
      <c r="B265" s="329">
        <v>4.7195</v>
      </c>
      <c r="C265" s="329">
        <v>52.023</v>
      </c>
      <c r="D265" s="329">
        <v>185.74</v>
      </c>
      <c r="E265" s="329">
        <v>128.81</v>
      </c>
      <c r="F265" s="330">
        <v>7.345</v>
      </c>
      <c r="G265" s="331">
        <v>0.004671725208811613</v>
      </c>
      <c r="H265" s="281">
        <v>-4.01528308424659E-5</v>
      </c>
      <c r="I265" s="281">
        <v>8.743759069206695E-4</v>
      </c>
      <c r="J265" s="281">
        <v>0.0031308244822108033</v>
      </c>
      <c r="K265" s="281">
        <v>-8.038472099388313E-4</v>
      </c>
    </row>
    <row r="266">
      <c r="A266" s="184">
        <v>43769.97547957176</v>
      </c>
      <c r="B266" s="329">
        <v>4.756</v>
      </c>
      <c r="C266" s="329">
        <v>51.552</v>
      </c>
      <c r="D266" s="329">
        <v>186.39</v>
      </c>
      <c r="E266" s="329">
        <v>129.07</v>
      </c>
      <c r="F266" s="330">
        <v>7.273</v>
      </c>
      <c r="G266" s="331">
        <v>0.007894427238861135</v>
      </c>
      <c r="H266" s="281">
        <v>-0.0026287762182729915</v>
      </c>
      <c r="I266" s="281">
        <v>0.0022028243773276612</v>
      </c>
      <c r="J266" s="281">
        <v>0.002915457823486012</v>
      </c>
      <c r="K266" s="281">
        <v>-0.003528045524504364</v>
      </c>
    </row>
    <row r="267">
      <c r="A267" s="184">
        <v>43768.975503946756</v>
      </c>
      <c r="B267" s="329">
        <v>4.68</v>
      </c>
      <c r="C267" s="329">
        <v>51.828</v>
      </c>
      <c r="D267" s="329">
        <v>185.5</v>
      </c>
      <c r="E267" s="329">
        <v>127.91</v>
      </c>
      <c r="F267" s="330">
        <v>7.345</v>
      </c>
      <c r="G267" s="331">
        <v>-0.002456582000537185</v>
      </c>
      <c r="H267" s="281">
        <v>2.4001779062121642E-4</v>
      </c>
      <c r="I267" s="281">
        <v>-0.0014771043884939476</v>
      </c>
      <c r="J267" s="281">
        <v>-0.004118683884999401</v>
      </c>
      <c r="K267" s="281">
        <v>-0.0015887134875510005</v>
      </c>
    </row>
    <row r="268">
      <c r="A268" s="184">
        <v>43767.97580962963</v>
      </c>
      <c r="B268" s="329">
        <v>4.653</v>
      </c>
      <c r="C268" s="329">
        <v>52.026</v>
      </c>
      <c r="D268" s="329">
        <v>185.25</v>
      </c>
      <c r="E268" s="329">
        <v>127.6</v>
      </c>
      <c r="F268" s="330">
        <v>7.362</v>
      </c>
      <c r="G268" s="331">
        <v>-0.006218154185953247</v>
      </c>
      <c r="H268" s="281">
        <v>0.003244811685880015</v>
      </c>
      <c r="I268" s="281">
        <v>-0.0024272709859137764</v>
      </c>
      <c r="J268" s="281">
        <v>-0.0029958925624902952</v>
      </c>
      <c r="K268" s="281">
        <v>0.0014411423158856573</v>
      </c>
    </row>
    <row r="269">
      <c r="A269" s="184">
        <v>43766.97551363426</v>
      </c>
      <c r="B269" s="329">
        <v>4.644</v>
      </c>
      <c r="C269" s="329">
        <v>51.959</v>
      </c>
      <c r="D269" s="329">
        <v>185.16</v>
      </c>
      <c r="E269" s="329">
        <v>127.94</v>
      </c>
      <c r="F269" s="330">
        <v>7.35</v>
      </c>
      <c r="G269" s="331">
        <v>-0.006370635095234538</v>
      </c>
      <c r="H269" s="281">
        <v>0.004698266574197289</v>
      </c>
      <c r="I269" s="281">
        <v>-0.001874673398284843</v>
      </c>
      <c r="J269" s="281">
        <v>-6.223398045198299E-5</v>
      </c>
      <c r="K269" s="281">
        <v>0.0034898990116201123</v>
      </c>
    </row>
    <row r="270">
      <c r="A270" s="184">
        <v>43763.975490937504</v>
      </c>
      <c r="B270" s="329">
        <v>4.714</v>
      </c>
      <c r="C270" s="329">
        <v>51.79</v>
      </c>
      <c r="D270" s="329">
        <v>186.32</v>
      </c>
      <c r="E270" s="329">
        <v>129.49</v>
      </c>
      <c r="F270" s="330">
        <v>7.38</v>
      </c>
      <c r="G270" s="331">
        <v>0.0015412964446301913</v>
      </c>
      <c r="H270" s="281">
        <v>0.003282241585821651</v>
      </c>
      <c r="I270" s="281">
        <v>0.0019142908804488101</v>
      </c>
      <c r="J270" s="281">
        <v>0.006867871921695616</v>
      </c>
      <c r="K270" s="281">
        <v>0.006454549741979602</v>
      </c>
    </row>
    <row r="271">
      <c r="A271" s="184">
        <v>43762.975511145836</v>
      </c>
      <c r="B271" s="329">
        <v>4.74</v>
      </c>
      <c r="C271" s="329">
        <v>51.521</v>
      </c>
      <c r="D271" s="329">
        <v>186.6</v>
      </c>
      <c r="E271" s="329">
        <v>128.74</v>
      </c>
      <c r="F271" s="330">
        <v>7.33</v>
      </c>
      <c r="G271" s="331">
        <v>0.004942735725156355</v>
      </c>
      <c r="H271" s="281">
        <v>0.002389407806768551</v>
      </c>
      <c r="I271" s="281">
        <v>0.0023612400729630854</v>
      </c>
      <c r="J271" s="281">
        <v>0.004779541940547157</v>
      </c>
      <c r="K271" s="281">
        <v>0.00571595066399296</v>
      </c>
    </row>
    <row r="272">
      <c r="A272" s="184">
        <v>43761.975526168986</v>
      </c>
      <c r="B272" s="329">
        <v>4.733</v>
      </c>
      <c r="C272" s="329">
        <v>51.23</v>
      </c>
      <c r="D272" s="329">
        <v>186.2</v>
      </c>
      <c r="E272" s="329">
        <v>127.95</v>
      </c>
      <c r="F272" s="330">
        <v>7.273</v>
      </c>
      <c r="G272" s="331">
        <v>7.388367620888939E-4</v>
      </c>
      <c r="H272" s="281">
        <v>0.0019207664976421679</v>
      </c>
      <c r="I272" s="281">
        <v>4.772978989446101E-4</v>
      </c>
      <c r="J272" s="281">
        <v>0.0011580314967757725</v>
      </c>
      <c r="K272" s="281">
        <v>0.001504617457523098</v>
      </c>
    </row>
    <row r="273">
      <c r="A273" s="184">
        <v>43760.97548800926</v>
      </c>
      <c r="B273" s="329">
        <v>4.692</v>
      </c>
      <c r="C273" s="329">
        <v>51.281</v>
      </c>
      <c r="D273" s="329">
        <v>185.25</v>
      </c>
      <c r="E273" s="329">
        <v>126.84</v>
      </c>
      <c r="F273" s="330">
        <v>7.238</v>
      </c>
      <c r="G273" s="331">
        <v>-0.002501648314814068</v>
      </c>
      <c r="H273" s="281">
        <v>0.0011138971178397867</v>
      </c>
      <c r="I273" s="281">
        <v>-0.001510228677328825</v>
      </c>
      <c r="J273" s="281">
        <v>-0.002701043356299504</v>
      </c>
      <c r="K273" s="281">
        <v>7.752807422723995E-4</v>
      </c>
    </row>
    <row r="274">
      <c r="A274" s="184">
        <v>43759.97547949074</v>
      </c>
      <c r="B274" s="329">
        <v>4.67</v>
      </c>
      <c r="C274" s="329">
        <v>51.152</v>
      </c>
      <c r="D274" s="329">
        <v>185.28</v>
      </c>
      <c r="E274" s="329">
        <v>126.9</v>
      </c>
      <c r="F274" s="330">
        <v>7.205</v>
      </c>
      <c r="G274" s="331">
        <v>-0.005615963886488107</v>
      </c>
      <c r="H274" s="281">
        <v>-9.898897242047362E-4</v>
      </c>
      <c r="I274" s="281">
        <v>-0.003211670573922465</v>
      </c>
      <c r="J274" s="281">
        <v>-0.0030907953752672412</v>
      </c>
      <c r="K274" s="281">
        <v>-0.003006397344844536</v>
      </c>
    </row>
    <row r="275">
      <c r="A275" s="184">
        <v>43756.97548054398</v>
      </c>
      <c r="B275" s="329">
        <v>4.722</v>
      </c>
      <c r="C275" s="329">
        <v>50.935</v>
      </c>
      <c r="D275" s="329">
        <v>185.93</v>
      </c>
      <c r="E275" s="329">
        <v>127.5</v>
      </c>
      <c r="F275" s="330">
        <v>7.24</v>
      </c>
      <c r="G275" s="331">
        <v>-0.003588894511350841</v>
      </c>
      <c r="H275" s="281">
        <v>-0.0037944078551357396</v>
      </c>
      <c r="I275" s="281">
        <v>-0.002755014981895639</v>
      </c>
      <c r="J275" s="281">
        <v>-0.003752935714072425</v>
      </c>
      <c r="K275" s="281">
        <v>-0.002533414632816089</v>
      </c>
    </row>
    <row r="276">
      <c r="A276" s="184">
        <v>43755.97548087963</v>
      </c>
      <c r="B276" s="329">
        <v>4.727</v>
      </c>
      <c r="C276" s="329">
        <v>51.109</v>
      </c>
      <c r="D276" s="329">
        <v>186.09</v>
      </c>
      <c r="E276" s="329">
        <v>127.87</v>
      </c>
      <c r="F276" s="330">
        <v>7.221</v>
      </c>
      <c r="G276" s="331">
        <v>-0.006238939728105149</v>
      </c>
      <c r="H276" s="281">
        <v>-1.9049600069923991E-4</v>
      </c>
      <c r="I276" s="281">
        <v>-0.0038194960012138957</v>
      </c>
      <c r="J276" s="281">
        <v>-0.0027339118178689357</v>
      </c>
      <c r="K276" s="281">
        <v>-0.0036366514167582853</v>
      </c>
    </row>
    <row r="277">
      <c r="A277" s="184">
        <v>43754.97549733796</v>
      </c>
      <c r="B277" s="329">
        <v>4.749</v>
      </c>
      <c r="C277" s="329">
        <v>51.303</v>
      </c>
      <c r="D277" s="329">
        <v>187.07</v>
      </c>
      <c r="E277" s="329">
        <v>128.08</v>
      </c>
      <c r="F277" s="330">
        <v>7.27</v>
      </c>
      <c r="G277" s="331">
        <v>-0.001642163966423249</v>
      </c>
      <c r="H277" s="281">
        <v>-7.113131233926021E-4</v>
      </c>
      <c r="I277" s="281">
        <v>-4.7027817252816756E-4</v>
      </c>
      <c r="J277" s="281">
        <v>0.001536758384844535</v>
      </c>
      <c r="K277" s="281">
        <v>-0.0014660543694603085</v>
      </c>
    </row>
    <row r="278">
      <c r="A278" s="184">
        <v>43753.9754819213</v>
      </c>
      <c r="B278" s="329">
        <v>4.773</v>
      </c>
      <c r="C278" s="329">
        <v>51.517</v>
      </c>
      <c r="D278" s="329">
        <v>187.47</v>
      </c>
      <c r="E278" s="329">
        <v>128.94</v>
      </c>
      <c r="F278" s="330">
        <v>7.295</v>
      </c>
      <c r="G278" s="331">
        <v>-0.005406048082318593</v>
      </c>
      <c r="H278" s="281">
        <v>0.004757443465304452</v>
      </c>
      <c r="I278" s="281">
        <v>-0.003334108593663454</v>
      </c>
      <c r="J278" s="281">
        <v>-0.001062417255889958</v>
      </c>
      <c r="K278" s="281">
        <v>0.001825739717341272</v>
      </c>
    </row>
    <row r="279">
      <c r="A279" s="184">
        <v>43752.9754815625</v>
      </c>
      <c r="B279" s="329">
        <v>4.816</v>
      </c>
      <c r="C279" s="329">
        <v>51.136</v>
      </c>
      <c r="D279" s="329">
        <v>188.23</v>
      </c>
      <c r="E279" s="329">
        <v>128.92</v>
      </c>
      <c r="F279" s="330">
        <v>7.3</v>
      </c>
      <c r="G279" s="331">
        <v>-0.00831369800027774</v>
      </c>
      <c r="H279" s="281">
        <v>0.0050819951289703775</v>
      </c>
      <c r="I279" s="281">
        <v>-0.004975633634533942</v>
      </c>
      <c r="J279" s="281">
        <v>-0.004825556752404518</v>
      </c>
      <c r="K279" s="281">
        <v>-5.646768247392261E-4</v>
      </c>
    </row>
    <row r="280">
      <c r="A280" s="184">
        <v>43749.97548219908</v>
      </c>
      <c r="B280" s="329">
        <v>4.772</v>
      </c>
      <c r="C280" s="329">
        <v>51.41</v>
      </c>
      <c r="D280" s="329">
        <v>187.33</v>
      </c>
      <c r="E280" s="329">
        <v>127.48</v>
      </c>
      <c r="F280" s="330">
        <v>7.302</v>
      </c>
      <c r="G280" s="331">
        <v>-0.0157486213872949</v>
      </c>
      <c r="H280" s="281">
        <v>0.00790734898912726</v>
      </c>
      <c r="I280" s="281">
        <v>-0.008593437393570028</v>
      </c>
      <c r="J280" s="281">
        <v>-0.008599776062798123</v>
      </c>
      <c r="K280" s="281">
        <v>8.942622558238966E-4</v>
      </c>
    </row>
  </sheetData>
  <conditionalFormatting sqref="G2:K280">
    <cfRule type="expression" dxfId="17" priority="1">
      <formula>G2&lt;AVERAGEIFS(G:G,G:G,"&lt;0")*2</formula>
    </cfRule>
  </conditionalFormatting>
  <conditionalFormatting sqref="G2:K280">
    <cfRule type="expression" dxfId="15" priority="2">
      <formula>G2&gt;AVERAGEIFS(G:G,G:G,"&gt;0")*2</formula>
    </cfRule>
  </conditionalFormatting>
  <conditionalFormatting sqref="B2:F280">
    <cfRule type="expression" dxfId="18" priority="3">
      <formula>B2=MAX(B:B)</formula>
    </cfRule>
  </conditionalFormatting>
  <conditionalFormatting sqref="B2:F280">
    <cfRule type="expression" dxfId="19" priority="4">
      <formula>B2=MIN(B:B)</formula>
    </cfRule>
  </conditionalFormatting>
  <conditionalFormatting sqref="B2:F280">
    <cfRule type="expression" dxfId="20" priority="5">
      <formula>B2&gt;AVERAGEIFS(B:B,$A:$A,"&gt;" &amp; DATE(YEAR(TODAY())-1,MONTH(TODAY()),DAY(TODAY())))</formula>
    </cfRule>
  </conditionalFormatting>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2.75"/>
  <cols>
    <col customWidth="1" min="5" max="5" width="19.71"/>
    <col customWidth="1" min="11" max="11" width="23.43"/>
    <col customWidth="1" min="14" max="14" width="10.71"/>
    <col customWidth="1" min="15" max="15" width="15.43"/>
    <col customWidth="1" min="16" max="16" width="22.14"/>
    <col customWidth="1" min="17" max="17" width="12.14"/>
    <col customWidth="1" min="18" max="18" width="23.14"/>
    <col customWidth="1" min="19" max="19" width="30.29"/>
    <col customWidth="1" min="20" max="20" width="22.14"/>
    <col customWidth="1" min="21" max="21" width="21.71"/>
    <col customWidth="1" min="22" max="22" width="44.71"/>
  </cols>
  <sheetData>
    <row r="1">
      <c r="A1" s="63" t="s">
        <v>280</v>
      </c>
      <c r="B1" s="63" t="s">
        <v>1674</v>
      </c>
      <c r="C1" s="63" t="s">
        <v>1675</v>
      </c>
      <c r="D1" s="63" t="s">
        <v>1676</v>
      </c>
      <c r="E1" s="63" t="s">
        <v>1677</v>
      </c>
      <c r="F1" s="63" t="s">
        <v>1678</v>
      </c>
      <c r="G1" s="63" t="s">
        <v>1679</v>
      </c>
      <c r="H1" s="63" t="s">
        <v>1680</v>
      </c>
      <c r="I1" s="63" t="s">
        <v>1681</v>
      </c>
      <c r="J1" s="63" t="s">
        <v>388</v>
      </c>
      <c r="K1" s="332" t="s">
        <v>1682</v>
      </c>
      <c r="L1" s="139" t="s">
        <v>1683</v>
      </c>
      <c r="M1" s="139" t="s">
        <v>1684</v>
      </c>
      <c r="N1" s="333" t="s">
        <v>1685</v>
      </c>
      <c r="O1" s="139" t="s">
        <v>1686</v>
      </c>
      <c r="P1" s="139" t="s">
        <v>1687</v>
      </c>
      <c r="Q1" s="139" t="s">
        <v>1688</v>
      </c>
      <c r="R1" s="139" t="s">
        <v>1689</v>
      </c>
      <c r="S1" s="139" t="s">
        <v>1690</v>
      </c>
      <c r="T1" s="139" t="s">
        <v>1691</v>
      </c>
      <c r="U1" s="139" t="s">
        <v>1692</v>
      </c>
      <c r="V1" s="139" t="s">
        <v>1693</v>
      </c>
    </row>
    <row r="2">
      <c r="A2" s="8" t="s">
        <v>1694</v>
      </c>
      <c r="B2" s="286">
        <v>-1000.0</v>
      </c>
      <c r="C2" s="286">
        <f t="shared" ref="C2:C4" si="1">SUM(INDIRECT($A2&amp;"!$K:$K"))-$D2</f>
        <v>-208.4342689</v>
      </c>
      <c r="D2" s="286">
        <f>SUMIFS(ExpensesHistoric!$C:$C,ExpensesHistoric!$B:$B,"*don*"&amp;$A2&amp;"*")</f>
        <v>-434.68</v>
      </c>
      <c r="E2" s="286" t="str">
        <f>ROUNDUP((DateTime!$B$2-MIN(INDIRECT($A2&amp;"!$A:$A")))/365.25*12) &amp; " months (" &amp; ROUNDUP((DateTime!$B$2-MIN(INDIRECT($A2&amp;"!$A:$A")))/365.25,1) &amp;  " years)"</f>
        <v>36 months (3 years)</v>
      </c>
      <c r="F2" s="286">
        <f>SUMIFS(AssociateHistoric!$C:$C,AssociateHistoric!$B:$B,$A2,AssociateHistoric!$C:$C,"&gt;0")</f>
        <v>20000</v>
      </c>
      <c r="G2" s="286">
        <f>SUMIFS(AssociateHistoric!$C:$C,AssociateHistoric!$B:$B,$A2,AssociateHistoric!$C:$C,"&lt;0")</f>
        <v>-13550</v>
      </c>
      <c r="H2" s="286">
        <f t="shared" ref="H2:H4" si="2">INDIRECT($A2&amp;"!J2")</f>
        <v>11710.57731</v>
      </c>
      <c r="I2" s="334">
        <f t="shared" ref="I2:I4" si="3">INDIRECT($A2&amp;"!H2")</f>
        <v>0.2410898049</v>
      </c>
      <c r="J2" s="335">
        <f t="shared" ref="J2:J4" si="4">INDIRECT($A2&amp;"!N2")+INDIRECT($A2&amp;"!C2")</f>
        <v>18160.57731</v>
      </c>
      <c r="K2" s="336" t="s">
        <v>1695</v>
      </c>
      <c r="L2" s="8" t="s">
        <v>1696</v>
      </c>
      <c r="M2" s="8" t="s">
        <v>1697</v>
      </c>
      <c r="N2" s="337">
        <v>26764.0</v>
      </c>
      <c r="O2" s="8" t="s">
        <v>1698</v>
      </c>
      <c r="P2" s="8" t="s">
        <v>1699</v>
      </c>
      <c r="Q2" s="8">
        <v>29550.0</v>
      </c>
      <c r="R2" s="8" t="s">
        <v>1700</v>
      </c>
      <c r="S2" s="8" t="s">
        <v>1701</v>
      </c>
      <c r="T2" s="8" t="s">
        <v>1702</v>
      </c>
      <c r="U2" s="8" t="s">
        <v>1703</v>
      </c>
      <c r="V2" s="338" t="s">
        <v>1704</v>
      </c>
    </row>
    <row r="3">
      <c r="A3" s="8" t="s">
        <v>1705</v>
      </c>
      <c r="B3" s="286"/>
      <c r="C3" s="286">
        <f t="shared" si="1"/>
        <v>-1.616725247</v>
      </c>
      <c r="D3" s="286">
        <f>SUMIFS(ExpensesHistoric!$C:$C,ExpensesHistoric!$B:$B,"*don*"&amp;$A3&amp;"*")</f>
        <v>0</v>
      </c>
      <c r="E3" s="286" t="str">
        <f>ROUNDUP((DateTime!$B$2-MIN(INDIRECT($A3&amp;"!$A:$A")))/365.25*12) &amp; " months (" &amp; ROUNDUP((DateTime!$B$2-MIN(INDIRECT($A3&amp;"!$A:$A")))/365.25,1) &amp;  " years)"</f>
        <v>16 months (1.3 years)</v>
      </c>
      <c r="F3" s="286">
        <f>SUMIFS(AssociateHistoric!$C:$C,AssociateHistoric!$B:$B,$A3,AssociateHistoric!$C:$C,"&gt;0")</f>
        <v>500</v>
      </c>
      <c r="G3" s="286">
        <f>SUMIFS(AssociateHistoric!$C:$C,AssociateHistoric!$B:$B,$A3,AssociateHistoric!$C:$C,"&lt;0")</f>
        <v>0</v>
      </c>
      <c r="H3" s="286">
        <f t="shared" si="2"/>
        <v>29.69768752</v>
      </c>
      <c r="I3" s="334">
        <f t="shared" si="3"/>
        <v>0.229527135</v>
      </c>
      <c r="J3" s="335">
        <f t="shared" si="4"/>
        <v>529.6976875</v>
      </c>
      <c r="K3" s="336" t="s">
        <v>1706</v>
      </c>
      <c r="L3" s="8" t="s">
        <v>1707</v>
      </c>
      <c r="M3" s="8" t="s">
        <v>1708</v>
      </c>
      <c r="N3" s="337">
        <v>20148.0</v>
      </c>
      <c r="O3" s="8" t="s">
        <v>1709</v>
      </c>
      <c r="P3" s="8" t="s">
        <v>1710</v>
      </c>
      <c r="Q3" s="8">
        <v>88600.0</v>
      </c>
      <c r="R3" s="339" t="s">
        <v>1711</v>
      </c>
      <c r="S3" s="8"/>
      <c r="T3" s="8"/>
      <c r="U3" s="8"/>
      <c r="V3" s="8"/>
    </row>
    <row r="4">
      <c r="A4" s="8" t="s">
        <v>1712</v>
      </c>
      <c r="B4" s="286"/>
      <c r="C4" s="286">
        <f t="shared" si="1"/>
        <v>-2.291666667</v>
      </c>
      <c r="D4" s="286">
        <f>SUMIFS(ExpensesHistoric!$C:$C,ExpensesHistoric!$B:$B,"*don*"&amp;$A4&amp;"*")</f>
        <v>0</v>
      </c>
      <c r="E4" s="286" t="str">
        <f>ROUNDUP((DateTime!$B$2-MIN(INDIRECT($A4&amp;"!$A:$A")))/365.25*12) &amp; " months (" &amp; ROUNDUP((DateTime!$B$2-MIN(INDIRECT($A4&amp;"!$A:$A")))/365.25,1) &amp;  " years)"</f>
        <v>2 months (0.2 years)</v>
      </c>
      <c r="F4" s="286">
        <f>SUMIFS(AssociateHistoric!$C:$C,AssociateHistoric!$B:$B,$A4,AssociateHistoric!$C:$C,"&gt;0")</f>
        <v>40000</v>
      </c>
      <c r="G4" s="286">
        <f>SUMIFS(AssociateHistoric!$C:$C,AssociateHistoric!$B:$B,$A4,AssociateHistoric!$C:$C,"&lt;0")</f>
        <v>0</v>
      </c>
      <c r="H4" s="286">
        <f t="shared" si="2"/>
        <v>39.375</v>
      </c>
      <c r="I4" s="334">
        <f t="shared" si="3"/>
        <v>-0.1971939755</v>
      </c>
      <c r="J4" s="335">
        <f t="shared" si="4"/>
        <v>40039.375</v>
      </c>
      <c r="K4" s="336" t="s">
        <v>1713</v>
      </c>
      <c r="L4" s="8" t="s">
        <v>1714</v>
      </c>
      <c r="M4" s="8" t="s">
        <v>1715</v>
      </c>
      <c r="N4" s="337">
        <v>25023.0</v>
      </c>
      <c r="O4" s="8"/>
      <c r="P4" s="8" t="s">
        <v>1716</v>
      </c>
      <c r="Q4" s="8">
        <v>91470.0</v>
      </c>
      <c r="R4" s="8" t="s">
        <v>1717</v>
      </c>
      <c r="S4" s="8" t="s">
        <v>1718</v>
      </c>
      <c r="T4" s="8" t="s">
        <v>1719</v>
      </c>
      <c r="U4" s="8" t="s">
        <v>1720</v>
      </c>
      <c r="V4" s="340" t="s">
        <v>1721</v>
      </c>
    </row>
  </sheetData>
  <dataValidations>
    <dataValidation type="decimal" operator="lessThan" allowBlank="1" showDropDown="1" showInputMessage="1" showErrorMessage="1" prompt="The recurrent amount can only be negative (withdraw)" sqref="B2:B4">
      <formula1>0.0</formula1>
    </dataValidation>
  </dataValidations>
  <hyperlinks>
    <hyperlink r:id="rId2" ref="V2"/>
    <hyperlink r:id="rId3" ref="V4"/>
  </hyperlinks>
  <drawing r:id="rId4"/>
  <legacyDrawing r:id="rId5"/>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3" width="14.43"/>
  </cols>
  <sheetData>
    <row r="1">
      <c r="A1" s="141" t="s">
        <v>46</v>
      </c>
      <c r="B1" s="63" t="s">
        <v>1722</v>
      </c>
      <c r="C1" s="63" t="s">
        <v>1723</v>
      </c>
    </row>
    <row r="2">
      <c r="A2" s="337">
        <v>44146.0</v>
      </c>
      <c r="B2" s="8" t="s">
        <v>1694</v>
      </c>
      <c r="C2" s="286">
        <v>-1000.0</v>
      </c>
    </row>
    <row r="3">
      <c r="A3" s="337">
        <v>44131.0</v>
      </c>
      <c r="B3" s="8" t="s">
        <v>1705</v>
      </c>
      <c r="C3" s="286">
        <v>100.0</v>
      </c>
    </row>
    <row r="4">
      <c r="A4" s="337">
        <v>44116.0</v>
      </c>
      <c r="B4" s="8" t="s">
        <v>1705</v>
      </c>
      <c r="C4" s="286">
        <v>100.0</v>
      </c>
    </row>
    <row r="5">
      <c r="A5" s="337">
        <v>44115.0</v>
      </c>
      <c r="B5" s="8" t="s">
        <v>1694</v>
      </c>
      <c r="C5" s="286">
        <v>-300.0</v>
      </c>
    </row>
    <row r="6">
      <c r="A6" s="337">
        <v>44092.0</v>
      </c>
      <c r="B6" s="8" t="s">
        <v>1712</v>
      </c>
      <c r="C6" s="286">
        <v>40000.0</v>
      </c>
    </row>
    <row r="7">
      <c r="A7" s="337">
        <v>44091.0</v>
      </c>
      <c r="B7" s="8" t="s">
        <v>1705</v>
      </c>
      <c r="C7" s="286">
        <v>100.0</v>
      </c>
    </row>
    <row r="8">
      <c r="A8" s="337">
        <v>44054.0</v>
      </c>
      <c r="B8" s="8" t="s">
        <v>1694</v>
      </c>
      <c r="C8" s="286">
        <v>-300.0</v>
      </c>
    </row>
    <row r="9">
      <c r="A9" s="337">
        <v>44053.0</v>
      </c>
      <c r="B9" s="8" t="s">
        <v>1694</v>
      </c>
      <c r="C9" s="286">
        <v>-300.0</v>
      </c>
    </row>
    <row r="10">
      <c r="A10" s="341">
        <v>44048.0</v>
      </c>
      <c r="B10" s="8" t="s">
        <v>1694</v>
      </c>
      <c r="C10" s="286">
        <v>-1500.0</v>
      </c>
    </row>
    <row r="11">
      <c r="A11" s="341">
        <v>44046.0</v>
      </c>
      <c r="B11" s="8" t="s">
        <v>1694</v>
      </c>
      <c r="C11" s="286">
        <v>-2200.0</v>
      </c>
    </row>
    <row r="12">
      <c r="A12" s="341">
        <v>44035.0</v>
      </c>
      <c r="B12" s="8" t="s">
        <v>1694</v>
      </c>
      <c r="C12" s="286">
        <v>-500.0</v>
      </c>
    </row>
    <row r="13">
      <c r="A13" s="341">
        <v>44029.0</v>
      </c>
      <c r="B13" s="8" t="s">
        <v>1694</v>
      </c>
      <c r="C13" s="286">
        <v>-300.0</v>
      </c>
    </row>
    <row r="14">
      <c r="A14" s="337">
        <v>44014.0</v>
      </c>
      <c r="B14" s="8" t="s">
        <v>1694</v>
      </c>
      <c r="C14" s="286">
        <v>-300.0</v>
      </c>
    </row>
    <row r="15">
      <c r="A15" s="337">
        <v>44008.0</v>
      </c>
      <c r="B15" s="8" t="s">
        <v>1694</v>
      </c>
      <c r="C15" s="286">
        <v>3000.0</v>
      </c>
    </row>
    <row r="16">
      <c r="A16" s="337">
        <v>43990.0</v>
      </c>
      <c r="B16" s="8" t="s">
        <v>1694</v>
      </c>
      <c r="C16" s="286">
        <v>-300.0</v>
      </c>
    </row>
    <row r="17">
      <c r="A17" s="337">
        <v>43959.0</v>
      </c>
      <c r="B17" s="8" t="s">
        <v>1694</v>
      </c>
      <c r="C17" s="286">
        <v>-300.0</v>
      </c>
    </row>
    <row r="18">
      <c r="A18" s="337">
        <v>43935.0</v>
      </c>
      <c r="B18" s="8" t="s">
        <v>1694</v>
      </c>
      <c r="C18" s="286">
        <v>-300.0</v>
      </c>
    </row>
    <row r="19">
      <c r="A19" s="337">
        <v>43899.0</v>
      </c>
      <c r="B19" s="8" t="s">
        <v>1694</v>
      </c>
      <c r="C19" s="286">
        <v>-300.0</v>
      </c>
    </row>
    <row r="20">
      <c r="A20" s="337">
        <v>43871.0</v>
      </c>
      <c r="B20" s="8" t="s">
        <v>1705</v>
      </c>
      <c r="C20" s="286">
        <v>100.0</v>
      </c>
    </row>
    <row r="21">
      <c r="A21" s="337">
        <v>43850.0</v>
      </c>
      <c r="B21" s="8" t="s">
        <v>1694</v>
      </c>
      <c r="C21" s="286">
        <v>-1000.0</v>
      </c>
    </row>
    <row r="22">
      <c r="A22" s="337">
        <v>43804.0</v>
      </c>
      <c r="B22" s="8" t="s">
        <v>1694</v>
      </c>
      <c r="C22" s="286">
        <v>-700.0</v>
      </c>
    </row>
    <row r="23">
      <c r="A23" s="337">
        <v>43775.0</v>
      </c>
      <c r="B23" s="8" t="s">
        <v>1694</v>
      </c>
      <c r="C23" s="286">
        <v>-300.0</v>
      </c>
    </row>
    <row r="24">
      <c r="A24" s="341">
        <v>43756.0</v>
      </c>
      <c r="B24" s="8" t="s">
        <v>1694</v>
      </c>
      <c r="C24" s="286">
        <v>-150.0</v>
      </c>
    </row>
    <row r="25">
      <c r="A25" s="337">
        <v>43706.0</v>
      </c>
      <c r="B25" s="8" t="s">
        <v>1694</v>
      </c>
      <c r="C25" s="286">
        <v>-1000.0</v>
      </c>
    </row>
    <row r="26">
      <c r="A26" s="337">
        <v>43675.0</v>
      </c>
      <c r="B26" s="8" t="s">
        <v>1705</v>
      </c>
      <c r="C26" s="286">
        <v>100.0</v>
      </c>
    </row>
    <row r="27">
      <c r="A27" s="337">
        <v>43601.0</v>
      </c>
      <c r="B27" s="8" t="s">
        <v>1694</v>
      </c>
      <c r="C27" s="286">
        <v>-500.0</v>
      </c>
    </row>
    <row r="28">
      <c r="A28" s="337">
        <v>43474.0</v>
      </c>
      <c r="B28" s="8" t="s">
        <v>1694</v>
      </c>
      <c r="C28" s="286">
        <v>-1000.0</v>
      </c>
    </row>
    <row r="29">
      <c r="A29" s="337">
        <v>43444.0</v>
      </c>
      <c r="B29" s="8" t="s">
        <v>1694</v>
      </c>
      <c r="C29" s="286">
        <v>-1000.0</v>
      </c>
    </row>
    <row r="30">
      <c r="A30" s="337">
        <v>43395.0</v>
      </c>
      <c r="B30" s="8" t="s">
        <v>1694</v>
      </c>
      <c r="C30" s="286">
        <v>7000.0</v>
      </c>
    </row>
    <row r="31">
      <c r="A31" s="337">
        <v>43068.0</v>
      </c>
      <c r="B31" s="8" t="s">
        <v>1694</v>
      </c>
      <c r="C31" s="286">
        <v>10000.0</v>
      </c>
    </row>
  </sheetData>
  <autoFilter ref="$A$1:$C$31"/>
  <drawing r:id="rId2"/>
  <legacyDrawing r:id="rId3"/>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63.43"/>
    <col customWidth="1" min="2" max="2" width="141.14"/>
  </cols>
  <sheetData>
    <row r="1">
      <c r="A1" s="342" t="s">
        <v>1724</v>
      </c>
      <c r="B1" s="343" t="s">
        <v>1725</v>
      </c>
    </row>
    <row r="2">
      <c r="A2" s="344" t="s">
        <v>1726</v>
      </c>
      <c r="B2" s="344" t="s">
        <v>1727</v>
      </c>
    </row>
    <row r="3">
      <c r="A3" s="344" t="s">
        <v>1728</v>
      </c>
      <c r="B3" s="345" t="s">
        <v>1729</v>
      </c>
    </row>
    <row r="4">
      <c r="A4" s="345" t="s">
        <v>1730</v>
      </c>
      <c r="B4" s="344" t="s">
        <v>1731</v>
      </c>
    </row>
    <row r="5">
      <c r="A5" s="344" t="s">
        <v>1732</v>
      </c>
      <c r="B5" s="344" t="s">
        <v>1733</v>
      </c>
    </row>
    <row r="6">
      <c r="A6" s="344" t="s">
        <v>1734</v>
      </c>
      <c r="B6" s="344" t="s">
        <v>1735</v>
      </c>
    </row>
    <row r="7">
      <c r="A7" s="344" t="s">
        <v>1736</v>
      </c>
      <c r="B7" s="344" t="s">
        <v>1737</v>
      </c>
    </row>
    <row r="8">
      <c r="A8" s="344" t="s">
        <v>1738</v>
      </c>
      <c r="B8" s="344" t="s">
        <v>1739</v>
      </c>
    </row>
    <row r="9">
      <c r="A9" s="346" t="s">
        <v>1740</v>
      </c>
      <c r="B9" s="346" t="s">
        <v>1741</v>
      </c>
    </row>
    <row r="10">
      <c r="A10" s="346" t="s">
        <v>1742</v>
      </c>
      <c r="B10" s="346" t="s">
        <v>1743</v>
      </c>
    </row>
    <row r="11">
      <c r="A11" s="346" t="s">
        <v>1744</v>
      </c>
      <c r="B11" s="346" t="s">
        <v>1745</v>
      </c>
    </row>
    <row r="12">
      <c r="A12" s="346" t="s">
        <v>1746</v>
      </c>
      <c r="B12" s="346" t="s">
        <v>1747</v>
      </c>
    </row>
    <row r="13">
      <c r="A13" s="346" t="s">
        <v>1748</v>
      </c>
      <c r="B13" s="346" t="s">
        <v>1749</v>
      </c>
    </row>
    <row r="14">
      <c r="A14" s="346" t="s">
        <v>1750</v>
      </c>
      <c r="B14" s="346" t="s">
        <v>1751</v>
      </c>
    </row>
    <row r="15">
      <c r="A15" s="346" t="s">
        <v>1752</v>
      </c>
      <c r="B15" s="346" t="s">
        <v>1753</v>
      </c>
    </row>
    <row r="16">
      <c r="A16" s="346" t="s">
        <v>1754</v>
      </c>
      <c r="B16" s="346" t="s">
        <v>1755</v>
      </c>
    </row>
    <row r="17">
      <c r="A17" s="346" t="s">
        <v>1756</v>
      </c>
      <c r="B17" s="346" t="s">
        <v>1757</v>
      </c>
    </row>
    <row r="18">
      <c r="A18" s="346" t="s">
        <v>1758</v>
      </c>
      <c r="B18" s="346" t="s">
        <v>1759</v>
      </c>
    </row>
    <row r="19">
      <c r="A19" s="346" t="s">
        <v>1760</v>
      </c>
      <c r="B19" s="346" t="s">
        <v>1761</v>
      </c>
    </row>
    <row r="20">
      <c r="A20" s="346" t="s">
        <v>1762</v>
      </c>
      <c r="B20" s="346" t="s">
        <v>1763</v>
      </c>
    </row>
    <row r="21">
      <c r="A21" s="346" t="s">
        <v>1764</v>
      </c>
      <c r="B21" s="346" t="s">
        <v>1765</v>
      </c>
    </row>
    <row r="22">
      <c r="A22" s="346" t="s">
        <v>1766</v>
      </c>
      <c r="B22" s="346" t="s">
        <v>1767</v>
      </c>
    </row>
    <row r="23">
      <c r="A23" s="346" t="s">
        <v>1768</v>
      </c>
      <c r="B23" s="346" t="s">
        <v>1769</v>
      </c>
    </row>
    <row r="24">
      <c r="A24" s="346" t="s">
        <v>1770</v>
      </c>
      <c r="B24" s="346" t="s">
        <v>1771</v>
      </c>
    </row>
    <row r="25">
      <c r="A25" s="346" t="s">
        <v>1772</v>
      </c>
      <c r="B25" s="346" t="s">
        <v>1773</v>
      </c>
    </row>
    <row r="26">
      <c r="A26" s="346" t="s">
        <v>1774</v>
      </c>
      <c r="B26" s="346" t="s">
        <v>1775</v>
      </c>
    </row>
    <row r="27">
      <c r="A27" s="346" t="s">
        <v>1776</v>
      </c>
      <c r="B27" s="346" t="s">
        <v>1777</v>
      </c>
    </row>
    <row r="28">
      <c r="A28" s="346" t="s">
        <v>1778</v>
      </c>
      <c r="B28" s="346" t="s">
        <v>1779</v>
      </c>
    </row>
    <row r="29">
      <c r="A29" s="346" t="s">
        <v>1780</v>
      </c>
      <c r="B29" s="346" t="s">
        <v>1781</v>
      </c>
    </row>
    <row r="30">
      <c r="A30" s="346" t="s">
        <v>1782</v>
      </c>
      <c r="B30" s="346" t="s">
        <v>1783</v>
      </c>
    </row>
    <row r="31">
      <c r="A31" s="346" t="s">
        <v>1784</v>
      </c>
      <c r="B31" s="347" t="s">
        <v>1785</v>
      </c>
    </row>
    <row r="32">
      <c r="A32" s="346" t="s">
        <v>1786</v>
      </c>
      <c r="B32" s="346" t="s">
        <v>1787</v>
      </c>
    </row>
    <row r="33">
      <c r="A33" s="346" t="s">
        <v>1788</v>
      </c>
      <c r="B33" s="346" t="s">
        <v>1789</v>
      </c>
    </row>
    <row r="34">
      <c r="A34" s="346" t="s">
        <v>1790</v>
      </c>
      <c r="B34" s="346" t="s">
        <v>1791</v>
      </c>
    </row>
    <row r="35">
      <c r="A35" s="346" t="s">
        <v>1792</v>
      </c>
      <c r="B35" s="346" t="s">
        <v>1793</v>
      </c>
    </row>
    <row r="36">
      <c r="A36" s="346" t="s">
        <v>1794</v>
      </c>
      <c r="B36" s="346" t="s">
        <v>1795</v>
      </c>
    </row>
    <row r="37">
      <c r="A37" s="346" t="s">
        <v>1796</v>
      </c>
      <c r="B37" s="346" t="s">
        <v>1797</v>
      </c>
    </row>
    <row r="38">
      <c r="A38" s="346" t="s">
        <v>1798</v>
      </c>
      <c r="B38" s="346" t="s">
        <v>1799</v>
      </c>
    </row>
    <row r="39">
      <c r="A39" s="346" t="s">
        <v>1800</v>
      </c>
      <c r="B39" s="348" t="s">
        <v>1801</v>
      </c>
    </row>
    <row r="40">
      <c r="A40" s="346" t="s">
        <v>1802</v>
      </c>
      <c r="B40" s="346" t="s">
        <v>1803</v>
      </c>
    </row>
  </sheetData>
  <hyperlinks>
    <hyperlink r:id="rId1" ref="B31"/>
    <hyperlink r:id="rId2" ref="B39"/>
  </hyperlinks>
  <drawing r:id="rId3"/>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4" width="14.43"/>
  </cols>
  <sheetData>
    <row r="1">
      <c r="A1" s="9" t="s">
        <v>46</v>
      </c>
      <c r="B1" s="9" t="s">
        <v>1723</v>
      </c>
      <c r="C1" s="9" t="s">
        <v>1804</v>
      </c>
      <c r="D1" s="9" t="s">
        <v>1805</v>
      </c>
      <c r="E1" s="9" t="s">
        <v>1806</v>
      </c>
      <c r="F1" s="9" t="s">
        <v>1807</v>
      </c>
      <c r="G1" s="9" t="s">
        <v>1808</v>
      </c>
      <c r="H1" s="9" t="s">
        <v>1681</v>
      </c>
      <c r="I1" s="9" t="s">
        <v>1809</v>
      </c>
      <c r="J1" s="9" t="s">
        <v>1680</v>
      </c>
      <c r="K1" s="9" t="s">
        <v>1675</v>
      </c>
      <c r="L1" s="9" t="s">
        <v>1810</v>
      </c>
      <c r="M1" s="9" t="s">
        <v>1811</v>
      </c>
      <c r="N1" s="9" t="s">
        <v>388</v>
      </c>
    </row>
    <row r="2">
      <c r="A2" s="242">
        <f>EOMONTH(DateTime!$B$1-(30*(ROW()-2))-TIME(3,0,0),-1)+1</f>
        <v>44136</v>
      </c>
      <c r="B2" s="235">
        <f>SUMIFS(AssociateHistoric!$C:$C,AssociateHistoric!$A:$A,"&gt;"&amp;EOMONTH($A2,-2),AssociateHistoric!$A:$A,"&lt;"&amp;$A2,AssociateHistoric!$B:$B,SHEETNAME(),AssociateHistoric!$C:$C,"&gt;0")+SUMIFS(AssociateHistoric!$C:$C,AssociateHistoric!$A:$A,"&gt;="&amp;$A2,AssociateHistoric!$A:$A,"&lt;="&amp;EOMONTH($A2,0),AssociateHistoric!$B:$B,SHEETNAME(),AssociateHistoric!$C:$C,"&lt;0")+$C3</f>
        <v>-1000</v>
      </c>
      <c r="C2" s="235">
        <f>MAX($B2+IF($B2&gt;0,SUMIFS(Historic!$G:$G,Historic!$D:$D,"BUY",Historic!$A:$A,"&gt;"&amp;MAX(EOMONTH($A2,-2),MAXIFS(AssociateHistoric!$A:$A,AssociateHistoric!$A:$A,"&gt;"&amp;EOMONTH($A2,-2),AssociateHistoric!$A:$A,"&lt;"&amp;$A2,AssociateHistoric!$B:$B,SHEETNAME(),AssociateHistoric!$C:$C,"&gt;0")),Historic!$A:$A,"&lt;"&amp;$A2),0),0)</f>
        <v>0</v>
      </c>
      <c r="D2" s="235">
        <f>$B2-$C2</f>
        <v>-1000</v>
      </c>
      <c r="E2" s="235">
        <f>$E3+$D2</f>
        <v>6450</v>
      </c>
      <c r="F2" s="279">
        <f>IF($A3,MAXIFS(AllocationHistoric!$I:$I,AllocationHistoric!$A:$A,$A2),0)</f>
        <v>-0.0164328313</v>
      </c>
      <c r="G2" s="279">
        <f>$F2+$G3</f>
        <v>0.7031785976</v>
      </c>
      <c r="H2" s="279">
        <f>IF($A3,$G2/ROWS($A3:$A37)*12,0)</f>
        <v>0.2410898049</v>
      </c>
      <c r="I2" s="235">
        <f>MAX($L2,$M2)-$E2-SUM($I3:$I37)</f>
        <v>-319.8291698</v>
      </c>
      <c r="J2" s="235">
        <f>$N2-$E2</f>
        <v>11710.57731</v>
      </c>
      <c r="K2" s="235">
        <f>-$I2*5.5/100</f>
        <v>17.59060434</v>
      </c>
      <c r="L2" s="235">
        <f>($E3+$C3)*Dashboard!$B$56/12+$D2+$L3</f>
        <v>6879.53125</v>
      </c>
      <c r="M2" s="235">
        <f>$M3+$D2+$M3*$F2+$C3*Dashboard!$B$56/12</f>
        <v>18142.98671</v>
      </c>
      <c r="N2" s="302">
        <f>MAX($M2,$L2)+$K2</f>
        <v>18160.57731</v>
      </c>
    </row>
    <row r="3">
      <c r="A3" s="242">
        <v>44105.0</v>
      </c>
      <c r="B3" s="235">
        <v>-300.0</v>
      </c>
      <c r="C3" s="235">
        <v>0.0</v>
      </c>
      <c r="D3" s="235">
        <v>-300.0</v>
      </c>
      <c r="E3" s="235">
        <v>7450.0</v>
      </c>
      <c r="F3" s="279">
        <v>-0.0030358834822477613</v>
      </c>
      <c r="G3" s="279">
        <v>0.7196114288521067</v>
      </c>
      <c r="H3" s="279">
        <v>0.25398050430074354</v>
      </c>
      <c r="I3" s="235">
        <v>-60.18030668434949</v>
      </c>
      <c r="J3" s="235">
        <v>12016.125794407904</v>
      </c>
      <c r="K3" s="235">
        <v>3.309916867639222</v>
      </c>
      <c r="L3" s="235">
        <v>7871.770833333323</v>
      </c>
      <c r="M3" s="235">
        <v>19462.815877540266</v>
      </c>
      <c r="N3" s="302">
        <v>19466.125794407904</v>
      </c>
    </row>
    <row r="4">
      <c r="A4" s="242">
        <v>44075.0</v>
      </c>
      <c r="B4" s="235">
        <v>0.0</v>
      </c>
      <c r="C4" s="235">
        <v>0.0</v>
      </c>
      <c r="D4" s="235">
        <v>0.0</v>
      </c>
      <c r="E4" s="235">
        <v>7750.0</v>
      </c>
      <c r="F4" s="279">
        <v>0.0695011442271417</v>
      </c>
      <c r="G4" s="279">
        <v>0.7226473123343545</v>
      </c>
      <c r="H4" s="279">
        <v>0.2627808408488562</v>
      </c>
      <c r="I4" s="235">
        <v>1288.1902223764919</v>
      </c>
      <c r="J4" s="235">
        <v>12002.145721993908</v>
      </c>
      <c r="K4" s="235">
        <v>-70.85046223070705</v>
      </c>
      <c r="L4" s="235">
        <v>8163.697916666656</v>
      </c>
      <c r="M4" s="235">
        <v>19822.996184224616</v>
      </c>
      <c r="N4" s="302">
        <v>19752.145721993908</v>
      </c>
    </row>
    <row r="5">
      <c r="A5" s="242">
        <v>44044.0</v>
      </c>
      <c r="B5" s="235">
        <v>-2400.0</v>
      </c>
      <c r="C5" s="235">
        <v>0.0</v>
      </c>
      <c r="D5" s="235">
        <v>-2400.0</v>
      </c>
      <c r="E5" s="235">
        <v>7750.0</v>
      </c>
      <c r="F5" s="279">
        <v>-0.0011851593150153932</v>
      </c>
      <c r="G5" s="279">
        <v>0.6531461681072128</v>
      </c>
      <c r="H5" s="279">
        <v>0.2449298130402048</v>
      </c>
      <c r="I5" s="235">
        <v>-22.85900518998824</v>
      </c>
      <c r="J5" s="235">
        <v>10786.063207133575</v>
      </c>
      <c r="K5" s="235">
        <v>1.2572452854493532</v>
      </c>
      <c r="L5" s="235">
        <v>8155.624999999989</v>
      </c>
      <c r="M5" s="235">
        <v>18534.805961848124</v>
      </c>
      <c r="N5" s="302">
        <v>18536.063207133575</v>
      </c>
    </row>
    <row r="6">
      <c r="A6" s="242">
        <v>44013.0</v>
      </c>
      <c r="B6" s="235">
        <v>1900.0</v>
      </c>
      <c r="C6" s="235">
        <v>1900.0</v>
      </c>
      <c r="D6" s="235">
        <v>0.0</v>
      </c>
      <c r="E6" s="235">
        <v>10150.0</v>
      </c>
      <c r="F6" s="279">
        <v>0.01670595001387467</v>
      </c>
      <c r="G6" s="279">
        <v>0.6543313274222282</v>
      </c>
      <c r="H6" s="279">
        <v>0.25328954609892707</v>
      </c>
      <c r="I6" s="235">
        <v>344.36476283245065</v>
      </c>
      <c r="J6" s="235">
        <v>10788.724905082327</v>
      </c>
      <c r="K6" s="235">
        <v>-18.940061955784785</v>
      </c>
      <c r="L6" s="235">
        <v>10543.072916666655</v>
      </c>
      <c r="M6" s="235">
        <v>20957.664967038112</v>
      </c>
      <c r="N6" s="302">
        <v>20938.724905082327</v>
      </c>
    </row>
    <row r="7">
      <c r="A7" s="242">
        <v>43983.0</v>
      </c>
      <c r="B7" s="235">
        <v>-300.0</v>
      </c>
      <c r="C7" s="235">
        <v>0.0</v>
      </c>
      <c r="D7" s="235">
        <v>-300.0</v>
      </c>
      <c r="E7" s="235">
        <v>10150.0</v>
      </c>
      <c r="F7" s="279">
        <v>-0.00659387295460559</v>
      </c>
      <c r="G7" s="279">
        <v>0.6376253774083536</v>
      </c>
      <c r="H7" s="279">
        <v>0.25505015096334144</v>
      </c>
      <c r="I7" s="235">
        <v>-138.8149729035831</v>
      </c>
      <c r="J7" s="235">
        <v>10470.935027715357</v>
      </c>
      <c r="K7" s="235">
        <v>7.634823509697071</v>
      </c>
      <c r="L7" s="235">
        <v>10532.499999999989</v>
      </c>
      <c r="M7" s="235">
        <v>20613.30020420566</v>
      </c>
      <c r="N7" s="302">
        <v>20620.935027715357</v>
      </c>
    </row>
    <row r="8">
      <c r="A8" s="242">
        <v>43952.0</v>
      </c>
      <c r="B8" s="235">
        <v>-300.0</v>
      </c>
      <c r="C8" s="235">
        <v>0.0</v>
      </c>
      <c r="D8" s="235">
        <v>-300.0</v>
      </c>
      <c r="E8" s="235">
        <v>10450.0</v>
      </c>
      <c r="F8" s="279">
        <v>0.17167870410952307</v>
      </c>
      <c r="G8" s="279">
        <v>0.6442192503629591</v>
      </c>
      <c r="H8" s="279">
        <v>0.26657348290881067</v>
      </c>
      <c r="I8" s="235">
        <v>3128.591012831741</v>
      </c>
      <c r="J8" s="235">
        <v>10430.042671403498</v>
      </c>
      <c r="K8" s="235">
        <v>-172.07250570574575</v>
      </c>
      <c r="L8" s="235">
        <v>10821.614583333323</v>
      </c>
      <c r="M8" s="235">
        <v>21052.115177109245</v>
      </c>
      <c r="N8" s="302">
        <v>20880.0426714035</v>
      </c>
    </row>
    <row r="9">
      <c r="A9" s="242">
        <v>43922.0</v>
      </c>
      <c r="B9" s="235">
        <v>-300.0</v>
      </c>
      <c r="C9" s="235">
        <v>0.0</v>
      </c>
      <c r="D9" s="235">
        <v>-300.0</v>
      </c>
      <c r="E9" s="235">
        <v>10750.0</v>
      </c>
      <c r="F9" s="279">
        <v>-0.09031985768405248</v>
      </c>
      <c r="G9" s="279">
        <v>0.4725405462534361</v>
      </c>
      <c r="H9" s="279">
        <v>0.20251737696575833</v>
      </c>
      <c r="I9" s="235">
        <v>-1839.1542131119495</v>
      </c>
      <c r="J9" s="235">
        <v>7574.677645998661</v>
      </c>
      <c r="K9" s="235">
        <v>101.15348172115722</v>
      </c>
      <c r="L9" s="235">
        <v>11110.416666666657</v>
      </c>
      <c r="M9" s="235">
        <v>18223.524164277504</v>
      </c>
      <c r="N9" s="302">
        <v>18324.67764599866</v>
      </c>
    </row>
    <row r="10">
      <c r="A10" s="242">
        <v>43891.0</v>
      </c>
      <c r="B10" s="235">
        <v>-300.0</v>
      </c>
      <c r="C10" s="235">
        <v>0.0</v>
      </c>
      <c r="D10" s="235">
        <v>-300.0</v>
      </c>
      <c r="E10" s="235">
        <v>11050.0</v>
      </c>
      <c r="F10" s="279">
        <v>-6.988944889106389E-4</v>
      </c>
      <c r="G10" s="279">
        <v>0.5628604039374886</v>
      </c>
      <c r="H10" s="279">
        <v>0.2501601795277727</v>
      </c>
      <c r="I10" s="235">
        <v>-14.451131860507303</v>
      </c>
      <c r="J10" s="235">
        <v>9313.47318964178</v>
      </c>
      <c r="K10" s="235">
        <v>0.7948122523279016</v>
      </c>
      <c r="L10" s="235">
        <v>11398.90624999999</v>
      </c>
      <c r="M10" s="235">
        <v>20362.678377389453</v>
      </c>
      <c r="N10" s="302">
        <v>20363.47318964178</v>
      </c>
    </row>
    <row r="11">
      <c r="A11" s="242">
        <v>43862.0</v>
      </c>
      <c r="B11" s="235">
        <v>0.0</v>
      </c>
      <c r="C11" s="235">
        <v>0.0</v>
      </c>
      <c r="D11" s="235">
        <v>0.0</v>
      </c>
      <c r="E11" s="235">
        <v>11350.0</v>
      </c>
      <c r="F11" s="279">
        <v>-0.013571483773815925</v>
      </c>
      <c r="G11" s="279">
        <v>0.5635592984263992</v>
      </c>
      <c r="H11" s="279">
        <v>0.260104291581415</v>
      </c>
      <c r="I11" s="235">
        <v>-284.48014529978536</v>
      </c>
      <c r="J11" s="235">
        <v>9342.775917241448</v>
      </c>
      <c r="K11" s="235">
        <v>15.646407991488195</v>
      </c>
      <c r="L11" s="235">
        <v>11687.083333333325</v>
      </c>
      <c r="M11" s="235">
        <v>20677.12950924996</v>
      </c>
      <c r="N11" s="302">
        <v>20692.775917241448</v>
      </c>
    </row>
    <row r="12">
      <c r="A12" s="242">
        <v>43831.0</v>
      </c>
      <c r="B12" s="235">
        <v>-1000.0</v>
      </c>
      <c r="C12" s="235">
        <v>0.0</v>
      </c>
      <c r="D12" s="235">
        <v>-1000.0</v>
      </c>
      <c r="E12" s="235">
        <v>11350.0</v>
      </c>
      <c r="F12" s="279">
        <v>0.06953970791992178</v>
      </c>
      <c r="G12" s="279">
        <v>0.5771307822002151</v>
      </c>
      <c r="H12" s="279">
        <v>0.27702277545610327</v>
      </c>
      <c r="I12" s="235">
        <v>1427.907640567064</v>
      </c>
      <c r="J12" s="235">
        <v>9533.074734318558</v>
      </c>
      <c r="K12" s="235">
        <v>-78.53492023118852</v>
      </c>
      <c r="L12" s="235">
        <v>11675.260416666659</v>
      </c>
      <c r="M12" s="235">
        <v>20961.609654549746</v>
      </c>
      <c r="N12" s="302">
        <v>20883.074734318558</v>
      </c>
    </row>
    <row r="13">
      <c r="A13" s="242">
        <v>43800.0</v>
      </c>
      <c r="B13" s="235">
        <v>-700.0</v>
      </c>
      <c r="C13" s="235">
        <v>0.0</v>
      </c>
      <c r="D13" s="235">
        <v>-700.0</v>
      </c>
      <c r="E13" s="235">
        <v>12350.0</v>
      </c>
      <c r="F13" s="279">
        <v>0.02764486097227171</v>
      </c>
      <c r="G13" s="279">
        <v>0.5075910742802933</v>
      </c>
      <c r="H13" s="279">
        <v>0.25379553714014663</v>
      </c>
      <c r="I13" s="235">
        <v>571.2116728222863</v>
      </c>
      <c r="J13" s="235">
        <v>8152.2853719774575</v>
      </c>
      <c r="K13" s="235">
        <v>-31.41664200522575</v>
      </c>
      <c r="L13" s="235">
        <v>12662.395833333325</v>
      </c>
      <c r="M13" s="235">
        <v>20533.702013982682</v>
      </c>
      <c r="N13" s="302">
        <v>20502.285371977458</v>
      </c>
    </row>
    <row r="14">
      <c r="A14" s="242">
        <v>43770.0</v>
      </c>
      <c r="B14" s="235">
        <v>-300.0</v>
      </c>
      <c r="C14" s="235">
        <v>0.0</v>
      </c>
      <c r="D14" s="235">
        <v>-300.0</v>
      </c>
      <c r="E14" s="235">
        <v>13050.0</v>
      </c>
      <c r="F14" s="279">
        <v>-0.031204251937763165</v>
      </c>
      <c r="G14" s="279">
        <v>0.4799462133080215</v>
      </c>
      <c r="H14" s="279">
        <v>0.25040671998679387</v>
      </c>
      <c r="I14" s="235">
        <v>-675.1875523368581</v>
      </c>
      <c r="J14" s="235">
        <v>7649.625656538923</v>
      </c>
      <c r="K14" s="235">
        <v>37.135315378527196</v>
      </c>
      <c r="L14" s="235">
        <v>13348.802083333325</v>
      </c>
      <c r="M14" s="235">
        <v>20662.490341160395</v>
      </c>
      <c r="N14" s="302">
        <v>20699.625656538923</v>
      </c>
    </row>
    <row r="15">
      <c r="A15" s="242">
        <v>43739.0</v>
      </c>
      <c r="B15" s="235">
        <v>-150.0</v>
      </c>
      <c r="C15" s="235">
        <v>0.0</v>
      </c>
      <c r="D15" s="235">
        <v>-150.0</v>
      </c>
      <c r="E15" s="235">
        <v>13350.0</v>
      </c>
      <c r="F15" s="279">
        <v>-0.0017577640676155197</v>
      </c>
      <c r="G15" s="279">
        <v>0.5111504652457847</v>
      </c>
      <c r="H15" s="279">
        <v>0.2788093446795189</v>
      </c>
      <c r="I15" s="235">
        <v>-38.36503399618232</v>
      </c>
      <c r="J15" s="235">
        <v>8289.787970367044</v>
      </c>
      <c r="K15" s="235">
        <v>2.1100768697900274</v>
      </c>
      <c r="L15" s="235">
        <v>13634.895833333325</v>
      </c>
      <c r="M15" s="235">
        <v>21637.677893497254</v>
      </c>
      <c r="N15" s="302">
        <v>21639.787970367044</v>
      </c>
    </row>
    <row r="16">
      <c r="A16" s="242">
        <v>43709.0</v>
      </c>
      <c r="B16" s="235">
        <v>0.0</v>
      </c>
      <c r="C16" s="235">
        <v>0.0</v>
      </c>
      <c r="D16" s="235">
        <v>0.0</v>
      </c>
      <c r="E16" s="235">
        <v>13500.0</v>
      </c>
      <c r="F16" s="279">
        <v>0.09663855056374034</v>
      </c>
      <c r="G16" s="279">
        <v>0.5129082293134002</v>
      </c>
      <c r="H16" s="279">
        <v>0.2930904167505144</v>
      </c>
      <c r="I16" s="235">
        <v>1923.3658637758672</v>
      </c>
      <c r="J16" s="235">
        <v>8220.257804985762</v>
      </c>
      <c r="K16" s="235">
        <v>-105.7851225076727</v>
      </c>
      <c r="L16" s="235">
        <v>13770.833333333325</v>
      </c>
      <c r="M16" s="235">
        <v>21826.042927493436</v>
      </c>
      <c r="N16" s="302">
        <v>21720.257804985762</v>
      </c>
    </row>
    <row r="17">
      <c r="A17" s="242">
        <v>43678.0</v>
      </c>
      <c r="B17" s="235">
        <v>-1000.0</v>
      </c>
      <c r="C17" s="235">
        <v>0.0</v>
      </c>
      <c r="D17" s="235">
        <v>-1000.0</v>
      </c>
      <c r="E17" s="235">
        <v>13500.0</v>
      </c>
      <c r="F17" s="279">
        <v>0.07804921004485675</v>
      </c>
      <c r="G17" s="279">
        <v>0.4162696787496598</v>
      </c>
      <c r="H17" s="279">
        <v>0.2497618072497959</v>
      </c>
      <c r="I17" s="235">
        <v>1513.323712354486</v>
      </c>
      <c r="J17" s="235">
        <v>6319.4442595380715</v>
      </c>
      <c r="K17" s="235">
        <v>-83.23280417949672</v>
      </c>
      <c r="L17" s="235">
        <v>13756.770833333325</v>
      </c>
      <c r="M17" s="235">
        <v>19902.67706371757</v>
      </c>
      <c r="N17" s="302">
        <v>19819.44425953807</v>
      </c>
    </row>
    <row r="18">
      <c r="A18" s="242">
        <v>43647.0</v>
      </c>
      <c r="B18" s="235">
        <v>0.0</v>
      </c>
      <c r="C18" s="235">
        <v>0.0</v>
      </c>
      <c r="D18" s="235">
        <v>0.0</v>
      </c>
      <c r="E18" s="235">
        <v>14500.0</v>
      </c>
      <c r="F18" s="279">
        <v>0.05571063566313939</v>
      </c>
      <c r="G18" s="279">
        <v>0.33822046870480305</v>
      </c>
      <c r="H18" s="279">
        <v>0.21361292760303352</v>
      </c>
      <c r="I18" s="235">
        <v>1023.1906014882006</v>
      </c>
      <c r="J18" s="235">
        <v>4833.077868281231</v>
      </c>
      <c r="K18" s="235">
        <v>-56.275483081851036</v>
      </c>
      <c r="L18" s="235">
        <v>14741.666666666659</v>
      </c>
      <c r="M18" s="235">
        <v>19389.353351363083</v>
      </c>
      <c r="N18" s="302">
        <v>19333.07786828123</v>
      </c>
    </row>
    <row r="19">
      <c r="A19" s="242">
        <v>43617.0</v>
      </c>
      <c r="B19" s="235">
        <v>0.0</v>
      </c>
      <c r="C19" s="235">
        <v>0.0</v>
      </c>
      <c r="D19" s="235">
        <v>0.0</v>
      </c>
      <c r="E19" s="235">
        <v>14500.0</v>
      </c>
      <c r="F19" s="279">
        <v>0.03999771844904346</v>
      </c>
      <c r="G19" s="279">
        <v>0.28250983304166366</v>
      </c>
      <c r="H19" s="279">
        <v>0.18833988869444246</v>
      </c>
      <c r="I19" s="235">
        <v>706.3521329203759</v>
      </c>
      <c r="J19" s="235">
        <v>3827.3133825642617</v>
      </c>
      <c r="K19" s="235">
        <v>-38.84936731062067</v>
      </c>
      <c r="L19" s="235">
        <v>14726.562499999993</v>
      </c>
      <c r="M19" s="235">
        <v>18366.162749874882</v>
      </c>
      <c r="N19" s="302">
        <v>18327.31338256426</v>
      </c>
    </row>
    <row r="20">
      <c r="A20" s="242">
        <v>43586.0</v>
      </c>
      <c r="B20" s="235">
        <v>-500.0</v>
      </c>
      <c r="C20" s="235">
        <v>0.0</v>
      </c>
      <c r="D20" s="235">
        <v>-500.0</v>
      </c>
      <c r="E20" s="235">
        <v>14500.0</v>
      </c>
      <c r="F20" s="279">
        <v>0.026231385182183264</v>
      </c>
      <c r="G20" s="279">
        <v>0.24251211459262018</v>
      </c>
      <c r="H20" s="279">
        <v>0.17118502206537894</v>
      </c>
      <c r="I20" s="235">
        <v>464.18087967975225</v>
      </c>
      <c r="J20" s="235">
        <v>3134.280668572119</v>
      </c>
      <c r="K20" s="235">
        <v>-25.529948382386372</v>
      </c>
      <c r="L20" s="235">
        <v>14711.458333333327</v>
      </c>
      <c r="M20" s="235">
        <v>17659.810616954506</v>
      </c>
      <c r="N20" s="302">
        <v>17634.28066857212</v>
      </c>
    </row>
    <row r="21">
      <c r="A21" s="242">
        <v>43556.0</v>
      </c>
      <c r="B21" s="235">
        <v>0.0</v>
      </c>
      <c r="C21" s="235">
        <v>0.0</v>
      </c>
      <c r="D21" s="235">
        <v>0.0</v>
      </c>
      <c r="E21" s="235">
        <v>15000.0</v>
      </c>
      <c r="F21" s="279">
        <v>0.10199738482836891</v>
      </c>
      <c r="G21" s="279">
        <v>0.2162807294104369</v>
      </c>
      <c r="H21" s="279">
        <v>0.16221054705782767</v>
      </c>
      <c r="I21" s="235">
        <v>1637.8513968744555</v>
      </c>
      <c r="J21" s="235">
        <v>2605.5479104466576</v>
      </c>
      <c r="K21" s="235">
        <v>-90.08182682809506</v>
      </c>
      <c r="L21" s="235">
        <v>15195.833333333327</v>
      </c>
      <c r="M21" s="235">
        <v>17695.629737274754</v>
      </c>
      <c r="N21" s="302">
        <v>17605.547910446658</v>
      </c>
    </row>
    <row r="22">
      <c r="A22" s="242">
        <v>43525.0</v>
      </c>
      <c r="B22" s="235">
        <v>0.0</v>
      </c>
      <c r="C22" s="235">
        <v>0.0</v>
      </c>
      <c r="D22" s="235">
        <v>0.0</v>
      </c>
      <c r="E22" s="235">
        <v>15000.0</v>
      </c>
      <c r="F22" s="279">
        <v>0.03449682927674902</v>
      </c>
      <c r="G22" s="279">
        <v>0.11428334458206801</v>
      </c>
      <c r="H22" s="279">
        <v>0.09142667566565442</v>
      </c>
      <c r="I22" s="235">
        <v>535.4704067676521</v>
      </c>
      <c r="J22" s="235">
        <v>1028.3274680280774</v>
      </c>
      <c r="K22" s="235">
        <v>-29.450872372220864</v>
      </c>
      <c r="L22" s="235">
        <v>15180.208333333327</v>
      </c>
      <c r="M22" s="235">
        <v>16057.778340400298</v>
      </c>
      <c r="N22" s="302">
        <v>16028.327468028077</v>
      </c>
    </row>
    <row r="23">
      <c r="A23" s="242">
        <v>43497.0</v>
      </c>
      <c r="B23" s="235">
        <v>0.0</v>
      </c>
      <c r="C23" s="235">
        <v>0.0</v>
      </c>
      <c r="D23" s="235">
        <v>0.0</v>
      </c>
      <c r="E23" s="235">
        <v>15000.0</v>
      </c>
      <c r="F23" s="279">
        <v>0.04107233145116107</v>
      </c>
      <c r="G23" s="279">
        <v>0.079786515305319</v>
      </c>
      <c r="H23" s="279">
        <v>0.06838844169027342</v>
      </c>
      <c r="I23" s="235">
        <v>373.3496002993197</v>
      </c>
      <c r="J23" s="235">
        <v>501.7737056161841</v>
      </c>
      <c r="K23" s="235">
        <v>-20.534228016462585</v>
      </c>
      <c r="L23" s="235">
        <v>15164.583333333327</v>
      </c>
      <c r="M23" s="235">
        <v>15522.307933632646</v>
      </c>
      <c r="N23" s="302">
        <v>15501.773705616184</v>
      </c>
    </row>
    <row r="24">
      <c r="A24" s="242">
        <v>43466.0</v>
      </c>
      <c r="B24" s="235">
        <v>-1000.0</v>
      </c>
      <c r="C24" s="235">
        <v>0.0</v>
      </c>
      <c r="D24" s="235">
        <v>-1000.0</v>
      </c>
      <c r="E24" s="235">
        <v>15000.0</v>
      </c>
      <c r="F24" s="279">
        <v>-0.024314741161841652</v>
      </c>
      <c r="G24" s="279">
        <v>0.038714183854157924</v>
      </c>
      <c r="H24" s="279">
        <v>0.035736169711530395</v>
      </c>
      <c r="I24" s="235">
        <v>-157.4504235641234</v>
      </c>
      <c r="J24" s="235">
        <v>157.61810662935386</v>
      </c>
      <c r="K24" s="235">
        <v>8.659773296026788</v>
      </c>
      <c r="L24" s="235">
        <v>15148.958333333327</v>
      </c>
      <c r="M24" s="235">
        <v>14909.9226486943</v>
      </c>
      <c r="N24" s="302">
        <v>15157.618106629354</v>
      </c>
    </row>
    <row r="25">
      <c r="A25" s="242">
        <v>43435.0</v>
      </c>
      <c r="B25" s="235">
        <v>6000.0</v>
      </c>
      <c r="C25" s="235">
        <v>0.0</v>
      </c>
      <c r="D25" s="235">
        <v>6000.0</v>
      </c>
      <c r="E25" s="235">
        <v>16000.0</v>
      </c>
      <c r="F25" s="279">
        <v>0.059176449934818486</v>
      </c>
      <c r="G25" s="279">
        <v>0.06302892501599958</v>
      </c>
      <c r="H25" s="279">
        <v>0.06302892501599958</v>
      </c>
      <c r="I25" s="235">
        <v>191.8254235641234</v>
      </c>
      <c r="J25" s="235">
        <v>295.8583586014229</v>
      </c>
      <c r="K25" s="235">
        <v>-10.550398296026788</v>
      </c>
      <c r="L25" s="235">
        <v>16132.29166666666</v>
      </c>
      <c r="M25" s="235">
        <v>16306.40875689745</v>
      </c>
      <c r="N25" s="302">
        <v>16295.858358601423</v>
      </c>
    </row>
    <row r="26">
      <c r="A26" s="242">
        <v>43405.0</v>
      </c>
      <c r="B26" s="235">
        <v>7000.0</v>
      </c>
      <c r="C26" s="235">
        <v>7000.0</v>
      </c>
      <c r="D26" s="235">
        <v>0.0</v>
      </c>
      <c r="E26" s="235">
        <v>10000.0</v>
      </c>
      <c r="F26" s="279">
        <v>-0.06412073646906129</v>
      </c>
      <c r="G26" s="279">
        <v>0.0038524750811810976</v>
      </c>
      <c r="H26" s="279">
        <v>0.004202700088561198</v>
      </c>
      <c r="I26" s="235">
        <v>-275.32832818211136</v>
      </c>
      <c r="J26" s="235">
        <v>129.72639138334307</v>
      </c>
      <c r="K26" s="235">
        <v>15.143058050016124</v>
      </c>
      <c r="L26" s="235">
        <v>10114.583333333327</v>
      </c>
      <c r="M26" s="235">
        <v>9723.70287393058</v>
      </c>
      <c r="N26" s="302">
        <v>10129.726391383343</v>
      </c>
    </row>
    <row r="27">
      <c r="A27" s="242">
        <v>43374.0</v>
      </c>
      <c r="B27" s="235">
        <v>0.0</v>
      </c>
      <c r="C27" s="235">
        <v>0.0</v>
      </c>
      <c r="D27" s="235">
        <v>0.0</v>
      </c>
      <c r="E27" s="235">
        <v>10000.0</v>
      </c>
      <c r="F27" s="279">
        <v>-0.028896114427261484</v>
      </c>
      <c r="G27" s="279">
        <v>0.06797321155024239</v>
      </c>
      <c r="H27" s="279">
        <v>0.08156785386029086</v>
      </c>
      <c r="I27" s="235">
        <v>-309.16164657627814</v>
      </c>
      <c r="J27" s="235">
        <v>406.9155520771328</v>
      </c>
      <c r="K27" s="235">
        <v>17.003890561695297</v>
      </c>
      <c r="L27" s="235">
        <v>10104.16666666666</v>
      </c>
      <c r="M27" s="235">
        <v>10389.911661515438</v>
      </c>
      <c r="N27" s="302">
        <v>10406.915552077133</v>
      </c>
    </row>
    <row r="28">
      <c r="A28" s="242">
        <v>43344.0</v>
      </c>
      <c r="B28" s="235">
        <v>0.0</v>
      </c>
      <c r="C28" s="235">
        <v>0.0</v>
      </c>
      <c r="D28" s="235">
        <v>0.0</v>
      </c>
      <c r="E28" s="235">
        <v>10000.0</v>
      </c>
      <c r="F28" s="279">
        <v>0.08865378226331043</v>
      </c>
      <c r="G28" s="279">
        <v>0.09686932597750388</v>
      </c>
      <c r="H28" s="279">
        <v>0.1291591013033385</v>
      </c>
      <c r="I28" s="235">
        <v>615.7399747583877</v>
      </c>
      <c r="J28" s="235">
        <v>665.207609480005</v>
      </c>
      <c r="K28" s="235">
        <v>-33.86569861171132</v>
      </c>
      <c r="L28" s="235">
        <v>10093.749999999995</v>
      </c>
      <c r="M28" s="235">
        <v>10699.073308091716</v>
      </c>
      <c r="N28" s="302">
        <v>10665.207609480005</v>
      </c>
    </row>
    <row r="29">
      <c r="A29" s="242">
        <v>43313.0</v>
      </c>
      <c r="B29" s="235">
        <v>0.0</v>
      </c>
      <c r="C29" s="235">
        <v>0.0</v>
      </c>
      <c r="D29" s="235">
        <v>0.0</v>
      </c>
      <c r="E29" s="235">
        <v>10000.0</v>
      </c>
      <c r="F29" s="279">
        <v>-0.02448824447309521</v>
      </c>
      <c r="G29" s="279">
        <v>0.00821554371419345</v>
      </c>
      <c r="H29" s="279">
        <v>0.012323315571290175</v>
      </c>
      <c r="I29" s="235">
        <v>8.824773747366635</v>
      </c>
      <c r="J29" s="235">
        <v>82.84797077722396</v>
      </c>
      <c r="K29" s="235">
        <v>-0.48536255610516493</v>
      </c>
      <c r="L29" s="235">
        <v>10083.333333333328</v>
      </c>
      <c r="M29" s="235">
        <v>9827.80153103253</v>
      </c>
      <c r="N29" s="302">
        <v>10082.847970777224</v>
      </c>
    </row>
    <row r="30">
      <c r="A30" s="242">
        <v>43282.0</v>
      </c>
      <c r="B30" s="235">
        <v>0.0</v>
      </c>
      <c r="C30" s="235">
        <v>0.0</v>
      </c>
      <c r="D30" s="235">
        <v>0.0</v>
      </c>
      <c r="E30" s="235">
        <v>10000.0</v>
      </c>
      <c r="F30" s="279">
        <v>0.010858996309905966</v>
      </c>
      <c r="G30" s="279">
        <v>0.03270378818728866</v>
      </c>
      <c r="H30" s="279">
        <v>0.056063636892494856</v>
      </c>
      <c r="I30" s="235">
        <v>12.008559585965486</v>
      </c>
      <c r="J30" s="235">
        <v>73.84808880873425</v>
      </c>
      <c r="K30" s="235">
        <v>-0.6604707772281018</v>
      </c>
      <c r="L30" s="235">
        <v>10072.916666666662</v>
      </c>
      <c r="M30" s="235">
        <v>10074.508559585962</v>
      </c>
      <c r="N30" s="302">
        <v>10073.848088808734</v>
      </c>
    </row>
    <row r="31">
      <c r="A31" s="242">
        <v>43252.0</v>
      </c>
      <c r="B31" s="235">
        <v>0.0</v>
      </c>
      <c r="C31" s="235">
        <v>0.0</v>
      </c>
      <c r="D31" s="235">
        <v>0.0</v>
      </c>
      <c r="E31" s="235">
        <v>10000.0</v>
      </c>
      <c r="F31" s="279">
        <v>0.12647428034130279</v>
      </c>
      <c r="G31" s="279">
        <v>0.021844791877382697</v>
      </c>
      <c r="H31" s="279">
        <v>0.04368958375476539</v>
      </c>
      <c r="I31" s="235">
        <v>10.41666666666606</v>
      </c>
      <c r="J31" s="235">
        <v>61.9270833333303</v>
      </c>
      <c r="K31" s="235">
        <v>-0.5729166666666333</v>
      </c>
      <c r="L31" s="235">
        <v>10062.499999999996</v>
      </c>
      <c r="M31" s="235">
        <v>9966.284710689117</v>
      </c>
      <c r="N31" s="302">
        <v>10061.92708333333</v>
      </c>
    </row>
    <row r="32">
      <c r="A32" s="242">
        <v>43221.0</v>
      </c>
      <c r="B32" s="235">
        <v>0.0</v>
      </c>
      <c r="C32" s="235">
        <v>0.0</v>
      </c>
      <c r="D32" s="235">
        <v>0.0</v>
      </c>
      <c r="E32" s="235">
        <v>10000.0</v>
      </c>
      <c r="F32" s="279">
        <v>0.07661146740532812</v>
      </c>
      <c r="G32" s="279">
        <v>-0.10462948846392009</v>
      </c>
      <c r="H32" s="279">
        <v>-0.25111077231340817</v>
      </c>
      <c r="I32" s="235">
        <v>10.41666666666606</v>
      </c>
      <c r="J32" s="235">
        <v>51.51041666666424</v>
      </c>
      <c r="K32" s="235">
        <v>-0.5729166666666333</v>
      </c>
      <c r="L32" s="235">
        <v>10052.08333333333</v>
      </c>
      <c r="M32" s="235">
        <v>8847.325575573283</v>
      </c>
      <c r="N32" s="302">
        <v>10051.510416666664</v>
      </c>
    </row>
    <row r="33">
      <c r="A33" s="242">
        <v>43191.0</v>
      </c>
      <c r="B33" s="235">
        <v>0.0</v>
      </c>
      <c r="C33" s="235">
        <v>0.0</v>
      </c>
      <c r="D33" s="235">
        <v>0.0</v>
      </c>
      <c r="E33" s="235">
        <v>10000.0</v>
      </c>
      <c r="F33" s="279">
        <v>-0.0394470506102503</v>
      </c>
      <c r="G33" s="279">
        <v>-0.1812409558692482</v>
      </c>
      <c r="H33" s="279">
        <v>-0.5437228676077446</v>
      </c>
      <c r="I33" s="235">
        <v>10.41666666666606</v>
      </c>
      <c r="J33" s="235">
        <v>41.09374999999818</v>
      </c>
      <c r="K33" s="235">
        <v>-0.5729166666666333</v>
      </c>
      <c r="L33" s="235">
        <v>10041.666666666664</v>
      </c>
      <c r="M33" s="235">
        <v>8217.751569092656</v>
      </c>
      <c r="N33" s="302">
        <v>10041.093749999998</v>
      </c>
    </row>
    <row r="34">
      <c r="A34" s="242">
        <v>43160.0</v>
      </c>
      <c r="B34" s="235">
        <v>0.0</v>
      </c>
      <c r="C34" s="235">
        <v>0.0</v>
      </c>
      <c r="D34" s="235">
        <v>0.0</v>
      </c>
      <c r="E34" s="235">
        <v>10000.0</v>
      </c>
      <c r="F34" s="279">
        <v>-0.052153074609364886</v>
      </c>
      <c r="G34" s="279">
        <v>-0.1417939052589979</v>
      </c>
      <c r="H34" s="279">
        <v>-0.5671756210359916</v>
      </c>
      <c r="I34" s="235">
        <v>10.41666666666606</v>
      </c>
      <c r="J34" s="235">
        <v>30.67708333333212</v>
      </c>
      <c r="K34" s="235">
        <v>-0.5729166666666333</v>
      </c>
      <c r="L34" s="235">
        <v>10031.249999999998</v>
      </c>
      <c r="M34" s="235">
        <v>8555.230166450989</v>
      </c>
      <c r="N34" s="302">
        <v>10030.677083333332</v>
      </c>
    </row>
    <row r="35">
      <c r="A35" s="242">
        <v>43132.0</v>
      </c>
      <c r="B35" s="235">
        <v>0.0</v>
      </c>
      <c r="C35" s="235">
        <v>0.0</v>
      </c>
      <c r="D35" s="235">
        <v>0.0</v>
      </c>
      <c r="E35" s="235">
        <v>10000.0</v>
      </c>
      <c r="F35" s="279">
        <v>-0.09834304329279307</v>
      </c>
      <c r="G35" s="279">
        <v>-0.08964083064963302</v>
      </c>
      <c r="H35" s="279">
        <v>-0.5378449838977981</v>
      </c>
      <c r="I35" s="235">
        <v>10.41666666666606</v>
      </c>
      <c r="J35" s="235">
        <v>20.26041666666606</v>
      </c>
      <c r="K35" s="235">
        <v>-0.5729166666666333</v>
      </c>
      <c r="L35" s="235">
        <v>10020.833333333332</v>
      </c>
      <c r="M35" s="235">
        <v>9025.961827037769</v>
      </c>
      <c r="N35" s="302">
        <v>10020.260416666666</v>
      </c>
    </row>
    <row r="36">
      <c r="A36" s="242">
        <v>43101.0</v>
      </c>
      <c r="B36" s="235">
        <v>10000.0</v>
      </c>
      <c r="C36" s="235">
        <v>0.0</v>
      </c>
      <c r="D36" s="235">
        <v>10000.0</v>
      </c>
      <c r="E36" s="235">
        <v>10000.0</v>
      </c>
      <c r="F36" s="279">
        <v>0.008702212643160052</v>
      </c>
      <c r="G36" s="279">
        <v>0.008702212643160052</v>
      </c>
      <c r="H36" s="279">
        <v>0.10442655171792062</v>
      </c>
      <c r="I36" s="235">
        <v>10.41666666666606</v>
      </c>
      <c r="J36" s="235">
        <v>9.84375</v>
      </c>
      <c r="K36" s="235">
        <v>-0.5729166666666333</v>
      </c>
      <c r="L36" s="235">
        <v>10010.416666666666</v>
      </c>
      <c r="M36" s="235">
        <v>10010.416666666666</v>
      </c>
      <c r="N36" s="302">
        <v>10009.84375</v>
      </c>
    </row>
    <row r="37">
      <c r="A37" s="242">
        <v>43070.0</v>
      </c>
      <c r="B37" s="235">
        <v>10000.0</v>
      </c>
      <c r="C37" s="235">
        <v>10000.0</v>
      </c>
      <c r="D37" s="235">
        <v>0.0</v>
      </c>
      <c r="E37" s="235">
        <v>0.0</v>
      </c>
      <c r="F37" s="279">
        <v>0.0</v>
      </c>
      <c r="G37" s="279">
        <v>0.0</v>
      </c>
      <c r="H37" s="279">
        <v>0.0</v>
      </c>
      <c r="I37" s="235">
        <v>0.0</v>
      </c>
      <c r="J37" s="235">
        <v>0.0</v>
      </c>
      <c r="K37" s="235">
        <v>0.0</v>
      </c>
      <c r="L37" s="235">
        <v>0.0</v>
      </c>
      <c r="M37" s="235">
        <v>0.0</v>
      </c>
      <c r="N37" s="302">
        <v>0.0</v>
      </c>
    </row>
  </sheetData>
  <drawing r:id="rId2"/>
  <legacyDrawing r:id="rId3"/>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4" width="14.43"/>
  </cols>
  <sheetData>
    <row r="1">
      <c r="A1" s="9" t="s">
        <v>46</v>
      </c>
      <c r="B1" s="9" t="s">
        <v>1723</v>
      </c>
      <c r="C1" s="9" t="s">
        <v>1804</v>
      </c>
      <c r="D1" s="9" t="s">
        <v>1805</v>
      </c>
      <c r="E1" s="9" t="s">
        <v>1806</v>
      </c>
      <c r="F1" s="9" t="s">
        <v>1807</v>
      </c>
      <c r="G1" s="9" t="s">
        <v>1808</v>
      </c>
      <c r="H1" s="9" t="s">
        <v>1681</v>
      </c>
      <c r="I1" s="9" t="s">
        <v>1809</v>
      </c>
      <c r="J1" s="9" t="s">
        <v>1680</v>
      </c>
      <c r="K1" s="9" t="s">
        <v>1675</v>
      </c>
      <c r="L1" s="9" t="s">
        <v>1810</v>
      </c>
      <c r="M1" s="9" t="s">
        <v>1811</v>
      </c>
      <c r="N1" s="9" t="s">
        <v>388</v>
      </c>
    </row>
    <row r="2">
      <c r="A2" s="242">
        <f>EOMONTH(DateTime!$B$1-(30*(ROW()-2))-TIME(3,0,0),-1)+1</f>
        <v>44136</v>
      </c>
      <c r="B2" s="235">
        <f>SUMIFS(AssociateHistoric!$C:$C,AssociateHistoric!$A:$A,"&gt;"&amp;EOMONTH($A2,-2),AssociateHistoric!$A:$A,"&lt;"&amp;$A2,AssociateHistoric!$B:$B,SHEETNAME(),AssociateHistoric!$C:$C,"&gt;0")+SUMIFS(AssociateHistoric!$C:$C,AssociateHistoric!$A:$A,"&gt;="&amp;$A2,AssociateHistoric!$A:$A,"&lt;="&amp;EOMONTH($A2,0),AssociateHistoric!$B:$B,SHEETNAME(),AssociateHistoric!$C:$C,"&lt;0")+$C3</f>
        <v>200</v>
      </c>
      <c r="C2" s="235">
        <f>MAX($B2+IF($B2&gt;0,SUMIFS(Historic!$G:$G,Historic!$D:$D,"BUY",Historic!$A:$A,"&gt;"&amp;MAX(EOMONTH($A2,-2),MAXIFS(AssociateHistoric!$A:$A,AssociateHistoric!$A:$A,"&gt;"&amp;EOMONTH($A2,-2),AssociateHistoric!$A:$A,"&lt;"&amp;$A2,AssociateHistoric!$B:$B,SHEETNAME(),AssociateHistoric!$C:$C,"&gt;0")),Historic!$A:$A,"&lt;"&amp;$A2),0),0)</f>
        <v>200</v>
      </c>
      <c r="D2" s="235">
        <f>$B2-$C2</f>
        <v>0</v>
      </c>
      <c r="E2" s="235">
        <f>$E3+$D2</f>
        <v>300</v>
      </c>
      <c r="F2" s="279">
        <f>IF($A3,MAXIFS(AllocationHistoric!$I:$I,AllocationHistoric!$A:$A,$A2),0)</f>
        <v>-0.0164328313</v>
      </c>
      <c r="G2" s="279">
        <f>$F2+$G3</f>
        <v>0.2869089188</v>
      </c>
      <c r="H2" s="279">
        <f>IF($A3,$G2/ROWS($A3:$A17)*12,0)</f>
        <v>0.229527135</v>
      </c>
      <c r="I2" s="235">
        <f>MAX($L2,$M2)-$E2-SUM($I3:$I17)</f>
        <v>-5.503327796</v>
      </c>
      <c r="J2" s="235">
        <f>$N2-$E2</f>
        <v>29.69768752</v>
      </c>
      <c r="K2" s="235">
        <f>-$I2*5.5/100</f>
        <v>0.3026830288</v>
      </c>
      <c r="L2" s="235">
        <f>($E3+$C3)*Dashboard!$B$56/12+$D2+$L3</f>
        <v>302.5</v>
      </c>
      <c r="M2" s="235">
        <f>$M3+$D2+$M3*$F2+$C3*Dashboard!$B$56/12</f>
        <v>329.3950045</v>
      </c>
      <c r="N2" s="302">
        <f>MAX($M2,$L2)+$K2</f>
        <v>329.6976875</v>
      </c>
    </row>
    <row r="3">
      <c r="A3" s="242">
        <v>44105.0</v>
      </c>
      <c r="B3" s="235">
        <v>100.0</v>
      </c>
      <c r="C3" s="235">
        <v>0.0</v>
      </c>
      <c r="D3" s="235">
        <v>100.0</v>
      </c>
      <c r="E3" s="235">
        <v>300.0</v>
      </c>
      <c r="F3" s="279">
        <v>-0.0030358834822477613</v>
      </c>
      <c r="G3" s="279">
        <v>0.3033417501024468</v>
      </c>
      <c r="H3" s="279">
        <v>0.2600072143735258</v>
      </c>
      <c r="I3" s="235">
        <v>-0.715295520858632</v>
      </c>
      <c r="J3" s="235">
        <v>34.93767354204675</v>
      </c>
      <c r="K3" s="235">
        <v>0.03934125364722476</v>
      </c>
      <c r="L3" s="235">
        <v>302.18750000000006</v>
      </c>
      <c r="M3" s="235">
        <v>334.8983322883995</v>
      </c>
      <c r="N3" s="302">
        <v>334.93767354204675</v>
      </c>
    </row>
    <row r="4">
      <c r="A4" s="242">
        <v>44075.0</v>
      </c>
      <c r="B4" s="235">
        <v>0.0</v>
      </c>
      <c r="C4" s="235">
        <v>0.0</v>
      </c>
      <c r="D4" s="235">
        <v>0.0</v>
      </c>
      <c r="E4" s="235">
        <v>200.0</v>
      </c>
      <c r="F4" s="279">
        <v>0.0695011442271417</v>
      </c>
      <c r="G4" s="279">
        <v>0.30637763358469455</v>
      </c>
      <c r="H4" s="279">
        <v>0.28281012330894884</v>
      </c>
      <c r="I4" s="235">
        <v>15.311266207279061</v>
      </c>
      <c r="J4" s="235">
        <v>34.771508167857775</v>
      </c>
      <c r="K4" s="235">
        <v>-0.8421196414003483</v>
      </c>
      <c r="L4" s="235">
        <v>201.97916666666674</v>
      </c>
      <c r="M4" s="235">
        <v>235.61362780925813</v>
      </c>
      <c r="N4" s="302">
        <v>234.77150816785777</v>
      </c>
    </row>
    <row r="5">
      <c r="A5" s="242">
        <v>44044.0</v>
      </c>
      <c r="B5" s="235">
        <v>0.0</v>
      </c>
      <c r="C5" s="235">
        <v>0.0</v>
      </c>
      <c r="D5" s="235">
        <v>0.0</v>
      </c>
      <c r="E5" s="235">
        <v>200.0</v>
      </c>
      <c r="F5" s="279">
        <v>-0.0011851593150153932</v>
      </c>
      <c r="G5" s="279">
        <v>0.23687648935755287</v>
      </c>
      <c r="H5" s="279">
        <v>0.2368764893575529</v>
      </c>
      <c r="I5" s="235">
        <v>-0.2614032004104274</v>
      </c>
      <c r="J5" s="235">
        <v>20.31673877800165</v>
      </c>
      <c r="K5" s="235">
        <v>0.014377176022573507</v>
      </c>
      <c r="L5" s="235">
        <v>201.7708333333334</v>
      </c>
      <c r="M5" s="235">
        <v>220.30236160197907</v>
      </c>
      <c r="N5" s="302">
        <v>220.31673877800165</v>
      </c>
    </row>
    <row r="6">
      <c r="A6" s="242">
        <v>44013.0</v>
      </c>
      <c r="B6" s="235">
        <v>0.0</v>
      </c>
      <c r="C6" s="235">
        <v>0.0</v>
      </c>
      <c r="D6" s="235">
        <v>0.0</v>
      </c>
      <c r="E6" s="235">
        <v>200.0</v>
      </c>
      <c r="F6" s="279">
        <v>0.01670595001387467</v>
      </c>
      <c r="G6" s="279">
        <v>0.23806164867256827</v>
      </c>
      <c r="H6" s="279">
        <v>0.25970361673371084</v>
      </c>
      <c r="I6" s="235">
        <v>3.624181829181225</v>
      </c>
      <c r="J6" s="235">
        <v>20.36443480178454</v>
      </c>
      <c r="K6" s="235">
        <v>-0.1993300006049674</v>
      </c>
      <c r="L6" s="235">
        <v>201.56250000000006</v>
      </c>
      <c r="M6" s="235">
        <v>220.5637648023895</v>
      </c>
      <c r="N6" s="302">
        <v>220.36443480178454</v>
      </c>
    </row>
    <row r="7">
      <c r="A7" s="242">
        <v>43983.0</v>
      </c>
      <c r="B7" s="235">
        <v>0.0</v>
      </c>
      <c r="C7" s="235">
        <v>0.0</v>
      </c>
      <c r="D7" s="235">
        <v>0.0</v>
      </c>
      <c r="E7" s="235">
        <v>200.0</v>
      </c>
      <c r="F7" s="279">
        <v>-0.00659387295460559</v>
      </c>
      <c r="G7" s="279">
        <v>0.2213556986586936</v>
      </c>
      <c r="H7" s="279">
        <v>0.26562683839043233</v>
      </c>
      <c r="I7" s="235">
        <v>-1.4399670084630714</v>
      </c>
      <c r="J7" s="235">
        <v>17.018781158673733</v>
      </c>
      <c r="K7" s="235">
        <v>0.07919818546546892</v>
      </c>
      <c r="L7" s="235">
        <v>201.3541666666667</v>
      </c>
      <c r="M7" s="235">
        <v>216.93958297320827</v>
      </c>
      <c r="N7" s="302">
        <v>217.01878115867373</v>
      </c>
    </row>
    <row r="8">
      <c r="A8" s="242">
        <v>43952.0</v>
      </c>
      <c r="B8" s="235">
        <v>0.0</v>
      </c>
      <c r="C8" s="235">
        <v>0.0</v>
      </c>
      <c r="D8" s="235">
        <v>0.0</v>
      </c>
      <c r="E8" s="235">
        <v>200.0</v>
      </c>
      <c r="F8" s="279">
        <v>0.17167870410952307</v>
      </c>
      <c r="G8" s="279">
        <v>0.22794957161329918</v>
      </c>
      <c r="H8" s="279">
        <v>0.30393276215106557</v>
      </c>
      <c r="I8" s="235">
        <v>17.442049981671317</v>
      </c>
      <c r="J8" s="235">
        <v>17.420237232679426</v>
      </c>
      <c r="K8" s="235">
        <v>-0.9593127489919224</v>
      </c>
      <c r="L8" s="235">
        <v>201.14583333333337</v>
      </c>
      <c r="M8" s="235">
        <v>218.37954998167135</v>
      </c>
      <c r="N8" s="302">
        <v>217.42023723267943</v>
      </c>
    </row>
    <row r="9">
      <c r="A9" s="242">
        <v>43922.0</v>
      </c>
      <c r="B9" s="235">
        <v>0.0</v>
      </c>
      <c r="C9" s="235">
        <v>0.0</v>
      </c>
      <c r="D9" s="235">
        <v>0.0</v>
      </c>
      <c r="E9" s="235">
        <v>200.0</v>
      </c>
      <c r="F9" s="279">
        <v>-0.09031985768405248</v>
      </c>
      <c r="G9" s="279">
        <v>0.056270867503776106</v>
      </c>
      <c r="H9" s="279">
        <v>0.08440630125566416</v>
      </c>
      <c r="I9" s="235">
        <v>-3.949647338966855</v>
      </c>
      <c r="J9" s="235">
        <v>1.154730603643202</v>
      </c>
      <c r="K9" s="235">
        <v>0.21723060364317703</v>
      </c>
      <c r="L9" s="235">
        <v>200.93750000000003</v>
      </c>
      <c r="M9" s="235">
        <v>186.3817693500199</v>
      </c>
      <c r="N9" s="302">
        <v>201.1547306036432</v>
      </c>
    </row>
    <row r="10">
      <c r="A10" s="242">
        <v>43891.0</v>
      </c>
      <c r="B10" s="235">
        <v>100.0</v>
      </c>
      <c r="C10" s="235">
        <v>0.0</v>
      </c>
      <c r="D10" s="235">
        <v>100.0</v>
      </c>
      <c r="E10" s="235">
        <v>200.0</v>
      </c>
      <c r="F10" s="279">
        <v>-6.988944889106389E-4</v>
      </c>
      <c r="G10" s="279">
        <v>0.1465907251878286</v>
      </c>
      <c r="H10" s="279">
        <v>0.2512983860362776</v>
      </c>
      <c r="I10" s="235">
        <v>-0.07335631755881877</v>
      </c>
      <c r="J10" s="235">
        <v>4.891181936432616</v>
      </c>
      <c r="K10" s="235">
        <v>0.004034597465735032</v>
      </c>
      <c r="L10" s="235">
        <v>200.72916666666669</v>
      </c>
      <c r="M10" s="235">
        <v>204.88714733896688</v>
      </c>
      <c r="N10" s="302">
        <v>204.89118193643262</v>
      </c>
    </row>
    <row r="11">
      <c r="A11" s="242">
        <v>43862.0</v>
      </c>
      <c r="B11" s="235">
        <v>0.0</v>
      </c>
      <c r="C11" s="235">
        <v>0.0</v>
      </c>
      <c r="D11" s="235">
        <v>0.0</v>
      </c>
      <c r="E11" s="235">
        <v>100.0</v>
      </c>
      <c r="F11" s="279">
        <v>-0.013571483773815925</v>
      </c>
      <c r="G11" s="279">
        <v>0.14728961967673923</v>
      </c>
      <c r="H11" s="279">
        <v>0.29457923935347846</v>
      </c>
      <c r="I11" s="235">
        <v>-1.4440679165640233</v>
      </c>
      <c r="J11" s="235">
        <v>5.039927391936729</v>
      </c>
      <c r="K11" s="235">
        <v>0.07942373541102128</v>
      </c>
      <c r="L11" s="235">
        <v>100.62500000000003</v>
      </c>
      <c r="M11" s="235">
        <v>104.9605036565257</v>
      </c>
      <c r="N11" s="302">
        <v>105.03992739193673</v>
      </c>
    </row>
    <row r="12">
      <c r="A12" s="242">
        <v>43831.0</v>
      </c>
      <c r="B12" s="235">
        <v>0.0</v>
      </c>
      <c r="C12" s="235">
        <v>0.0</v>
      </c>
      <c r="D12" s="235">
        <v>0.0</v>
      </c>
      <c r="E12" s="235">
        <v>100.0</v>
      </c>
      <c r="F12" s="279">
        <v>0.06953970791992178</v>
      </c>
      <c r="G12" s="279">
        <v>0.16086110345055515</v>
      </c>
      <c r="H12" s="279">
        <v>0.3860666482813324</v>
      </c>
      <c r="I12" s="235">
        <v>5.98790490642304</v>
      </c>
      <c r="J12" s="235">
        <v>6.075236803236464</v>
      </c>
      <c r="K12" s="235">
        <v>-0.3293347698532672</v>
      </c>
      <c r="L12" s="235">
        <v>100.52083333333336</v>
      </c>
      <c r="M12" s="235">
        <v>106.40457157308973</v>
      </c>
      <c r="N12" s="302">
        <v>106.07523680323646</v>
      </c>
    </row>
    <row r="13">
      <c r="A13" s="242">
        <v>43800.0</v>
      </c>
      <c r="B13" s="235">
        <v>0.0</v>
      </c>
      <c r="C13" s="235">
        <v>0.0</v>
      </c>
      <c r="D13" s="235">
        <v>0.0</v>
      </c>
      <c r="E13" s="235">
        <v>100.0</v>
      </c>
      <c r="F13" s="279">
        <v>0.02764486097227171</v>
      </c>
      <c r="G13" s="279">
        <v>0.09132139553063337</v>
      </c>
      <c r="H13" s="279">
        <v>0.27396418659190014</v>
      </c>
      <c r="I13" s="235">
        <v>0.1041666666666714</v>
      </c>
      <c r="J13" s="235">
        <v>0.41093750000001705</v>
      </c>
      <c r="K13" s="235">
        <v>-0.005729166666666927</v>
      </c>
      <c r="L13" s="235">
        <v>100.41666666666669</v>
      </c>
      <c r="M13" s="235">
        <v>99.48632181223927</v>
      </c>
      <c r="N13" s="302">
        <v>100.41093750000002</v>
      </c>
    </row>
    <row r="14">
      <c r="A14" s="242">
        <v>43770.0</v>
      </c>
      <c r="B14" s="235">
        <v>0.0</v>
      </c>
      <c r="C14" s="235">
        <v>0.0</v>
      </c>
      <c r="D14" s="235">
        <v>0.0</v>
      </c>
      <c r="E14" s="235">
        <v>100.0</v>
      </c>
      <c r="F14" s="279">
        <v>-0.031204251937763165</v>
      </c>
      <c r="G14" s="279">
        <v>0.06367653455836166</v>
      </c>
      <c r="H14" s="279">
        <v>0.2547061382334466</v>
      </c>
      <c r="I14" s="235">
        <v>0.1041666666666714</v>
      </c>
      <c r="J14" s="235">
        <v>0.30677083333334565</v>
      </c>
      <c r="K14" s="235">
        <v>-0.005729166666666927</v>
      </c>
      <c r="L14" s="235">
        <v>100.31250000000001</v>
      </c>
      <c r="M14" s="235">
        <v>96.81002220758796</v>
      </c>
      <c r="N14" s="302">
        <v>100.30677083333335</v>
      </c>
    </row>
    <row r="15">
      <c r="A15" s="242">
        <v>43739.0</v>
      </c>
      <c r="B15" s="235">
        <v>0.0</v>
      </c>
      <c r="C15" s="235">
        <v>0.0</v>
      </c>
      <c r="D15" s="235">
        <v>0.0</v>
      </c>
      <c r="E15" s="235">
        <v>100.0</v>
      </c>
      <c r="F15" s="279">
        <v>-0.0017577640676155197</v>
      </c>
      <c r="G15" s="279">
        <v>0.09488078649612482</v>
      </c>
      <c r="H15" s="279">
        <v>0.5692847189767489</v>
      </c>
      <c r="I15" s="235">
        <v>0.1041666666666714</v>
      </c>
      <c r="J15" s="235">
        <v>0.20260416666667425</v>
      </c>
      <c r="K15" s="235">
        <v>-0.005729166666666927</v>
      </c>
      <c r="L15" s="235">
        <v>100.20833333333334</v>
      </c>
      <c r="M15" s="235">
        <v>99.9282071594814</v>
      </c>
      <c r="N15" s="302">
        <v>100.20260416666667</v>
      </c>
    </row>
    <row r="16">
      <c r="A16" s="242">
        <v>43709.0</v>
      </c>
      <c r="B16" s="235">
        <v>100.0</v>
      </c>
      <c r="C16" s="235">
        <v>0.0</v>
      </c>
      <c r="D16" s="235">
        <v>100.0</v>
      </c>
      <c r="E16" s="235">
        <v>100.0</v>
      </c>
      <c r="F16" s="279">
        <v>0.09663855056374034</v>
      </c>
      <c r="G16" s="279">
        <v>0.09663855056374034</v>
      </c>
      <c r="H16" s="279">
        <v>1.159662606764884</v>
      </c>
      <c r="I16" s="235">
        <v>0.1041666666666714</v>
      </c>
      <c r="J16" s="235">
        <v>0.09843750000000284</v>
      </c>
      <c r="K16" s="235">
        <v>-0.005729166666666927</v>
      </c>
      <c r="L16" s="235">
        <v>100.10416666666667</v>
      </c>
      <c r="M16" s="235">
        <v>100.10416666666667</v>
      </c>
      <c r="N16" s="302">
        <v>100.0984375</v>
      </c>
    </row>
    <row r="17">
      <c r="A17" s="242">
        <v>43678.0</v>
      </c>
      <c r="B17" s="235">
        <v>100.0</v>
      </c>
      <c r="C17" s="235">
        <v>100.0</v>
      </c>
      <c r="D17" s="235">
        <v>0.0</v>
      </c>
      <c r="E17" s="235">
        <v>0.0</v>
      </c>
      <c r="F17" s="279">
        <v>0.0</v>
      </c>
      <c r="G17" s="279">
        <v>0.0</v>
      </c>
      <c r="H17" s="279">
        <v>0.0</v>
      </c>
      <c r="I17" s="235">
        <v>0.0</v>
      </c>
      <c r="J17" s="235">
        <v>0.0</v>
      </c>
      <c r="K17" s="235">
        <v>0.0</v>
      </c>
      <c r="L17" s="235">
        <v>0.0</v>
      </c>
      <c r="M17" s="235">
        <v>0.0</v>
      </c>
      <c r="N17" s="302">
        <v>0.0</v>
      </c>
    </row>
  </sheetData>
  <drawing r:id="rId2"/>
  <legacyDrawing r:id="rId3"/>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4" width="14.43"/>
  </cols>
  <sheetData>
    <row r="1">
      <c r="A1" s="9" t="s">
        <v>46</v>
      </c>
      <c r="B1" s="9" t="s">
        <v>1723</v>
      </c>
      <c r="C1" s="9" t="s">
        <v>1804</v>
      </c>
      <c r="D1" s="9" t="s">
        <v>1805</v>
      </c>
      <c r="E1" s="9" t="s">
        <v>1806</v>
      </c>
      <c r="F1" s="9" t="s">
        <v>1807</v>
      </c>
      <c r="G1" s="9" t="s">
        <v>1808</v>
      </c>
      <c r="H1" s="9" t="s">
        <v>1681</v>
      </c>
      <c r="I1" s="9" t="s">
        <v>1809</v>
      </c>
      <c r="J1" s="9" t="s">
        <v>1680</v>
      </c>
      <c r="K1" s="9" t="s">
        <v>1675</v>
      </c>
      <c r="L1" s="9" t="s">
        <v>1810</v>
      </c>
      <c r="M1" s="9" t="s">
        <v>1811</v>
      </c>
      <c r="N1" s="9" t="s">
        <v>388</v>
      </c>
    </row>
    <row r="2">
      <c r="A2" s="242">
        <f>EOMONTH(DateTime!$B$1-(30*(ROW()-2))-TIME(3,0,0),-1)+1</f>
        <v>44136</v>
      </c>
      <c r="B2" s="235">
        <f>SUMIFS(AssociateHistoric!$C:$C,AssociateHistoric!$A:$A,"&gt;"&amp;EOMONTH($A2,-2),AssociateHistoric!$A:$A,"&lt;"&amp;$A2,AssociateHistoric!$B:$B,SHEETNAME(),AssociateHistoric!$C:$C,"&gt;0")+SUMIFS(AssociateHistoric!$C:$C,AssociateHistoric!$A:$A,"&gt;="&amp;$A2,AssociateHistoric!$A:$A,"&lt;="&amp;EOMONTH($A2,0),AssociateHistoric!$B:$B,SHEETNAME(),AssociateHistoric!$C:$C,"&lt;0")+$C3</f>
        <v>30442</v>
      </c>
      <c r="C2" s="235">
        <f>MAX($B2+IF($B2&gt;0,SUMIFS(Historic!$G:$G,Historic!$D:$D,"BUY",Historic!$A:$A,"&gt;"&amp;MAX(EOMONTH($A2,-2),MAXIFS(AssociateHistoric!$A:$A,AssociateHistoric!$A:$A,"&gt;"&amp;EOMONTH($A2,-2),AssociateHistoric!$A:$A,"&lt;"&amp;$A2,AssociateHistoric!$B:$B,SHEETNAME(),AssociateHistoric!$C:$C,"&gt;0")),Historic!$A:$A,"&lt;"&amp;$A2),0),0)</f>
        <v>0</v>
      </c>
      <c r="D2" s="235">
        <f>$B2-$C2</f>
        <v>30442</v>
      </c>
      <c r="E2" s="235">
        <f>$E3+$D2</f>
        <v>40000</v>
      </c>
      <c r="F2" s="279">
        <f>IF($A3,MAXIFS(AllocationHistoric!$I:$I,AllocationHistoric!$A:$A,$A2),0)</f>
        <v>-0.0164328313</v>
      </c>
      <c r="G2" s="279">
        <f>$F2+$G3</f>
        <v>-0.0164328313</v>
      </c>
      <c r="H2" s="279">
        <f>IF($A3,$G2/ROWS($A3)*12,0)</f>
        <v>-0.1971939755</v>
      </c>
      <c r="I2" s="235">
        <f>MAX($L2,$M2)-$E2-SUM($I3)</f>
        <v>41.66666667</v>
      </c>
      <c r="J2" s="235">
        <f>$N2-$E2</f>
        <v>39.375</v>
      </c>
      <c r="K2" s="235">
        <f>-$I2*5.5/100</f>
        <v>-2.291666667</v>
      </c>
      <c r="L2" s="235">
        <f>($E3+$C3)*Dashboard!$B$56/12+$D2+$L3</f>
        <v>40041.66667</v>
      </c>
      <c r="M2" s="235">
        <f>$M3+$D2+$M3*$F2+$C3*Dashboard!$B$56/12</f>
        <v>39874.64542</v>
      </c>
      <c r="N2" s="302">
        <f>MAX($M2,$L2)+$K2</f>
        <v>40039.375</v>
      </c>
    </row>
    <row r="3">
      <c r="A3" s="242">
        <v>44105.0</v>
      </c>
      <c r="B3" s="235">
        <v>40000.0</v>
      </c>
      <c r="C3" s="235">
        <v>30442.0</v>
      </c>
      <c r="D3" s="235">
        <v>9558.0</v>
      </c>
      <c r="E3" s="235">
        <v>9558.0</v>
      </c>
      <c r="F3" s="279">
        <v>0.0</v>
      </c>
      <c r="G3" s="279">
        <v>0.0</v>
      </c>
      <c r="H3" s="279">
        <v>0.0</v>
      </c>
      <c r="I3" s="235">
        <v>0.0</v>
      </c>
      <c r="J3" s="235">
        <v>0.0</v>
      </c>
      <c r="K3" s="235">
        <v>0.0</v>
      </c>
      <c r="L3" s="235">
        <v>9558.0</v>
      </c>
      <c r="M3" s="235">
        <v>9558.0</v>
      </c>
      <c r="N3" s="302">
        <v>9558.0</v>
      </c>
    </row>
  </sheetData>
  <drawing r:id="rId2"/>
  <legacyDrawing r:id="rId3"/>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4" width="14.43"/>
  </cols>
  <sheetData>
    <row r="1">
      <c r="A1" s="9" t="s">
        <v>46</v>
      </c>
      <c r="B1" s="9" t="s">
        <v>1723</v>
      </c>
      <c r="C1" s="9" t="s">
        <v>1804</v>
      </c>
      <c r="D1" s="9" t="s">
        <v>1805</v>
      </c>
      <c r="E1" s="9" t="s">
        <v>1806</v>
      </c>
      <c r="F1" s="9" t="s">
        <v>1807</v>
      </c>
      <c r="G1" s="9" t="s">
        <v>1808</v>
      </c>
      <c r="H1" s="9" t="s">
        <v>1681</v>
      </c>
      <c r="I1" s="9" t="s">
        <v>1809</v>
      </c>
      <c r="J1" s="9" t="s">
        <v>1680</v>
      </c>
      <c r="K1" s="9" t="s">
        <v>1675</v>
      </c>
      <c r="L1" s="9" t="s">
        <v>1810</v>
      </c>
      <c r="M1" s="9" t="s">
        <v>1811</v>
      </c>
      <c r="N1" s="9" t="s">
        <v>388</v>
      </c>
    </row>
    <row r="2">
      <c r="A2" s="242">
        <f>EOMONTH(DateTime!$B$1-(30*(ROW()-2))-TIME(3,0,0),-1)+1</f>
        <v>44136</v>
      </c>
      <c r="B2" s="235">
        <f>SUMIFS(AssociateHistoric!$C:$C,AssociateHistoric!$A:$A,"&gt;"&amp;EOMONTH($A2,-2),AssociateHistoric!$A:$A,"&lt;"&amp;$A2,AssociateHistoric!$B:$B,SHEETNAME(),AssociateHistoric!$C:$C,"&gt;0")+SUMIFS(AssociateHistoric!$C:$C,AssociateHistoric!$A:$A,"&gt;="&amp;$A2,AssociateHistoric!$A:$A,"&lt;="&amp;EOMONTH($A2,0),AssociateHistoric!$B:$B,SHEETNAME(),AssociateHistoric!$C:$C,"&lt;0")+$C3</f>
        <v>0</v>
      </c>
      <c r="C2" s="235">
        <f>MAX($B2+IF($B2&gt;0,SUMIFS(Historic!$G:$G,Historic!$D:$D,"BUY",Historic!$A:$A,"&gt;"&amp;MAX(EOMONTH($A2,-2),MAXIFS(AssociateHistoric!$A:$A,AssociateHistoric!$A:$A,"&gt;"&amp;EOMONTH($A2,-2),AssociateHistoric!$A:$A,"&lt;"&amp;$A2,AssociateHistoric!$B:$B,SHEETNAME(),AssociateHistoric!$C:$C,"&gt;0")),Historic!$A:$A,"&lt;"&amp;$A2),0),0)</f>
        <v>0</v>
      </c>
      <c r="D2" s="235">
        <f>$B2-$C2</f>
        <v>0</v>
      </c>
      <c r="E2" s="235">
        <f>$E3+$D2</f>
        <v>0</v>
      </c>
      <c r="F2" s="279">
        <f>IF($A3,MAXIFS(AllocationHistoric!$I:$I,AllocationHistoric!$A:$A,$A2),0)</f>
        <v>0</v>
      </c>
      <c r="G2" s="279">
        <f>$F2+$G3</f>
        <v>0</v>
      </c>
      <c r="H2" s="279">
        <f>IF($A3,$G2/ROWS($A2:$A3)*12,0)</f>
        <v>0</v>
      </c>
      <c r="I2" s="235">
        <f>MAX($L2,$M2)-$E2-SUM($I2:$I3)</f>
        <v>0</v>
      </c>
      <c r="J2" s="235">
        <f>$N2-$E2</f>
        <v>0</v>
      </c>
      <c r="K2" s="235">
        <f>-$I2*5.5/100</f>
        <v>0</v>
      </c>
      <c r="L2" s="235">
        <f>($E3+$C3)*Dashboard!$B$56/12+$D2+$L3</f>
        <v>0</v>
      </c>
      <c r="M2" s="235">
        <f>$M3+$D2+$M3*$F2+$C3*Dashboard!$B$56/12</f>
        <v>0</v>
      </c>
      <c r="N2" s="302">
        <f>MAX($M2,$L2)+$K2</f>
        <v>0</v>
      </c>
    </row>
  </sheetData>
  <drawing r:id="rId2"/>
  <legacyDrawing r:id="rId3"/>
</worksheet>
</file>